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Geo" sheetId="6" r:id="rId7"/>
    <sheet name="Share Count" sheetId="7" r:id="rId8"/>
    <sheet name="Guidance" sheetId="8" r:id="rId9"/>
    <sheet name="Sources" sheetId="9" r:id="rId10"/>
    <sheet name="Inputs" sheetId="10" r:id="rId11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43" authorId="0">
      <text>
        <t>S24 trendforce.com 2026-10-08 | n/a | LSEG SmartEstimate of NT$1.46 trillion</t>
      </text>
    </comment>
    <comment ref="C44" authorId="0">
      <text>
        <t>S24 trendforce.com 2026-10-08 | n/a | NT$740.8 billion</t>
      </text>
    </comment>
    <comment ref="C45" authorId="0">
      <text>
        <t>S25 hudson-labs.com 2026-09-28 | n/a | gross margin 66.5%</t>
      </text>
    </comment>
    <comment ref="C46" authorId="0">
      <text>
        <t>S25 hudson-labs.com 2026-09-28 | n/a | operating margin 57.1%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10" authorId="0">
      <text>
        <t>S14 TSMC 2025 Monthly Revenue (investor.tsmc.com) | table | 293,288</t>
      </text>
    </comment>
    <comment ref="D10" authorId="0">
      <text>
        <t>S14 TSMC 2025 Monthly Revenue (investor.tsmc.com) | table | 349,567</t>
      </text>
    </comment>
    <comment ref="E10" authorId="0">
      <text>
        <t>S14 TSMC 2025 Monthly Revenue (investor.tsmc.com) | table | 323,166</t>
      </text>
    </comment>
    <comment ref="F10" authorId="0">
      <text>
        <t>S14 TSMC 2025 Monthly Revenue (investor.tsmc.com) | table | 367,473</t>
      </text>
    </comment>
    <comment ref="H10" authorId="0">
      <text>
        <t>S15 TSMC 2026 Monthly Revenue (investor.tsmc.com) | table | 401,255</t>
      </text>
    </comment>
    <comment ref="I10" authorId="0">
      <text>
        <t>S15 TSMC 2026 Monthly Revenue (investor.tsmc.com) | table | 410,726</t>
      </text>
    </comment>
    <comment ref="J10" authorId="0">
      <text>
        <t>S15 TSMC 2026 Monthly Revenue (investor.tsmc.com) | table | 467,580</t>
      </text>
    </comment>
    <comment ref="C13" authorId="0">
      <text>
        <t>S14 TSMC 2025 Monthly Revenue (investor.tsmc.com) | table | 260,009</t>
      </text>
    </comment>
    <comment ref="D13" authorId="0">
      <text>
        <t>S14 TSMC 2025 Monthly Revenue (investor.tsmc.com) | table | 320,516</t>
      </text>
    </comment>
    <comment ref="E13" authorId="0">
      <text>
        <t>S14 TSMC 2025 Monthly Revenue (investor.tsmc.com) | table | 335,772</t>
      </text>
    </comment>
    <comment ref="F13" authorId="0">
      <text>
        <t>S14 TSMC 2025 Monthly Revenue (investor.tsmc.com) | table | 343,614</t>
      </text>
    </comment>
    <comment ref="H13" authorId="0">
      <text>
        <t>S15 TSMC 2026 Monthly Revenue (investor.tsmc.com) | table | 317,657</t>
      </text>
    </comment>
    <comment ref="I13" authorId="0">
      <text>
        <t>S15 TSMC 2026 Monthly Revenue (investor.tsmc.com) | table | 416,975</t>
      </text>
    </comment>
    <comment ref="J13" authorId="0">
      <text>
        <t>S16 TSMC August 2026 Revenue Report (6-K tsm-revenue20260910.htm) | table | 514,806</t>
      </text>
    </comment>
    <comment ref="C16" authorId="0">
      <text>
        <t>S14 TSMC 2025 Monthly Revenue (investor.tsmc.com) | table | 285,957</t>
      </text>
    </comment>
    <comment ref="D16" authorId="0">
      <text>
        <t>S14 TSMC 2025 Monthly Revenue (investor.tsmc.com) | table | 263,709</t>
      </text>
    </comment>
    <comment ref="E16" authorId="0">
      <text>
        <t>S14 TSMC 2025 Monthly Revenue (investor.tsmc.com) | table | 330,980</t>
      </text>
    </comment>
    <comment ref="F16" authorId="0">
      <text>
        <t>S14 TSMC 2025 Monthly Revenue (investor.tsmc.com) | table | 335,003</t>
      </text>
    </comment>
    <comment ref="H16" authorId="0">
      <text>
        <t>S15 TSMC 2026 Monthly Revenue (investor.tsmc.com) | table | 415,191</t>
      </text>
    </comment>
    <comment ref="I16" authorId="0">
      <text>
        <t>S15 TSMC 2026 Monthly Revenue (investor.tsmc.com) | table | 442,680</t>
      </text>
    </comment>
    <comment ref="J16" authorId="0">
      <text>
        <t>S17 TSMC September 2026 Revenue Report (6-K tsm-revenue20261008.htm) | table | 511,857</t>
      </text>
    </comment>
    <comment ref="C27" authorId="0">
      <text>
        <t>S7 1Q26ManagementReport.pdf | p.1-3 | 32.88</t>
      </text>
    </comment>
    <comment ref="D27" authorId="0">
      <text>
        <t>S3 2Q26 ManagementReport.pdf | p.1-3 | 31.05</t>
      </text>
    </comment>
    <comment ref="E27" authorId="0">
      <text>
        <t>S11 3Q25ManagementReport.pdf | p.1-3 | 29.91</t>
      </text>
    </comment>
    <comment ref="F27" authorId="0">
      <text>
        <t>S9 4Q25 Management Report.pdf | p.1-3 | 31.01</t>
      </text>
    </comment>
    <comment ref="H27" authorId="0">
      <text>
        <t>S7 1Q26ManagementReport.pdf | p.1-3 | 31.59</t>
      </text>
    </comment>
    <comment ref="I27" authorId="0">
      <text>
        <t>S3 2Q26 ManagementReport.pdf | p.1-3 | 31.60</t>
      </text>
    </comment>
    <comment ref="J27" authorId="0">
      <text>
        <t>S19 Federal Reserve H.10 Historical Rates for the New Taiwan Dollar (dat00_ta.htm) | daily table Jul-Sep 2026 | mean of 64 daily rates = 31.9961</t>
      </text>
    </comment>
    <comment ref="C30" authorId="0">
      <text>
        <t>S7 1Q26ManagementReport.pdf | p.1-3 | 25.53</t>
      </text>
    </comment>
    <comment ref="D30" authorId="0">
      <text>
        <t>S3 2Q26 ManagementReport.pdf | p.1-3 | 30.07</t>
      </text>
    </comment>
    <comment ref="E30" authorId="0">
      <text>
        <t>S11 3Q25ManagementReport.pdf | p.1-3 | 33.10</t>
      </text>
    </comment>
    <comment ref="F30" authorId="0">
      <text>
        <t>S9 4Q25 Management Report.pdf | p.1-3 | 33.73</t>
      </text>
    </comment>
    <comment ref="H30" authorId="0">
      <text>
        <t>S7 1Q26ManagementReport.pdf | p.1-3 | 35.90</t>
      </text>
    </comment>
    <comment ref="I30" authorId="0">
      <text>
        <t>S3 2Q26 ManagementReport.pdf | p.1-3 | 40.20</t>
      </text>
    </comment>
    <comment ref="C46" authorId="0">
      <text>
        <t>S7 1Q26ManagementReport.pdf | p.1-3 | 3,259</t>
      </text>
    </comment>
    <comment ref="D46" authorId="0">
      <text>
        <t>S3 2Q26 ManagementReport.pdf | p.1-3 | 3,718</t>
      </text>
    </comment>
    <comment ref="E46" authorId="0">
      <text>
        <t>S11 3Q25ManagementReport.pdf | p.1-3 | 4,085</t>
      </text>
    </comment>
    <comment ref="F46" authorId="0">
      <text>
        <t>S9 4Q25 Management Report.pdf | p.1-3 | 3,961</t>
      </text>
    </comment>
    <comment ref="H46" authorId="0">
      <text>
        <t>S7 1Q26ManagementReport.pdf | p.1-3 | 4,174</t>
      </text>
    </comment>
    <comment ref="I46" authorId="0">
      <text>
        <t>S3 2Q26 ManagementReport.pdf | p.1-3 | 4,336</t>
      </text>
    </comment>
    <comment ref="C64" authorId="0">
      <text>
        <t>S7 1Q26ManagementReport.pdf | p.1 | 59%</t>
      </text>
    </comment>
    <comment ref="D64" authorId="0">
      <text>
        <t>S11 3Q25ManagementReport.pdf | p.1 | 60%</t>
      </text>
    </comment>
    <comment ref="E64" authorId="0">
      <text>
        <t>S11 3Q25ManagementReport.pdf | p.1 | 57%</t>
      </text>
    </comment>
    <comment ref="F64" authorId="0">
      <text>
        <t>S9 4Q25 Management Report.pdf | p.1 | 55%</t>
      </text>
    </comment>
    <comment ref="H64" authorId="0">
      <text>
        <t>S7 1Q26ManagementReport.pdf | p.1 | 61%</t>
      </text>
    </comment>
    <comment ref="I64" authorId="0">
      <text>
        <t>S3 2Q26 ManagementReport.pdf | p.1 | 66%</t>
      </text>
    </comment>
    <comment ref="C74" authorId="0">
      <text>
        <t>S7 1Q26ManagementReport.pdf | p.1 | 28%</t>
      </text>
    </comment>
    <comment ref="D74" authorId="0">
      <text>
        <t>S11 3Q25ManagementReport.pdf | p.1 | 27%</t>
      </text>
    </comment>
    <comment ref="E74" authorId="0">
      <text>
        <t>S11 3Q25ManagementReport.pdf | p.1 | 30%</t>
      </text>
    </comment>
    <comment ref="F74" authorId="0">
      <text>
        <t>S9 4Q25 Management Report.pdf | p.1 | 32%</t>
      </text>
    </comment>
    <comment ref="H74" authorId="0">
      <text>
        <t>S7 1Q26ManagementReport.pdf | p.1 | 26%</t>
      </text>
    </comment>
    <comment ref="I74" authorId="0">
      <text>
        <t>S3 2Q26 ManagementReport.pdf | p.1 | 22%</t>
      </text>
    </comment>
    <comment ref="C84" authorId="0">
      <text>
        <t>S7 1Q26ManagementReport.pdf | p.1 | 5%</t>
      </text>
    </comment>
    <comment ref="D84" authorId="0">
      <text>
        <t>S11 3Q25ManagementReport.pdf | p.1 | 5%</t>
      </text>
    </comment>
    <comment ref="E84" authorId="0">
      <text>
        <t>S11 3Q25ManagementReport.pdf | p.1 | 5%</t>
      </text>
    </comment>
    <comment ref="F84" authorId="0">
      <text>
        <t>S9 4Q25 Management Report.pdf | p.1 | 5%</t>
      </text>
    </comment>
    <comment ref="H84" authorId="0">
      <text>
        <t>S7 1Q26ManagementReport.pdf | p.1 | 6%</t>
      </text>
    </comment>
    <comment ref="I84" authorId="0">
      <text>
        <t>S3 2Q26 ManagementReport.pdf | p.1 | 5%</t>
      </text>
    </comment>
    <comment ref="C94" authorId="0">
      <text>
        <t>S7 1Q26ManagementReport.pdf | p.1 | 5%</t>
      </text>
    </comment>
    <comment ref="D94" authorId="0">
      <text>
        <t>S11 3Q25ManagementReport.pdf | p.1 | 5%</t>
      </text>
    </comment>
    <comment ref="E94" authorId="0">
      <text>
        <t>S11 3Q25ManagementReport.pdf | p.1 | 5%</t>
      </text>
    </comment>
    <comment ref="F94" authorId="0">
      <text>
        <t>S9 4Q25 Management Report.pdf | p.1 | 5%</t>
      </text>
    </comment>
    <comment ref="H94" authorId="0">
      <text>
        <t>S7 1Q26ManagementReport.pdf | p.1 | 4%</t>
      </text>
    </comment>
    <comment ref="I94" authorId="0">
      <text>
        <t>S3 2Q26 ManagementReport.pdf | p.1 | 4%</t>
      </text>
    </comment>
    <comment ref="C104" authorId="0">
      <text>
        <t>S7 1Q26ManagementReport.pdf | p.1 | 1%</t>
      </text>
    </comment>
    <comment ref="D104" authorId="0">
      <text>
        <t>S11 3Q25ManagementReport.pdf | p.1 | 1%</t>
      </text>
    </comment>
    <comment ref="E104" authorId="0">
      <text>
        <t>S11 3Q25ManagementReport.pdf | p.1 | 1%</t>
      </text>
    </comment>
    <comment ref="F104" authorId="0">
      <text>
        <t>S9 4Q25 Management Report.pdf | p.1 | 1%</t>
      </text>
    </comment>
    <comment ref="H104" authorId="0">
      <text>
        <t>S7 1Q26ManagementReport.pdf | p.1 | 1%</t>
      </text>
    </comment>
    <comment ref="I104" authorId="0">
      <text>
        <t>S3 2Q26 ManagementReport.pdf | p.1 | 1%</t>
      </text>
    </comment>
    <comment ref="C114" authorId="0">
      <text>
        <t>S7 1Q26ManagementReport.pdf | p.1 | 2%</t>
      </text>
    </comment>
    <comment ref="D114" authorId="0">
      <text>
        <t>S11 3Q25ManagementReport.pdf | p.1 | 2%</t>
      </text>
    </comment>
    <comment ref="E114" authorId="0">
      <text>
        <t>S11 3Q25ManagementReport.pdf | p.1 | 2%</t>
      </text>
    </comment>
    <comment ref="F114" authorId="0">
      <text>
        <t>S9 4Q25 Management Report.pdf | p.1 | 2%</t>
      </text>
    </comment>
    <comment ref="H114" authorId="0">
      <text>
        <t>S7 1Q26ManagementReport.pdf | p.1 | 2%</t>
      </text>
    </comment>
    <comment ref="I114" authorId="0">
      <text>
        <t>S3 2Q26 ManagementReport.pdf | p.1 | 2%</t>
      </text>
    </comment>
    <comment ref="D125" authorId="0">
      <text>
        <t>S3 2Q26 ManagementReport.pdf | p.1 | 0%</t>
      </text>
    </comment>
    <comment ref="H125" authorId="0">
      <text>
        <t>S3 2Q26 ManagementReport.pdf | p.1 | 0%</t>
      </text>
    </comment>
    <comment ref="I125" authorId="0">
      <text>
        <t>S3 2Q26 ManagementReport.pdf | p.1 | 3%</t>
      </text>
    </comment>
    <comment ref="G125" authorId="0">
      <text>
        <t>S9 4Q25 Management Report.pdf | p.2 | 0%</t>
      </text>
    </comment>
    <comment ref="C128" authorId="0">
      <text>
        <t>S7 1Q26ManagementReport.pdf | p.1 | 22%</t>
      </text>
    </comment>
    <comment ref="D128" authorId="0">
      <text>
        <t>S11 3Q25ManagementReport.pdf | p.1 | 24%</t>
      </text>
    </comment>
    <comment ref="E128" authorId="0">
      <text>
        <t>S11 3Q25ManagementReport.pdf | p.1 | 23%</t>
      </text>
    </comment>
    <comment ref="F128" authorId="0">
      <text>
        <t>S9 4Q25 Management Report.pdf | p.1 | 28%</t>
      </text>
    </comment>
    <comment ref="H128" authorId="0">
      <text>
        <t>S7 1Q26ManagementReport.pdf | p.1 | 25%</t>
      </text>
    </comment>
    <comment ref="I128" authorId="0">
      <text>
        <t>S3 2Q26 ManagementReport.pdf | p.1 | 30%</t>
      </text>
    </comment>
    <comment ref="G128" authorId="0">
      <text>
        <t>S9 4Q25 Management Report.pdf | p.2 | 24%</t>
      </text>
    </comment>
    <comment ref="C131" authorId="0">
      <text>
        <t>S7 1Q26ManagementReport.pdf | p.1 | 36%</t>
      </text>
    </comment>
    <comment ref="D131" authorId="0">
      <text>
        <t>S11 3Q25ManagementReport.pdf | p.1 | 36%</t>
      </text>
    </comment>
    <comment ref="E131" authorId="0">
      <text>
        <t>S11 3Q25ManagementReport.pdf | p.1 | 37%</t>
      </text>
    </comment>
    <comment ref="F131" authorId="0">
      <text>
        <t>S9 4Q25 Management Report.pdf | p.1 | 35%</t>
      </text>
    </comment>
    <comment ref="H131" authorId="0">
      <text>
        <t>S7 1Q26ManagementReport.pdf | p.1 | 36%</t>
      </text>
    </comment>
    <comment ref="I131" authorId="0">
      <text>
        <t>S3 2Q26 ManagementReport.pdf | p.1 | 33%</t>
      </text>
    </comment>
    <comment ref="G131" authorId="0">
      <text>
        <t>S9 4Q25 Management Report.pdf | p.2 | 36%</t>
      </text>
    </comment>
    <comment ref="C134" authorId="0">
      <text>
        <t>S7 1Q26ManagementReport.pdf | p.1 | 15%</t>
      </text>
    </comment>
    <comment ref="D134" authorId="0">
      <text>
        <t>S11 3Q25ManagementReport.pdf | p.1 | 14%</t>
      </text>
    </comment>
    <comment ref="E134" authorId="0">
      <text>
        <t>S11 3Q25ManagementReport.pdf | p.1 | 14%</t>
      </text>
    </comment>
    <comment ref="F134" authorId="0">
      <text>
        <t>S9 4Q25 Management Report.pdf | p.1 | 14%</t>
      </text>
    </comment>
    <comment ref="H134" authorId="0">
      <text>
        <t>S7 1Q26ManagementReport.pdf | p.1 | 13%</t>
      </text>
    </comment>
    <comment ref="I134" authorId="0">
      <text>
        <t>S3 2Q26 ManagementReport.pdf | p.1 | 11%</t>
      </text>
    </comment>
    <comment ref="G134" authorId="0">
      <text>
        <t>S9 4Q25 Management Report.pdf | p.2 | 14%</t>
      </text>
    </comment>
    <comment ref="C140" authorId="0">
      <text>
        <t>S7 1Q26ManagementReport.pdf | p.1 | 7%</t>
      </text>
    </comment>
    <comment ref="D140" authorId="0">
      <text>
        <t>S11 3Q25ManagementReport.pdf | p.1 | 7%</t>
      </text>
    </comment>
    <comment ref="E140" authorId="0">
      <text>
        <t>S11 3Q25ManagementReport.pdf | p.1 | 7%</t>
      </text>
    </comment>
    <comment ref="F140" authorId="0">
      <text>
        <t>S9 4Q25 Management Report.pdf | p.1 | 6%</t>
      </text>
    </comment>
    <comment ref="H140" authorId="0">
      <text>
        <t>S7 1Q26ManagementReport.pdf | p.1 | 7%</t>
      </text>
    </comment>
    <comment ref="I140" authorId="0">
      <text>
        <t>S3 2Q26 ManagementReport.pdf | p.1 | 6%</t>
      </text>
    </comment>
    <comment ref="G140" authorId="0">
      <text>
        <t>S9 4Q25 Management Report.pdf | p.2 | 7%</t>
      </text>
    </comment>
    <comment ref="C143" authorId="0">
      <text>
        <t>S7 1Q26ManagementReport.pdf | p.1 | 7%</t>
      </text>
    </comment>
    <comment ref="D143" authorId="0">
      <text>
        <t>S11 3Q25ManagementReport.pdf | p.1 | 7%</t>
      </text>
    </comment>
    <comment ref="E143" authorId="0">
      <text>
        <t>S11 3Q25ManagementReport.pdf | p.1 | 7%</t>
      </text>
    </comment>
    <comment ref="F143" authorId="0">
      <text>
        <t>S9 4Q25 Management Report.pdf | p.1 | 6%</t>
      </text>
    </comment>
    <comment ref="H143" authorId="0">
      <text>
        <t>S7 1Q26ManagementReport.pdf | p.1 | 7%</t>
      </text>
    </comment>
    <comment ref="I143" authorId="0">
      <text>
        <t>S3 2Q26 ManagementReport.pdf | p.1 | 6%</t>
      </text>
    </comment>
    <comment ref="G143" authorId="0">
      <text>
        <t>S9 4Q25 Management Report.pdf | p.2 | 7%</t>
      </text>
    </comment>
    <comment ref="C146" authorId="0">
      <text>
        <t>S7 1Q26ManagementReport.pdf | p.1 | 3%</t>
      </text>
    </comment>
    <comment ref="D146" authorId="0">
      <text>
        <t>S11 3Q25ManagementReport.pdf | p.1 | 3%</t>
      </text>
    </comment>
    <comment ref="E146" authorId="0">
      <text>
        <t>S11 3Q25ManagementReport.pdf | p.1 | 3%</t>
      </text>
    </comment>
    <comment ref="F146" authorId="0">
      <text>
        <t>S9 4Q25 Management Report.pdf | p.1 | 3%</t>
      </text>
    </comment>
    <comment ref="H146" authorId="0">
      <text>
        <t>S7 1Q26ManagementReport.pdf | p.1 | 3%</t>
      </text>
    </comment>
    <comment ref="I146" authorId="0">
      <text>
        <t>S3 2Q26 ManagementReport.pdf | p.1 | 2%</t>
      </text>
    </comment>
    <comment ref="G146" authorId="0">
      <text>
        <t>S9 4Q25 Management Report.pdf | p.2 | 3%</t>
      </text>
    </comment>
    <comment ref="C149" authorId="0">
      <text>
        <t>S7 1Q26ManagementReport.pdf | p.1 | 4%</t>
      </text>
    </comment>
    <comment ref="D149" authorId="0">
      <text>
        <t>S11 3Q25ManagementReport.pdf | p.1 | 3%</t>
      </text>
    </comment>
    <comment ref="E149" authorId="0">
      <text>
        <t>S11 3Q25ManagementReport.pdf | p.1 | 4%</t>
      </text>
    </comment>
    <comment ref="F149" authorId="0">
      <text>
        <t>S9 4Q25 Management Report.pdf | p.1 | 4%</t>
      </text>
    </comment>
    <comment ref="H149" authorId="0">
      <text>
        <t>S7 1Q26ManagementReport.pdf | p.1 | 4%</t>
      </text>
    </comment>
    <comment ref="I149" authorId="0">
      <text>
        <t>S3 2Q26 ManagementReport.pdf | p.1 | 4%</t>
      </text>
    </comment>
    <comment ref="G149" authorId="0">
      <text>
        <t>S9 4Q25 Management Report.pdf | p.2 | 4%</t>
      </text>
    </comment>
    <comment ref="C152" authorId="0">
      <text>
        <t>S7 1Q26ManagementReport.pdf | p.1 | 1%</t>
      </text>
    </comment>
    <comment ref="D152" authorId="0">
      <text>
        <t>S11 3Q25ManagementReport.pdf | p.1 | 1%</t>
      </text>
    </comment>
    <comment ref="E152" authorId="0">
      <text>
        <t>S11 3Q25ManagementReport.pdf | p.1 | 1%</t>
      </text>
    </comment>
    <comment ref="F152" authorId="0">
      <text>
        <t>S9 4Q25 Management Report.pdf | p.1 | 1%</t>
      </text>
    </comment>
    <comment ref="H152" authorId="0">
      <text>
        <t>S7 1Q26ManagementReport.pdf | p.1 | 1%</t>
      </text>
    </comment>
    <comment ref="G152" authorId="0">
      <text>
        <t>S9 4Q25 Management Report.pdf | p.2 | 1%</t>
      </text>
    </comment>
    <comment ref="C153" authorId="0">
      <text>
        <t>S7 1Q26ManagementReport.pdf | p.1 | 2%</t>
      </text>
    </comment>
    <comment ref="D153" authorId="0">
      <text>
        <t>S11 3Q25ManagementReport.pdf | p.1 | 2%</t>
      </text>
    </comment>
    <comment ref="E153" authorId="0">
      <text>
        <t>S11 3Q25ManagementReport.pdf | p.1 | 1%</t>
      </text>
    </comment>
    <comment ref="F153" authorId="0">
      <text>
        <t>S9 4Q25 Management Report.pdf | p.1 | 1%</t>
      </text>
    </comment>
    <comment ref="H153" authorId="0">
      <text>
        <t>S7 1Q26ManagementReport.pdf | p.1 | 1%</t>
      </text>
    </comment>
    <comment ref="G153" authorId="0">
      <text>
        <t>S9 4Q25 Management Report.pdf | p.2 | 1%</t>
      </text>
    </comment>
    <comment ref="I154" authorId="0">
      <text>
        <t>S3 2Q26 ManagementReport.pdf | p.1 | 2%</t>
      </text>
    </comment>
    <comment ref="C157" authorId="0">
      <text>
        <t>S7 1Q26ManagementReport.pdf | p.1 | 3%</t>
      </text>
    </comment>
    <comment ref="D157" authorId="0">
      <text>
        <t>S11 3Q25ManagementReport.pdf | p.1 | 3%</t>
      </text>
    </comment>
    <comment ref="E157" authorId="0">
      <text>
        <t>S11 3Q25ManagementReport.pdf | p.1 | 3%</t>
      </text>
    </comment>
    <comment ref="F157" authorId="0">
      <text>
        <t>S9 4Q25 Management Report.pdf | p.1 | 2%</t>
      </text>
    </comment>
    <comment ref="H157" authorId="0">
      <text>
        <t>S7 1Q26ManagementReport.pdf | p.1 | 2%</t>
      </text>
    </comment>
    <comment ref="G157" authorId="0">
      <text>
        <t>S9 4Q25 Management Report.pdf | p.2 | 3%</t>
      </text>
    </comment>
    <comment ref="C158" authorId="0">
      <text>
        <t>S7 1Q26ManagementReport.pdf | p.1 | 0%</t>
      </text>
    </comment>
    <comment ref="D158" authorId="0">
      <text>
        <t>S11 3Q25ManagementReport.pdf | p.1 | 0%</t>
      </text>
    </comment>
    <comment ref="E158" authorId="0">
      <text>
        <t>S11 3Q25ManagementReport.pdf | p.1 | 0%</t>
      </text>
    </comment>
    <comment ref="F158" authorId="0">
      <text>
        <t>S9 4Q25 Management Report.pdf | p.1 | 0%</t>
      </text>
    </comment>
    <comment ref="H158" authorId="0">
      <text>
        <t>S7 1Q26ManagementReport.pdf | p.1 | 1%</t>
      </text>
    </comment>
    <comment ref="G158" authorId="0">
      <text>
        <t>S9 4Q25 Management Report.pdf | p.2 | 0%</t>
      </text>
    </comment>
    <comment ref="I159" authorId="0">
      <text>
        <t>S3 2Q26 ManagementReport.pdf | p.1 | 3%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3" authorId="0">
      <text>
        <t>S7 1Q26ManagementReport.pdf | p.1-3 | (345.85)</t>
      </text>
    </comment>
    <comment ref="D13" authorId="0">
      <text>
        <t>S3 2Q26 ManagementReport.pdf | p.1-3 | (386.42)</t>
      </text>
    </comment>
    <comment ref="E13" authorId="0">
      <text>
        <t>S11 3Q25ManagementReport.pdf | p.1-3 | (401.38)</t>
      </text>
    </comment>
    <comment ref="F13" authorId="0">
      <text>
        <t>S9 4Q25 Management Report.pdf | p.1-3 | (394.10)</t>
      </text>
    </comment>
    <comment ref="H13" authorId="0">
      <text>
        <t>S7 1Q26ManagementReport.pdf | p.1-3 | (382.80)</t>
      </text>
    </comment>
    <comment ref="I13" authorId="0">
      <text>
        <t>S3 2Q26 ManagementReport.pdf | p.1-3 | (410.07)</t>
      </text>
    </comment>
    <comment ref="C22" authorId="0">
      <text>
        <t>S7 1Q26ManagementReport.pdf | p.1-3 | (56.55)</t>
      </text>
    </comment>
    <comment ref="D22" authorId="0">
      <text>
        <t>S3 2Q26 ManagementReport.pdf | p.1-3 | (61.28)</t>
      </text>
    </comment>
    <comment ref="E22" authorId="0">
      <text>
        <t>S11 3Q25ManagementReport.pdf | p.1-3 | (63.74)</t>
      </text>
    </comment>
    <comment ref="F22" authorId="0">
      <text>
        <t>S9 4Q25 Management Report.pdf | p.1-3 | (64.86)</t>
      </text>
    </comment>
    <comment ref="H22" authorId="0">
      <text>
        <t>S7 1Q26ManagementReport.pdf | p.1-3 | (67.76)</t>
      </text>
    </comment>
    <comment ref="I22" authorId="0">
      <text>
        <t>S3 2Q26 ManagementReport.pdf | p.1-3 | (73.14)</t>
      </text>
    </comment>
    <comment ref="C29" authorId="0">
      <text>
        <t>S7 1Q26ManagementReport.pdf | p.1-3 | (28.64)</t>
      </text>
    </comment>
    <comment ref="D29" authorId="0">
      <text>
        <t>S3 2Q26 ManagementReport.pdf | p.1-3 | (23.23)</t>
      </text>
    </comment>
    <comment ref="E29" authorId="0">
      <text>
        <t>S11 3Q25ManagementReport.pdf | p.1-3 | (24.02)</t>
      </text>
    </comment>
    <comment ref="F29" authorId="0">
      <text>
        <t>S9 4Q25 Management Report.pdf | p.1-3 | (23.33)</t>
      </text>
    </comment>
    <comment ref="H29" authorId="0">
      <text>
        <t>S7 1Q26ManagementReport.pdf | p.1-3 | (26.25)</t>
      </text>
    </comment>
    <comment ref="I29" authorId="0">
      <text>
        <t>S3 2Q26 ManagementReport.pdf | p.1-3 | (25.84)</t>
      </text>
    </comment>
    <comment ref="C43" authorId="0">
      <text>
        <t>S7 1Q26ManagementReport.pdf | p.1-3 | (1.13)</t>
      </text>
    </comment>
    <comment ref="D43" authorId="0">
      <text>
        <t>S3 2Q26 ManagementReport.pdf | p.1-3 | 0.56</t>
      </text>
    </comment>
    <comment ref="E43" authorId="0">
      <text>
        <t>S11 3Q25ManagementReport.pdf | p.1-3 | (0.09)</t>
      </text>
    </comment>
    <comment ref="F43" authorId="0">
      <text>
        <t>S9 4Q25 Management Report.pdf | p.1-3 | 1.10</t>
      </text>
    </comment>
    <comment ref="H43" authorId="0">
      <text>
        <t>S7 1Q26ManagementReport.pdf | p.1-3 | 1.68</t>
      </text>
    </comment>
    <comment ref="I43" authorId="0">
      <text>
        <t>S3 2Q26 ManagementReport.pdf | p.1-3 | 5.27</t>
      </text>
    </comment>
    <comment ref="C52" authorId="0">
      <text>
        <t>S7 1Q26ManagementReport.pdf | p.1-3 | 1.37</t>
      </text>
    </comment>
    <comment ref="D52" authorId="0">
      <text>
        <t>S3 2Q26 ManagementReport.pdf | p.1-3 | 1.22</t>
      </text>
    </comment>
    <comment ref="E52" authorId="0">
      <text>
        <t>S11 3Q25ManagementReport.pdf | p.1-3 | 1.42</t>
      </text>
    </comment>
    <comment ref="F52" authorId="0">
      <text>
        <t>S9 4Q25 Management Report.pdf | p.1-3 | 1.48</t>
      </text>
    </comment>
    <comment ref="H52" authorId="0">
      <text>
        <t>S7 1Q26ManagementReport.pdf | p.1-3 | 1.69</t>
      </text>
    </comment>
    <comment ref="I52" authorId="0">
      <text>
        <t>S3 2Q26 ManagementReport.pdf | p.1-3 | 1.44</t>
      </text>
    </comment>
    <comment ref="C55" authorId="0">
      <text>
        <t>S7 1Q26ManagementReport.pdf | p.1-3 | 22.18</t>
      </text>
    </comment>
    <comment ref="D55" authorId="0">
      <text>
        <t>S3 2Q26 ManagementReport.pdf | p.1-3 | 21.50</t>
      </text>
    </comment>
    <comment ref="E55" authorId="0">
      <text>
        <t>S11 3Q25ManagementReport.pdf | p.1-3 | 23.22</t>
      </text>
    </comment>
    <comment ref="F55" authorId="0">
      <text>
        <t>S9 4Q25 Management Report.pdf | p.1-3 | 26.46</t>
      </text>
    </comment>
    <comment ref="H55" authorId="0">
      <text>
        <t>S7 1Q26ManagementReport.pdf | p.1-3 | 26.14</t>
      </text>
    </comment>
    <comment ref="I55" authorId="0">
      <text>
        <t>S3 2Q26 ManagementReport.pdf | p.1-3 | 26.96</t>
      </text>
    </comment>
    <comment ref="C58" authorId="0">
      <text>
        <t>S7 1Q26ManagementReport.pdf | p.1-3 | 0.27</t>
      </text>
    </comment>
    <comment ref="D58" authorId="0">
      <text>
        <t>S3 2Q26 ManagementReport.pdf | p.1-3 | 6.89</t>
      </text>
    </comment>
    <comment ref="E58" authorId="0">
      <text>
        <t>S11 3Q25ManagementReport.pdf | p.1-3 | 0.04</t>
      </text>
    </comment>
    <comment ref="F58" authorId="0">
      <text>
        <t>S9 4Q25 Management Report.pdf | p.1-3 | (0.48)</t>
      </text>
    </comment>
    <comment ref="H58" authorId="0">
      <text>
        <t>S7 1Q26ManagementReport.pdf | p.1-3 | 1.00</t>
      </text>
    </comment>
    <comment ref="I58" authorId="0">
      <text>
        <t>S3 2Q26 ManagementReport.pdf | p.1-3 | 67.43</t>
      </text>
    </comment>
    <comment ref="I61" authorId="0">
      <text>
        <t>S6 TSMC 2026Q2 Consolidated Financial Statements_E.pdf | p.18 (Note 13) | NT$63,202,285 thousand</t>
      </text>
    </comment>
    <comment ref="C71" authorId="0">
      <text>
        <t>S7 1Q26ManagementReport.pdf | p.1-3 | (70.17)</t>
      </text>
    </comment>
    <comment ref="D71" authorId="0">
      <text>
        <t>S3 2Q26 ManagementReport.pdf | p.1-3 | (95.55)</t>
      </text>
    </comment>
    <comment ref="E71" authorId="0">
      <text>
        <t>S11 3Q25ManagementReport.pdf | p.1-3 | (73.61)</t>
      </text>
    </comment>
    <comment ref="F71" authorId="0">
      <text>
        <t>S9 4Q25 Management Report.pdf | p.1-3 | (86.94)</t>
      </text>
    </comment>
    <comment ref="H71" authorId="0">
      <text>
        <t>S7 1Q26ManagementReport.pdf | p.1-3 | (115.00)</t>
      </text>
    </comment>
    <comment ref="I71" authorId="0">
      <text>
        <t>S3 2Q26 ManagementReport.pdf | p.1-3 | (155.65)</t>
      </text>
    </comment>
    <comment ref="C81" authorId="0">
      <text>
        <t>S7 1Q26ManagementReport.pdf | p.1-3 | 361.56</t>
      </text>
    </comment>
    <comment ref="D81" authorId="0">
      <text>
        <t>S3 2Q26 ManagementReport.pdf | p.1-3 | 398.27</t>
      </text>
    </comment>
    <comment ref="E81" authorId="0">
      <text>
        <t>S11 3Q25ManagementReport.pdf | p.1-3 | 452.30</t>
      </text>
    </comment>
    <comment ref="F81" authorId="0">
      <text>
        <t>S9 4Q25 Management Report.pdf | p.1-3 | 505.74</t>
      </text>
    </comment>
    <comment ref="H81" authorId="0">
      <text>
        <t>S7 1Q26ManagementReport.pdf | p.1-3 | 572.48</t>
      </text>
    </comment>
    <comment ref="I81" authorId="0">
      <text>
        <t>S3 2Q26 ManagementReport.pdf | p.1-3 | 706.56</t>
      </text>
    </comment>
    <comment ref="C97" authorId="0">
      <text>
        <t>S7 1Q26ManagementReport.pdf | p.1-3 | 13.94</t>
      </text>
    </comment>
    <comment ref="D97" authorId="0">
      <text>
        <t>S3 2Q26 ManagementReport.pdf | p.1-3 | 15.36</t>
      </text>
    </comment>
    <comment ref="E97" authorId="0">
      <text>
        <t>S11 3Q25ManagementReport.pdf | p.1-3 | 17.44</t>
      </text>
    </comment>
    <comment ref="F97" authorId="0">
      <text>
        <t>S9 4Q25 Management Report.pdf | p.1-3 | 19.50</t>
      </text>
    </comment>
    <comment ref="H97" authorId="0">
      <text>
        <t>S7 1Q26ManagementReport.pdf | p.1-3 | 22.08</t>
      </text>
    </comment>
    <comment ref="I97" authorId="0">
      <text>
        <t>S3 2Q26 ManagementReport.pdf | p.1-3 | 27.25</t>
      </text>
    </comment>
    <comment ref="G97" authorId="0">
      <text>
        <t>S9 4Q25 Management Report.pdf | p.1 | 66.25</t>
      </text>
    </comment>
    <comment ref="G104" authorId="0">
      <text>
        <t>S9 4Q25 Management Report.pdf | p.1 | 10.65</t>
      </text>
    </comment>
    <comment ref="I110" authorId="0">
      <text>
        <t>TSM_history.csv | row 7 | eps_normalized_actual 4.31 = eps_gaap_actual 4.31</t>
      </text>
    </comment>
    <comment ref="C111" authorId="0">
      <text>
        <t>TSM_history.csv | rows 2-7 | eps_normalized_actual = eps_gaap_actual</t>
      </text>
    </comment>
    <comment ref="D111" authorId="0">
      <text>
        <t>TSM_history.csv | rows 2-7 | eps_normalized_actual = eps_gaap_actual</t>
      </text>
    </comment>
    <comment ref="E111" authorId="0">
      <text>
        <t>TSM_history.csv | rows 2-7 | eps_normalized_actual = eps_gaap_actual</t>
      </text>
    </comment>
    <comment ref="F111" authorId="0">
      <text>
        <t>TSM_history.csv | rows 2-7 | eps_normalized_actual = eps_gaap_actual</t>
      </text>
    </comment>
    <comment ref="H111" authorId="0">
      <text>
        <t>TSM_history.csv | rows 2-7 | eps_normalized_actual = eps_gaap_actual</t>
      </text>
    </comment>
    <comment ref="I111" authorId="0">
      <text>
        <t>TSM_history.csv | rows 2-7 | eps_normalized_actual = eps_gaap_actual</t>
      </text>
    </comment>
    <comment ref="I119" authorId="0">
      <text>
        <t>S5 TSMC 2Q26 Transcript.pdf | p.3 | contributed 2.24 NT dollars to second-quarter EPS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0" authorId="0">
      <text>
        <t>S7 1Q26ManagementReport.pdf | p.1-3 | 2,394.80</t>
      </text>
    </comment>
    <comment ref="D10" authorId="0">
      <text>
        <t>S3 2Q26 ManagementReport.pdf | p.1-3 | 2,364.52</t>
      </text>
    </comment>
    <comment ref="E10" authorId="0">
      <text>
        <t>S11 3Q25ManagementReport.pdf | p.1-3 | 2,470.76</t>
      </text>
    </comment>
    <comment ref="F10" authorId="0">
      <text>
        <t>S9 4Q25 Management Report.pdf | p.1-3 | 2,767.86</t>
      </text>
    </comment>
    <comment ref="H10" authorId="0">
      <text>
        <t>S7 1Q26ManagementReport.pdf | p.1-3 | 3,035.64</t>
      </text>
    </comment>
    <comment ref="I10" authorId="0">
      <text>
        <t>S3 2Q26 ManagementReport.pdf | p.1-3 | 3,134.22</t>
      </text>
    </comment>
    <comment ref="C16" authorId="0">
      <text>
        <t>S7 1Q26ManagementReport.pdf | p.1-3 | 2,703.09</t>
      </text>
    </comment>
    <comment ref="D16" authorId="0">
      <text>
        <t>S3 2Q26 ManagementReport.pdf | p.1-3 | 2,634.43</t>
      </text>
    </comment>
    <comment ref="E16" authorId="0">
      <text>
        <t>S11 3Q25ManagementReport.pdf | p.1-3 | 2,751.06</t>
      </text>
    </comment>
    <comment ref="F16" authorId="0">
      <text>
        <t>S9 4Q25 Management Report.pdf | p.1-3 | 3,068.59</t>
      </text>
    </comment>
    <comment ref="H16" authorId="0">
      <text>
        <t>S7 1Q26ManagementReport.pdf | p.1-3 | 3,383.60</t>
      </text>
    </comment>
    <comment ref="I16" authorId="0">
      <text>
        <t>S3 2Q26 ManagementReport.pdf | p.1-3 | 3,518.01</t>
      </text>
    </comment>
    <comment ref="C19" authorId="0">
      <text>
        <t>S7 1Q26ManagementReport.pdf | p.1-3 | 243.95</t>
      </text>
    </comment>
    <comment ref="D19" authorId="0">
      <text>
        <t>S3 2Q26 ManagementReport.pdf | p.1-3 | 235.69</t>
      </text>
    </comment>
    <comment ref="E19" authorId="0">
      <text>
        <t>S11 3Q25ManagementReport.pdf | p.1-3 | 307.81</t>
      </text>
    </comment>
    <comment ref="F19" authorId="0">
      <text>
        <t>S9 4Q25 Management Report.pdf | p.1-3 | 281.79</t>
      </text>
    </comment>
    <comment ref="H19" authorId="0">
      <text>
        <t>S7 1Q26ManagementReport.pdf | p.1-3 | 363.01</t>
      </text>
    </comment>
    <comment ref="I19" authorId="0">
      <text>
        <t>S3 2Q26 ManagementReport.pdf | p.1-3 | 440.92</t>
      </text>
    </comment>
    <comment ref="C22" authorId="0">
      <text>
        <t>S7 1Q26ManagementReport.pdf | p.1-3 | 293.39</t>
      </text>
    </comment>
    <comment ref="D22" authorId="0">
      <text>
        <t>S3 2Q26 ManagementReport.pdf | p.1-3 | 304.19</t>
      </text>
    </comment>
    <comment ref="E22" authorId="0">
      <text>
        <t>S11 3Q25ManagementReport.pdf | p.1-3 | 288.69</t>
      </text>
    </comment>
    <comment ref="F22" authorId="0">
      <text>
        <t>S9 4Q25 Management Report.pdf | p.1-3 | 288.11</t>
      </text>
    </comment>
    <comment ref="H22" authorId="0">
      <text>
        <t>S7 1Q26ManagementReport.pdf | p.1-3 | 311.45</t>
      </text>
    </comment>
    <comment ref="I22" authorId="0">
      <text>
        <t>S3 2Q26 ManagementReport.pdf | p.1-3 | 385.53</t>
      </text>
    </comment>
    <comment ref="C25" authorId="0">
      <text>
        <t>S7 1Q26ManagementReport.pdf | p.1-3 | 105.24</t>
      </text>
    </comment>
    <comment ref="D25" authorId="0">
      <text>
        <t>S3 2Q26 ManagementReport.pdf | p.1-3 | 90.61</t>
      </text>
    </comment>
    <comment ref="E25" authorId="0">
      <text>
        <t>S11 3Q25ManagementReport.pdf | p.1-3 | 88.46</t>
      </text>
    </comment>
    <comment ref="F25" authorId="0">
      <text>
        <t>S9 4Q25 Management Report.pdf | p.1-3 | 178.64</t>
      </text>
    </comment>
    <comment ref="H25" authorId="0">
      <text>
        <t>S7 1Q26ManagementReport.pdf | p.1-3 | 207.45</t>
      </text>
    </comment>
    <comment ref="I25" authorId="0">
      <text>
        <t>S3 2Q26 ManagementReport.pdf | p.1-3 | 221.24</t>
      </text>
    </comment>
    <comment ref="C29" authorId="0">
      <text>
        <t>S8 1Q26 Presentation (SEC a1q26presentatione.htm) | slide 6 | 160.79</t>
      </text>
    </comment>
    <comment ref="D29" authorId="0">
      <text>
        <t>S4 2Q26 Presentation (SEC a2q26presentatione.htm) | slide 7 | 137.43</t>
      </text>
    </comment>
    <comment ref="E29" authorId="0">
      <text>
        <t>S10 4Q25 Presentation (SEC a4q25presentatione.htm) | slide 9 | 148.98</t>
      </text>
    </comment>
    <comment ref="F29" authorId="0">
      <text>
        <t>S10 4Q25 Presentation (SEC a4q25presentatione.htm) | slide 9 | 172.37</t>
      </text>
    </comment>
    <comment ref="H29" authorId="0">
      <text>
        <t>S8 1Q26 Presentation (SEC a1q26presentatione.htm) | slide 6 | 166.57</t>
      </text>
    </comment>
    <comment ref="I29" authorId="0">
      <text>
        <t>S4 2Q26 Presentation (SEC a2q26presentatione.htm) | slide 7 | 227.93</t>
      </text>
    </comment>
    <comment ref="C32" authorId="0">
      <text>
        <t>S8 1Q26 Presentation (SEC a1q26presentatione.htm) | slide 6 | 3,400.81</t>
      </text>
    </comment>
    <comment ref="D32" authorId="0">
      <text>
        <t>S4 2Q26 Presentation (SEC a2q26presentatione.htm) | slide 7 | 3,386.21</t>
      </text>
    </comment>
    <comment ref="E32" authorId="0">
      <text>
        <t>S10 4Q25 Presentation (SEC a4q25presentatione.htm) | slide 9 | 3,499.34</t>
      </text>
    </comment>
    <comment ref="F32" authorId="0">
      <text>
        <t>S10 4Q25 Presentation (SEC a4q25presentatione.htm) | slide 9 | 3,691.84</t>
      </text>
    </comment>
    <comment ref="H32" authorId="0">
      <text>
        <t>S8 1Q26 Presentation (SEC a1q26presentatione.htm) | slide 6 | 3,954.68</t>
      </text>
    </comment>
    <comment ref="I32" authorId="0">
      <text>
        <t>S4 2Q26 Presentation (SEC a2q26presentatione.htm) | slide 7 | 4,302.88</t>
      </text>
    </comment>
    <comment ref="C41" authorId="0">
      <text>
        <t>S8 1Q26 Presentation (SEC a1q26presentatione.htm) | slide 6 | 7,133.29</t>
      </text>
    </comment>
    <comment ref="D41" authorId="0">
      <text>
        <t>S4 2Q26 Presentation (SEC a2q26presentatione.htm) | slide 7 | 7,006.35</t>
      </text>
    </comment>
    <comment ref="E41" authorId="0">
      <text>
        <t>S10 4Q25 Presentation (SEC a4q25presentatione.htm) | slide 9 | 7,354.11</t>
      </text>
    </comment>
    <comment ref="F41" authorId="0">
      <text>
        <t>S10 4Q25 Presentation (SEC a4q25presentatione.htm) | slide 9 | 7,933.02</t>
      </text>
    </comment>
    <comment ref="H41" authorId="0">
      <text>
        <t>S8 1Q26 Presentation (SEC a1q26presentatione.htm) | slide 6 | 8,660.95</t>
      </text>
    </comment>
    <comment ref="I41" authorId="0">
      <text>
        <t>S4 2Q26 Presentation (SEC a2q26presentatione.htm) | slide 7 | 9,375.65</t>
      </text>
    </comment>
    <comment ref="C44" authorId="0">
      <text>
        <t>S7 1Q26ManagementReport.pdf | p.1-3 | 275.94</t>
      </text>
    </comment>
    <comment ref="D44" authorId="0">
      <text>
        <t>S3 2Q26 ManagementReport.pdf | p.1-3 | 246.19</t>
      </text>
    </comment>
    <comment ref="E44" authorId="0">
      <text>
        <t>S11 3Q25ManagementReport.pdf | p.1-3 | 261.82</t>
      </text>
    </comment>
    <comment ref="F44" authorId="0">
      <text>
        <t>S9 4Q25 Management Report.pdf | p.1-3 | 262.06</t>
      </text>
    </comment>
    <comment ref="H44" authorId="0">
      <text>
        <t>S7 1Q26ManagementReport.pdf | p.1-3 | 343.78</t>
      </text>
    </comment>
    <comment ref="I44" authorId="0">
      <text>
        <t>S3 2Q26 ManagementReport.pdf | p.1-3 | 401.48</t>
      </text>
    </comment>
    <comment ref="C47" authorId="0">
      <text>
        <t>S7 1Q26ManagementReport.pdf | p.1-3 | 61.77</t>
      </text>
    </comment>
    <comment ref="D47" authorId="0">
      <text>
        <t>S3 2Q26 ManagementReport.pdf | p.1-3 | 94.21</t>
      </text>
    </comment>
    <comment ref="E47" authorId="0">
      <text>
        <t>S11 3Q25ManagementReport.pdf | p.1-3 | 76.22</t>
      </text>
    </comment>
    <comment ref="F47" authorId="0">
      <text>
        <t>S9 4Q25 Management Report.pdf | p.1-3 | 136.93</t>
      </text>
    </comment>
    <comment ref="H47" authorId="0">
      <text>
        <t>S7 1Q26ManagementReport.pdf | p.1-3 | 156.24</t>
      </text>
    </comment>
    <comment ref="I47" authorId="0">
      <text>
        <t>S3 2Q26 ManagementReport.pdf | p.1-3 | 167.41</t>
      </text>
    </comment>
    <comment ref="C50" authorId="0">
      <text>
        <t>S7 1Q26ManagementReport.pdf | p.1-3 | 233.39</t>
      </text>
    </comment>
    <comment ref="D50" authorId="0">
      <text>
        <t>S3 2Q26 ManagementReport.pdf | p.1-3 | 246.67</t>
      </text>
    </comment>
    <comment ref="E50" authorId="0">
      <text>
        <t>S11 3Q25ManagementReport.pdf | p.1-3 | 259.33</t>
      </text>
    </comment>
    <comment ref="F50" authorId="0">
      <text>
        <t>S9 4Q25 Management Report.pdf | p.1-3 | 285.26</t>
      </text>
    </comment>
    <comment ref="H50" authorId="0">
      <text>
        <t>S7 1Q26ManagementReport.pdf | p.1-3 | 311.19</t>
      </text>
    </comment>
    <comment ref="I50" authorId="0">
      <text>
        <t>S3 2Q26 ManagementReport.pdf | p.1-3 | 337.43</t>
      </text>
    </comment>
    <comment ref="C53" authorId="0">
      <text>
        <t>S7 1Q26ManagementReport.pdf | p.1-3 | 828.70</t>
      </text>
    </comment>
    <comment ref="D53" authorId="0">
      <text>
        <t>S3 2Q26 ManagementReport.pdf | p.1-3 | 790.24</t>
      </text>
    </comment>
    <comment ref="E53" authorId="0">
      <text>
        <t>S11 3Q25ManagementReport.pdf | p.1-3 | 678.54</t>
      </text>
    </comment>
    <comment ref="F53" authorId="0">
      <text>
        <t>S9 4Q25 Management Report.pdf | p.1-3 | 773.77</t>
      </text>
    </comment>
    <comment ref="H53" authorId="0">
      <text>
        <t>S7 1Q26ManagementReport.pdf | p.1-3 | 903.04</t>
      </text>
    </comment>
    <comment ref="I53" authorId="0">
      <text>
        <t>S3 2Q26 ManagementReport.pdf | p.1-3 | 951.44</t>
      </text>
    </comment>
    <comment ref="C59" authorId="0">
      <text>
        <t>S8 1Q26 Presentation (SEC a1q26presentatione.htm) | slide 6 | 986.98</t>
      </text>
    </comment>
    <comment ref="D59" authorId="0">
      <text>
        <t>S4 2Q26 Presentation (SEC a2q26presentatione.htm) | slide 7 | 883.67</t>
      </text>
    </comment>
    <comment ref="E59" authorId="0">
      <text>
        <t>S10 4Q25 Presentation (SEC a4q25presentatione.htm) | slide 9 | 918.23</t>
      </text>
    </comment>
    <comment ref="F59" authorId="0">
      <text>
        <t>S10 4Q25 Presentation (SEC a4q25presentatione.htm) | slide 9 | 896.06</t>
      </text>
    </comment>
    <comment ref="H59" authorId="0">
      <text>
        <t>S8 1Q26 Presentation (SEC a1q26presentatione.htm) | slide 6 | 901.02</t>
      </text>
    </comment>
    <comment ref="I59" authorId="0">
      <text>
        <t>S4 2Q26 Presentation (SEC a2q26presentatione.htm) | slide 7 | 864.27</t>
      </text>
    </comment>
    <comment ref="C68" authorId="0">
      <text>
        <t>S8 1Q26 Presentation (SEC a1q26presentatione.htm) | slide 6 | 2,531.66</t>
      </text>
    </comment>
    <comment ref="D68" authorId="0">
      <text>
        <t>S4 2Q26 Presentation (SEC a2q26presentatione.htm) | slide 7 | 2,389.72</t>
      </text>
    </comment>
    <comment ref="E68" authorId="0">
      <text>
        <t>S10 4Q25 Presentation (SEC a4q25presentatione.htm) | slide 9 | 2,318.53</t>
      </text>
    </comment>
    <comment ref="F68" authorId="0">
      <text>
        <t>S10 4Q25 Presentation (SEC a4q25presentatione.htm) | slide 9 | 2,472.23</t>
      </text>
    </comment>
    <comment ref="H68" authorId="0">
      <text>
        <t>S8 1Q26 Presentation (SEC a1q26presentatione.htm) | slide 6 | 2,728.56</t>
      </text>
    </comment>
    <comment ref="I68" authorId="0">
      <text>
        <t>S4 2Q26 Presentation (SEC a2q26presentatione.htm) | slide 7 | 2,901.18</t>
      </text>
    </comment>
    <comment ref="C69" authorId="0">
      <text>
        <t>S8 1Q26 Presentation (SEC a1q26presentatione.htm) | slide 6 | 4,601.63</t>
      </text>
    </comment>
    <comment ref="D69" authorId="0">
      <text>
        <t>S4 2Q26 Presentation (SEC a2q26presentatione.htm) | slide 7 | 4,616.63</t>
      </text>
    </comment>
    <comment ref="E69" authorId="0">
      <text>
        <t>S10 4Q25 Presentation (SEC a4q25presentatione.htm) | slide 9 | 5,035.58</t>
      </text>
    </comment>
    <comment ref="F69" authorId="0">
      <text>
        <t>S10 4Q25 Presentation (SEC a4q25presentatione.htm) | slide 9 | 5,460.79</t>
      </text>
    </comment>
    <comment ref="H69" authorId="0">
      <text>
        <t>S8 1Q26 Presentation (SEC a1q26presentatione.htm) | slide 6 | 5,932.39</t>
      </text>
    </comment>
    <comment ref="I69" authorId="0">
      <text>
        <t>S4 2Q26 Presentation (SEC a2q26presentatione.htm) | slide 7 | 6,474.47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S8 1Q26 Presentation (SEC a1q26presentatione.htm) | slide 7 | Beginning Balance 2,127.63</t>
      </text>
    </comment>
    <comment ref="C12" authorId="0">
      <text>
        <t>S7 1Q26ManagementReport.pdf | p.1-3 | 175.13</t>
      </text>
    </comment>
    <comment ref="D12" authorId="0">
      <text>
        <t>S3 2Q26 ManagementReport.pdf | p.1-3 | 188.07</t>
      </text>
    </comment>
    <comment ref="E12" authorId="0">
      <text>
        <t>S11 3Q25ManagementReport.pdf | p.1-3 | 162.79</t>
      </text>
    </comment>
    <comment ref="F12" authorId="0">
      <text>
        <t>S9 4Q25 Management Report.pdf | p.1-3 | 162.11</t>
      </text>
    </comment>
    <comment ref="H12" authorId="0">
      <text>
        <t>S7 1Q26ManagementReport.pdf | p.1-3 | 165.45</t>
      </text>
    </comment>
    <comment ref="I12" authorId="0">
      <text>
        <t>S3 2Q26 ManagementReport.pdf | p.1-3 | 198.54</t>
      </text>
    </comment>
    <comment ref="E19" authorId="0">
      <text>
        <t>S11 3Q25ManagementReport.pdf | p.4 | NT$137.27 billion</t>
      </text>
    </comment>
    <comment ref="I19" authorId="0">
      <text>
        <t>S3 2Q26 ManagementReport.pdf | p.4 | NT$188.22 billion</t>
      </text>
    </comment>
    <comment ref="E24" authorId="0">
      <text>
        <t>S11 3Q25ManagementReport.pdf | p.4 | NT$122.64 billion</t>
      </text>
    </comment>
    <comment ref="I24" authorId="0">
      <text>
        <t>S3 2Q26 ManagementReport.pdf | p.4 | NT$87.95 billion</t>
      </text>
    </comment>
    <comment ref="C27" authorId="0">
      <text>
        <t>S7 1Q26ManagementReport.pdf | p.1-3 | 625.57</t>
      </text>
    </comment>
    <comment ref="D27" authorId="0">
      <text>
        <t>S3 2Q26 ManagementReport.pdf | p.1-3 | 497.07</t>
      </text>
    </comment>
    <comment ref="E27" authorId="0">
      <text>
        <t>S11 3Q25ManagementReport.pdf | p.1-3 | 426.83</t>
      </text>
    </comment>
    <comment ref="F27" authorId="0">
      <text>
        <t>S9 4Q25 Management Report.pdf | p.1-3 | 725.51</t>
      </text>
    </comment>
    <comment ref="H27" authorId="0">
      <text>
        <t>S7 1Q26ManagementReport.pdf | p.1-3 | 698.97</t>
      </text>
    </comment>
    <comment ref="I27" authorId="0">
      <text>
        <t>S3 2Q26 ManagementReport.pdf | p.1-3 | 783.36</t>
      </text>
    </comment>
    <comment ref="C31" authorId="0">
      <text>
        <t>S7 1Q26ManagementReport.pdf | p.1-3 | (330.83)</t>
      </text>
    </comment>
    <comment ref="D31" authorId="0">
      <text>
        <t>S3 2Q26 ManagementReport.pdf | p.1-3 | (297.22)</t>
      </text>
    </comment>
    <comment ref="E31" authorId="0">
      <text>
        <t>S11 3Q25ManagementReport.pdf | p.1-3 | (287.45)</t>
      </text>
    </comment>
    <comment ref="F31" authorId="0">
      <text>
        <t>S9 4Q25 Management Report.pdf | p.1-3 | (356.91)</t>
      </text>
    </comment>
    <comment ref="H31" authorId="0">
      <text>
        <t>S7 1Q26ManagementReport.pdf | p.1-3 | (350.76)</t>
      </text>
    </comment>
    <comment ref="I31" authorId="0">
      <text>
        <t>S3 2Q26 ManagementReport.pdf | p.1-3 | (496.00)</t>
      </text>
    </comment>
    <comment ref="C34" authorId="0">
      <text>
        <t>S7 1Q26ManagementReport.pdf | p.1-3 | (16.81)</t>
      </text>
    </comment>
    <comment ref="D34" authorId="0">
      <text>
        <t>S3 2Q26 ManagementReport.pdf | p.1-3 | 11.75</t>
      </text>
    </comment>
    <comment ref="E34" authorId="0">
      <text>
        <t>S11 3Q25ManagementReport.pdf | p.1-3 | (1.25)</t>
      </text>
    </comment>
    <comment ref="F34" authorId="0">
      <text>
        <t>S9 4Q25 Management Report.pdf | p.1-3 | (30.80)</t>
      </text>
    </comment>
    <comment ref="H34" authorId="0">
      <text>
        <t>S7 1Q26ManagementReport.pdf | p.1-3 | (30.32)</t>
      </text>
    </comment>
    <comment ref="I34" authorId="0">
      <text>
        <t>S3 2Q26 ManagementReport.pdf | p.1-3 | (36.96)</t>
      </text>
    </comment>
    <comment ref="C37" authorId="0">
      <text>
        <t>S7 1Q26ManagementReport.pdf | p.1-3 | 57.45</t>
      </text>
    </comment>
    <comment ref="D37" authorId="0">
      <text>
        <t>S3 2Q26 ManagementReport.pdf | p.1-3 | 56.98</t>
      </text>
    </comment>
    <comment ref="E37" authorId="0">
      <text>
        <t>S11 3Q25ManagementReport.pdf | p.1-3 | 28.95</t>
      </text>
    </comment>
    <comment ref="F37" authorId="0">
      <text>
        <t>S9 4Q25 Management Report.pdf | p.1-3 | 21.75</t>
      </text>
    </comment>
    <comment ref="H37" authorId="0">
      <text>
        <t>S7 1Q26ManagementReport.pdf | p.1-3 | 24.23</t>
      </text>
    </comment>
    <comment ref="I37" authorId="0">
      <text>
        <t>S3 2Q26 ManagementReport.pdf | p.1-3 | 40.15</t>
      </text>
    </comment>
    <comment ref="C44" authorId="0">
      <text>
        <t>S7 1Q26ManagementReport.pdf | p.1-3 | (103.72)</t>
      </text>
    </comment>
    <comment ref="D44" authorId="0">
      <text>
        <t>S3 2Q26 ManagementReport.pdf | p.1-3 | (116.70)</t>
      </text>
    </comment>
    <comment ref="E44" authorId="0">
      <text>
        <t>S11 3Q25ManagementReport.pdf | p.1-3 | (116.70)</t>
      </text>
    </comment>
    <comment ref="F44" authorId="0">
      <text>
        <t>S9 4Q25 Management Report.pdf | p.1-3 | (129.66)</t>
      </text>
    </comment>
    <comment ref="H44" authorId="0">
      <text>
        <t>S7 1Q26ManagementReport.pdf | p.1-3 | (129.66)</t>
      </text>
    </comment>
    <comment ref="I44" authorId="0">
      <text>
        <t>S3 2Q26 ManagementReport.pdf | p.1-3 | (155.59)</t>
      </text>
    </comment>
    <comment ref="C47" authorId="0">
      <text>
        <t>S7 1Q26ManagementReport.pdf | p.1-3 | 16.20</t>
      </text>
    </comment>
    <comment ref="D47" authorId="0">
      <text>
        <t>S3 2Q26 ManagementReport.pdf | p.1-3 | 3.70</t>
      </text>
    </comment>
    <comment ref="E47" authorId="0">
      <text>
        <t>S11 3Q25ManagementReport.pdf | p.1-3 | (9.06)</t>
      </text>
    </comment>
    <comment ref="F47" authorId="0">
      <text>
        <t>S9 4Q25 Management Report.pdf | p.1-3 | 21.75</t>
      </text>
    </comment>
    <comment ref="H47" authorId="0">
      <text>
        <t>S7 1Q26ManagementReport.pdf | p.1-3 | 12.40</t>
      </text>
    </comment>
    <comment ref="I47" authorId="0">
      <text>
        <t>S3 2Q26 ManagementReport.pdf | p.1-3 | (31.66)</t>
      </text>
    </comment>
    <comment ref="C50" authorId="0">
      <text>
        <t>S7 1Q26ManagementReport.pdf | p.1-3 | 2.85</t>
      </text>
    </comment>
    <comment ref="D50" authorId="0">
      <text>
        <t>S3 2Q26 ManagementReport.pdf | p.1-3 | (6.70)</t>
      </text>
    </comment>
    <comment ref="E50" authorId="0">
      <text>
        <t>S11 3Q25ManagementReport.pdf | p.1-3 | (2.53)</t>
      </text>
    </comment>
    <comment ref="F50" authorId="0">
      <text>
        <t>S9 4Q25 Management Report.pdf | p.1-3 | 0.22</t>
      </text>
    </comment>
    <comment ref="H50" authorId="0">
      <text>
        <t>S7 1Q26ManagementReport.pdf | p.1-3 | (2.65)</t>
      </text>
    </comment>
    <comment ref="I50" authorId="0">
      <text>
        <t>S3 2Q26 ManagementReport.pdf | p.1-3 | 2.60</t>
      </text>
    </comment>
    <comment ref="C56" authorId="0">
      <text>
        <t>S7 1Q26ManagementReport.pdf | p.1-3 | 16.46</t>
      </text>
    </comment>
    <comment ref="D56" authorId="0">
      <text>
        <t>S3 2Q26 ManagementReport.pdf | p.1-3 | (179.16)</t>
      </text>
    </comment>
    <comment ref="E56" authorId="0">
      <text>
        <t>S11 3Q25ManagementReport.pdf | p.1-3 | 67.45</t>
      </text>
    </comment>
    <comment ref="F56" authorId="0">
      <text>
        <t>S9 4Q25 Management Report.pdf | p.1-3 | 45.24</t>
      </text>
    </comment>
    <comment ref="H56" authorId="0">
      <text>
        <t>S7 1Q26ManagementReport.pdf | p.1-3 | 45.57</t>
      </text>
    </comment>
    <comment ref="I56" authorId="0">
      <text>
        <t>S3 2Q26 ManagementReport.pdf | p.1-3 | (7.32)</t>
      </text>
    </comment>
    <comment ref="C68" authorId="0">
      <text>
        <t>S9 4Q25 Management Report.pdf | p.4 | 10.06</t>
      </text>
    </comment>
    <comment ref="D68" authorId="0">
      <text>
        <t>S9 4Q25 Management Report.pdf | p.4 | 9.63</t>
      </text>
    </comment>
    <comment ref="E68" authorId="0">
      <text>
        <t>S9 4Q25 Management Report.pdf | p.4 | 9.70</t>
      </text>
    </comment>
    <comment ref="F68" authorId="0">
      <text>
        <t>S9 4Q25 Management Report.pdf | p.4 | 11.51</t>
      </text>
    </comment>
    <comment ref="H68" authorId="0">
      <text>
        <t>S3 2Q26 ManagementReport.pdf | p.4 | 11.10</t>
      </text>
    </comment>
    <comment ref="I68" authorId="0">
      <text>
        <t>S3 2Q26 ManagementReport.pdf | p.4 | 15.70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15" authorId="0">
      <text>
        <t>S7 1Q26ManagementReport.pdf | p.1 | 77%</t>
      </text>
    </comment>
    <comment ref="D15" authorId="0">
      <text>
        <t>S11 3Q25ManagementReport.pdf | p.1 | 75%</t>
      </text>
    </comment>
    <comment ref="E15" authorId="0">
      <text>
        <t>S11 3Q25ManagementReport.pdf | p.1 | 76%</t>
      </text>
    </comment>
    <comment ref="F15" authorId="0">
      <text>
        <t>S9 4Q25 Management Report.pdf | p.1 | 74%</t>
      </text>
    </comment>
    <comment ref="H15" authorId="0">
      <text>
        <t>S7 1Q26ManagementReport.pdf | p.1 | 76%</t>
      </text>
    </comment>
    <comment ref="I15" authorId="0">
      <text>
        <t>S3 2Q26 ManagementReport.pdf | p.1 | 78%</t>
      </text>
    </comment>
    <comment ref="C25" authorId="0">
      <text>
        <t>S7 1Q26ManagementReport.pdf | p.1 | 9%</t>
      </text>
    </comment>
    <comment ref="D25" authorId="0">
      <text>
        <t>S11 3Q25ManagementReport.pdf | p.1 | 9%</t>
      </text>
    </comment>
    <comment ref="E25" authorId="0">
      <text>
        <t>S11 3Q25ManagementReport.pdf | p.1 | 9%</t>
      </text>
    </comment>
    <comment ref="F25" authorId="0">
      <text>
        <t>S9 4Q25 Management Report.pdf | p.1 | 9%</t>
      </text>
    </comment>
    <comment ref="H25" authorId="0">
      <text>
        <t>S7 1Q26ManagementReport.pdf | p.1 | 9%</t>
      </text>
    </comment>
    <comment ref="I25" authorId="0">
      <text>
        <t>S3 2Q26 ManagementReport.pdf | p.1 | 8%</t>
      </text>
    </comment>
    <comment ref="C35" authorId="0">
      <text>
        <t>S7 1Q26ManagementReport.pdf | p.1 | 7%</t>
      </text>
    </comment>
    <comment ref="D35" authorId="0">
      <text>
        <t>S11 3Q25ManagementReport.pdf | p.1 | 9%</t>
      </text>
    </comment>
    <comment ref="E35" authorId="0">
      <text>
        <t>S11 3Q25ManagementReport.pdf | p.1 | 8%</t>
      </text>
    </comment>
    <comment ref="F35" authorId="0">
      <text>
        <t>S9 4Q25 Management Report.pdf | p.1 | 9%</t>
      </text>
    </comment>
    <comment ref="H35" authorId="0">
      <text>
        <t>S7 1Q26ManagementReport.pdf | p.1 | 7%</t>
      </text>
    </comment>
    <comment ref="I35" authorId="0">
      <text>
        <t>S3 2Q26 ManagementReport.pdf | p.1 | 6%</t>
      </text>
    </comment>
    <comment ref="C45" authorId="0">
      <text>
        <t>S7 1Q26ManagementReport.pdf | p.1 | 4%</t>
      </text>
    </comment>
    <comment ref="D45" authorId="0">
      <text>
        <t>S11 3Q25ManagementReport.pdf | p.1 | 4%</t>
      </text>
    </comment>
    <comment ref="E45" authorId="0">
      <text>
        <t>S11 3Q25ManagementReport.pdf | p.1 | 4%</t>
      </text>
    </comment>
    <comment ref="F45" authorId="0">
      <text>
        <t>S9 4Q25 Management Report.pdf | p.1 | 4%</t>
      </text>
    </comment>
    <comment ref="H45" authorId="0">
      <text>
        <t>S7 1Q26ManagementReport.pdf | p.1 | 4%</t>
      </text>
    </comment>
    <comment ref="I45" authorId="0">
      <text>
        <t>S3 2Q26 ManagementReport.pdf | p.1 | 4%</t>
      </text>
    </comment>
    <comment ref="C55" authorId="0">
      <text>
        <t>S7 1Q26ManagementReport.pdf | p.1 | 3%</t>
      </text>
    </comment>
    <comment ref="D55" authorId="0">
      <text>
        <t>S11 3Q25ManagementReport.pdf | p.1 | 3%</t>
      </text>
    </comment>
    <comment ref="E55" authorId="0">
      <text>
        <t>S11 3Q25ManagementReport.pdf | p.1 | 3%</t>
      </text>
    </comment>
    <comment ref="F55" authorId="0">
      <text>
        <t>S9 4Q25 Management Report.pdf | p.1 | 4%</t>
      </text>
    </comment>
    <comment ref="H55" authorId="0">
      <text>
        <t>S7 1Q26ManagementReport.pdf | p.1 | 4%</t>
      </text>
    </comment>
    <comment ref="I55" authorId="0">
      <text>
        <t>S3 2Q26 ManagementReport.pdf | p.1 | 4%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F9" authorId="0">
      <text>
        <t>S10 4Q25 Presentation (SEC a4q25presentatione.htm) | slide 9 | 25,933mn units at 12/31/25</t>
      </text>
    </comment>
    <comment ref="H9" authorId="0">
      <text>
        <t>S8 1Q26 Presentation (SEC a1q26presentatione.htm) | slide 6 | 25,932mn units at 3/31/26</t>
      </text>
    </comment>
    <comment ref="I9" authorId="0">
      <text>
        <t>S4 2Q26 Presentation (SEC a2q26presentatione.htm) | slide 7 | 25,932mn units at 6/30/26</t>
      </text>
    </comment>
    <comment ref="D12" authorId="0">
      <text>
        <t>S6 TSMC 2026Q2 Consolidated Financial Statements_E.pdf | p.35 (Note 25) | 25,927,526</t>
      </text>
    </comment>
    <comment ref="I12" authorId="0">
      <text>
        <t>S6 TSMC 2026Q2 Consolidated Financial Statements_E.pdf | p.35 (Note 25) | 25,930,160</t>
      </text>
    </comment>
    <comment ref="D13" authorId="0">
      <text>
        <t>S6 TSMC 2026Q2 Consolidated Financial Statements_E.pdf | p.35 (Note 25) | 25,928,771</t>
      </text>
    </comment>
    <comment ref="I13" authorId="0">
      <text>
        <t>S6 TSMC 2026Q2 Consolidated Financial Statements_E.pdf | p.35 (Note 25) | 25,931,544</t>
      </text>
    </comment>
    <comment ref="D14" authorId="0">
      <text>
        <t>S6 TSMC 2026Q2 Consolidated Financial Statements_E.pdf | p.35 (Note 25) | 25,928,255</t>
      </text>
    </comment>
    <comment ref="G14" authorId="0">
      <text>
        <t>S13 2025 Q4 Consolidated Report (SEC a2025q4consolidatedreport.htm) | p.61 (Note 26) | 25,928,262</t>
      </text>
    </comment>
    <comment ref="I14" authorId="0">
      <text>
        <t>S6 TSMC 2026Q2 Consolidated Financial Statements_E.pdf | p.35 (Note 25) | 25,930,549</t>
      </text>
    </comment>
    <comment ref="D17" authorId="0">
      <text>
        <t>S6 TSMC 2026Q2 Consolidated Financial Statements_E.pdf | p.35 (Note 25) | 25,928,877</t>
      </text>
    </comment>
    <comment ref="E17" authorId="0">
      <text>
        <t>S11 3Q25ManagementReport.pdf | p.1 | 25,930mn units in 3Q25</t>
      </text>
    </comment>
    <comment ref="F17" authorId="0">
      <text>
        <t>S9 4Q25 Management Report.pdf | p.1 | 25,931mn units in 4Q25</t>
      </text>
    </comment>
    <comment ref="G17" authorId="0">
      <text>
        <t>S13 2025 Q4 Consolidated Report (SEC a2025q4consolidatedreport.htm) | p.61 (Note 26) | 25,930,557</t>
      </text>
    </comment>
    <comment ref="I17" authorId="0">
      <text>
        <t>S6 TSMC 2026Q2 Consolidated Financial Statements_E.pdf | p.35 (Note 25) | 25,931,771</t>
      </text>
    </comment>
    <comment ref="C26" authorId="0">
      <text>
        <t>TSM_consensus.json | n/a | 1 ADR = 5 ordinary shares</t>
      </text>
    </comment>
    <comment ref="E33" authorId="0">
      <text>
        <t>S22 TSMC Dividend History (investor.tsmc.com/english/dividends) | table | 2Q25 NT$5.00001118</t>
      </text>
    </comment>
    <comment ref="F33" authorId="0">
      <text>
        <t>S22 TSMC Dividend History (investor.tsmc.com/english/dividends) | table | 3Q25 NT$6.00003573</t>
      </text>
    </comment>
    <comment ref="H33" authorId="0">
      <text>
        <t>S22 TSMC Dividend History (investor.tsmc.com/english/dividends) | table | 4Q25 NT$6.00003573</t>
      </text>
    </comment>
    <comment ref="I33" authorId="0">
      <text>
        <t>S22 TSMC Dividend History (investor.tsmc.com/english/dividends) | table | 1Q26 NT$7.00000137</t>
      </text>
    </comment>
    <comment ref="J33" authorId="0">
      <text>
        <t>S21 TSMC Board Resolutions 2026-08-11 (6-K tsm-boardx20260811.htm) | item 2 | NT$7.0 per share cash dividend for the second quarter of 2026</t>
      </text>
    </comment>
    <comment ref="H36" authorId="0">
      <text>
        <t>S22 TSMC Dividend History (investor.tsmc.com/english/dividends) | table | 2Q25 distribution 2026/01/08</t>
      </text>
    </comment>
    <comment ref="I36" authorId="0">
      <text>
        <t>S22 TSMC Dividend History (investor.tsmc.com/english/dividends) | table | 3Q25 distribution 2026/04/09</t>
      </text>
    </comment>
    <comment ref="J36" authorId="0">
      <text>
        <t>S22 TSMC Dividend History (investor.tsmc.com/english/dividends) | table | 4Q25 NT$6.00003573 distribution 2026/07/09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E11" authorId="0">
      <text>
        <t>S26 TSMC 2025 Q1 results page / 4Q24 earnings release | n/a | US$25.0bn</t>
      </text>
    </comment>
    <comment ref="F11" authorId="0">
      <text>
        <t>S26 TSMC 2025 Q1 results page / 4Q24 earnings release | n/a | US$25.8bn</t>
      </text>
    </comment>
    <comment ref="E12" authorId="0">
      <text>
        <t>S26 TSMC 2025 Q1 results page / 4Q24 earnings release | n/a | 57.0%</t>
      </text>
    </comment>
    <comment ref="F12" authorId="0">
      <text>
        <t>S26 TSMC 2025 Q1 results page / 4Q24 earnings release | n/a | 59.0%</t>
      </text>
    </comment>
    <comment ref="E13" authorId="0">
      <text>
        <t>S26 TSMC 2025 Q1 results page / 4Q24 earnings release | n/a | 46.5%</t>
      </text>
    </comment>
    <comment ref="F13" authorId="0">
      <text>
        <t>S26 TSMC 2025 Q1 results page / 4Q24 earnings release | n/a | 48.5%</t>
      </text>
    </comment>
    <comment ref="E14" authorId="0">
      <text>
        <t>S26 TSMC 2025 Q1 results page / 4Q24 earnings release | n/a | 32.8</t>
      </text>
    </comment>
    <comment ref="E15" authorId="0">
      <text>
        <t>S26 1Q25 presentation (SEC a1q25presentatione_for6k.htm) slide 8 | n/a | US$28.4bn</t>
      </text>
    </comment>
    <comment ref="F15" authorId="0">
      <text>
        <t>S26 1Q25 presentation (SEC a1q25presentatione_for6k.htm) slide 8 | n/a | US$29.2bn</t>
      </text>
    </comment>
    <comment ref="E16" authorId="0">
      <text>
        <t>S26 1Q25 presentation (SEC a1q25presentatione_for6k.htm) slide 8 | n/a | 57.0%</t>
      </text>
    </comment>
    <comment ref="F16" authorId="0">
      <text>
        <t>S26 1Q25 presentation (SEC a1q25presentatione_for6k.htm) slide 8 | n/a | 59.0%</t>
      </text>
    </comment>
    <comment ref="E17" authorId="0">
      <text>
        <t>S26 1Q25 presentation (SEC a1q25presentatione_for6k.htm) slide 8 | n/a | 47.0%</t>
      </text>
    </comment>
    <comment ref="F17" authorId="0">
      <text>
        <t>S26 1Q25 presentation (SEC a1q25presentatione_for6k.htm) slide 8 | n/a | 49.0%</t>
      </text>
    </comment>
    <comment ref="E18" authorId="0">
      <text>
        <t>S26 1Q25 presentation (SEC a1q25presentatione_for6k.htm) slide 8 | n/a | 32.5</t>
      </text>
    </comment>
    <comment ref="E19" authorId="0">
      <text>
        <t>S26 3Q25 presentation (SEC a3q25presentatione.htm) slide 3 | n/a | US$31.8bn</t>
      </text>
    </comment>
    <comment ref="F19" authorId="0">
      <text>
        <t>S26 3Q25 presentation (SEC a3q25presentatione.htm) slide 3 | n/a | US$33.0bn</t>
      </text>
    </comment>
    <comment ref="E20" authorId="0">
      <text>
        <t>S26 3Q25 presentation (SEC a3q25presentatione.htm) slide 3 | n/a | 55.5%</t>
      </text>
    </comment>
    <comment ref="F20" authorId="0">
      <text>
        <t>S26 3Q25 presentation (SEC a3q25presentatione.htm) slide 3 | n/a | 57.5%</t>
      </text>
    </comment>
    <comment ref="E21" authorId="0">
      <text>
        <t>S26 3Q25 presentation (SEC a3q25presentatione.htm) slide 3 | n/a | 45.5%</t>
      </text>
    </comment>
    <comment ref="F21" authorId="0">
      <text>
        <t>S26 3Q25 presentation (SEC a3q25presentatione.htm) slide 3 | n/a | 47.5%</t>
      </text>
    </comment>
    <comment ref="E22" authorId="0">
      <text>
        <t>S26 3Q25 presentation (SEC a3q25presentatione.htm) slide 3 | n/a | 29.0</t>
      </text>
    </comment>
    <comment ref="E23" authorId="0">
      <text>
        <t>S10 4Q25 presentation slide 4 | n/a | US$32.2bn</t>
      </text>
    </comment>
    <comment ref="F23" authorId="0">
      <text>
        <t>S10 4Q25 presentation slide 4 | n/a | US$33.4bn</t>
      </text>
    </comment>
    <comment ref="E24" authorId="0">
      <text>
        <t>S10 4Q25 presentation slide 4 | n/a | 59.0%</t>
      </text>
    </comment>
    <comment ref="F24" authorId="0">
      <text>
        <t>S10 4Q25 presentation slide 4 | n/a | 61.0%</t>
      </text>
    </comment>
    <comment ref="E25" authorId="0">
      <text>
        <t>S10 4Q25 presentation slide 4 | n/a | 49.0%</t>
      </text>
    </comment>
    <comment ref="F25" authorId="0">
      <text>
        <t>S10 4Q25 presentation slide 4 | n/a | 51.0%</t>
      </text>
    </comment>
    <comment ref="E26" authorId="0">
      <text>
        <t>S10 4Q25 presentation slide 4 | n/a | 30.6</t>
      </text>
    </comment>
    <comment ref="E27" authorId="0">
      <text>
        <t>S8 1Q26 presentation slide 3 / S10 slide 12 | n/a | US$34.6bn</t>
      </text>
    </comment>
    <comment ref="F27" authorId="0">
      <text>
        <t>S8 1Q26 presentation slide 3 / S10 slide 12 | n/a | US$35.8bn</t>
      </text>
    </comment>
    <comment ref="E28" authorId="0">
      <text>
        <t>S8 1Q26 presentation slide 3 / S10 slide 12 | n/a | 63.0%</t>
      </text>
    </comment>
    <comment ref="F28" authorId="0">
      <text>
        <t>S8 1Q26 presentation slide 3 / S10 slide 12 | n/a | 65.0%</t>
      </text>
    </comment>
    <comment ref="E29" authorId="0">
      <text>
        <t>S8 1Q26 presentation slide 3 / S10 slide 12 | n/a | 54.0%</t>
      </text>
    </comment>
    <comment ref="F29" authorId="0">
      <text>
        <t>S8 1Q26 presentation slide 3 / S10 slide 12 | n/a | 56.0%</t>
      </text>
    </comment>
    <comment ref="E30" authorId="0">
      <text>
        <t>S8 1Q26 presentation slide 3 / S10 slide 12 | n/a | 31.6</t>
      </text>
    </comment>
    <comment ref="E31" authorId="0">
      <text>
        <t>S4 2Q26 presentation slide 4 / S8 slide 8 | n/a | US$39.0bn</t>
      </text>
    </comment>
    <comment ref="F31" authorId="0">
      <text>
        <t>S4 2Q26 presentation slide 4 / S8 slide 8 | n/a | US$40.2bn</t>
      </text>
    </comment>
    <comment ref="E32" authorId="0">
      <text>
        <t>S4 2Q26 presentation slide 4 / S8 slide 8 | n/a | 65.5%</t>
      </text>
    </comment>
    <comment ref="F32" authorId="0">
      <text>
        <t>S4 2Q26 presentation slide 4 / S8 slide 8 | n/a | 67.5%</t>
      </text>
    </comment>
    <comment ref="E33" authorId="0">
      <text>
        <t>S4 2Q26 presentation slide 4 / S8 slide 8 | n/a | 56.5%</t>
      </text>
    </comment>
    <comment ref="F33" authorId="0">
      <text>
        <t>S4 2Q26 presentation slide 4 / S8 slide 8 | n/a | 58.5%</t>
      </text>
    </comment>
    <comment ref="E34" authorId="0">
      <text>
        <t>S4 2Q26 presentation slide 4 / S8 slide 8 | n/a | 31.7</t>
      </text>
    </comment>
    <comment ref="E35" authorId="0">
      <text>
        <t>S4 2Q26 presentation slide 9; S18 TSMC 2026 Q3 results page | n/a | US$44.6bn</t>
      </text>
    </comment>
    <comment ref="F35" authorId="0">
      <text>
        <t>S4 2Q26 presentation slide 9; S18 TSMC 2026 Q3 results page | n/a | US$45.8bn</t>
      </text>
    </comment>
    <comment ref="E36" authorId="0">
      <text>
        <t>S4 2Q26 presentation slide 9; S18 TSMC 2026 Q3 results page | n/a | 65.0%</t>
      </text>
    </comment>
    <comment ref="F36" authorId="0">
      <text>
        <t>S4 2Q26 presentation slide 9; S18 TSMC 2026 Q3 results page | n/a | 67.0%</t>
      </text>
    </comment>
    <comment ref="E37" authorId="0">
      <text>
        <t>S4 2Q26 presentation slide 9; S18 TSMC 2026 Q3 results page | n/a | 56.0%</t>
      </text>
    </comment>
    <comment ref="F37" authorId="0">
      <text>
        <t>S4 2Q26 presentation slide 9; S18 TSMC 2026 Q3 results page | n/a | 58.0%</t>
      </text>
    </comment>
    <comment ref="E38" authorId="0">
      <text>
        <t>S4 2Q26 presentation slide 9; S18 TSMC 2026 Q3 results page | n/a | 32.0</t>
      </text>
    </comment>
    <comment ref="E39" authorId="0">
      <text>
        <t>S10 4Q25 Presentation | slide 13 | 2026 revenue to increase by close to 30% in US dollar terms</t>
      </text>
    </comment>
    <comment ref="E40" authorId="0">
      <text>
        <t>S5 TSMC 2Q26 Transcript.pdf | p.5 | slightly above 40% year over year in US dollar terms</t>
      </text>
    </comment>
    <comment ref="E41" authorId="0">
      <text>
        <t>S9 4Q25 EarningsRelease / Management Report | p.1 | US$52 billion</t>
      </text>
    </comment>
    <comment ref="F41" authorId="0">
      <text>
        <t>S9 4Q25 EarningsRelease | p.1 | US$56 billion</t>
      </text>
    </comment>
    <comment ref="E42" authorId="0">
      <text>
        <t>S5 TSMC 2Q26 Transcript.pdf | p.4 | USD60 billion</t>
      </text>
    </comment>
    <comment ref="F42" authorId="0">
      <text>
        <t>S5 TSMC 2Q26 Transcript.pdf | p.4 | USD64 billion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10" authorId="0">
      <text>
        <t>TSM_consensus.json | n/a | S&amp;P Capital IQ</t>
      </text>
    </comment>
    <comment ref="C11" authorId="0">
      <text>
        <t>TSM_consensus.json | n/a | TSM</t>
      </text>
    </comment>
    <comment ref="C12" authorId="0">
      <text>
        <t>TSM_consensus.json | n/a | Taiwan Semiconductor Manufacturing Company Limited</t>
      </text>
    </comment>
    <comment ref="C13" authorId="0">
      <text>
        <t>TSM_consensus.json | n/a | FQ3 2026 - Sep 2026</t>
      </text>
    </comment>
    <comment ref="C14" authorId="0">
      <text>
        <t>TSM_consensus.json | n/a | 2026-09-30</t>
      </text>
    </comment>
    <comment ref="C15" authorId="0">
      <text>
        <t>TSM_consensus.json | n/a | 2026-10-11</t>
      </text>
    </comment>
    <comment ref="C16" authorId="0">
      <text>
        <t>TSM_consensus.json | n/a | 8</t>
      </text>
    </comment>
    <comment ref="C17" authorId="0">
      <text>
        <t>TSM_consensus.json | n/a | 4.46</t>
      </text>
    </comment>
    <comment ref="C18" authorId="0">
      <text>
        <t>TSM_consensus.json | n/a | Normalized diluted EPS, USD per ADR (5 ordinary shares per ADR)</t>
      </text>
    </comment>
    <comment ref="C19" authorId="0">
      <text>
        <t>TSM_consensus.json | n/a | 1457602.44</t>
      </text>
    </comment>
    <comment ref="C20" authorId="0">
      <text>
        <t>TSM_consensus.json | n/a | TWD</t>
      </text>
    </comment>
    <comment ref="C21" authorId="0">
      <text>
        <t>TSM_consensus.json | n/a | edbf949d984075e582c0427440965f3f2b24f43d8e9ef3ba40bd5d158b8c8d16</t>
      </text>
    </comment>
    <comment ref="C22" authorId="0">
      <text>
        <t>TSM_consensus.json | n/a | date only, user confirmed</t>
      </text>
    </comment>
    <comment ref="C23" authorId="0">
      <text>
        <t>TSM_consensus.json | n/a | EPS in USD per ADR; revenue and income in TWD millions</t>
      </text>
    </comment>
    <comment ref="C28" authorId="0">
      <text>
        <t>TSM_consensus.json | n/a | TSM</t>
      </text>
    </comment>
    <comment ref="C29" authorId="0">
      <text>
        <t>TSM_consensus.json | n/a | Taiwan Semiconductor Manufacturing Company Limited</t>
      </text>
    </comment>
    <comment ref="C30" authorId="0">
      <text>
        <t>TSM_consensus.json | n/a | NYSE:TSM</t>
      </text>
    </comment>
    <comment ref="C31" authorId="0">
      <text>
        <t>TSM_consensus.json | n/a | 380075</t>
      </text>
    </comment>
    <comment ref="C32" authorId="0">
      <text>
        <t>TSM_consensus.json | n/a | N</t>
      </text>
    </comment>
    <comment ref="C34" authorId="0">
      <text>
        <t>TSM_consensus.json | n/a | FQ3 2026 - Sep 2026</t>
      </text>
    </comment>
    <comment ref="C35" authorId="0">
      <text>
        <t>TSM_consensus.json | n/a | 2026-09-30</t>
      </text>
    </comment>
    <comment ref="C36" authorId="0">
      <text>
        <t>TSM_consensus.json | n/a | 2026-10-16</t>
      </text>
    </comment>
    <comment ref="C37" authorId="0">
      <text>
        <t>TSM_consensus.json | n/a | Dec-31</t>
      </text>
    </comment>
    <comment ref="C38" authorId="0">
      <text>
        <t>TSM_consensus.json | n/a | 36</t>
      </text>
    </comment>
    <comment ref="C39" authorId="0">
      <text>
        <t>TSM_consensus.json | n/a | 4.46</t>
      </text>
    </comment>
    <comment ref="C40" authorId="0">
      <text>
        <t>TSM_consensus.json | n/a | 4.46</t>
      </text>
    </comment>
    <comment ref="C41" authorId="0">
      <text>
        <t>TSM_consensus.json | n/a | 4.72</t>
      </text>
    </comment>
    <comment ref="C42" authorId="0">
      <text>
        <t>TSM_consensus.json | n/a | 4.26</t>
      </text>
    </comment>
    <comment ref="C43" authorId="0">
      <text>
        <t>TSM_consensus.json | n/a | 0.15</t>
      </text>
    </comment>
    <comment ref="C44" authorId="0">
      <text>
        <t>TSM_consensus.json | n/a | 8</t>
      </text>
    </comment>
    <comment ref="C48" authorId="0">
      <text>
        <t>TSM_consensus.json | n/a | 4.43</t>
      </text>
    </comment>
    <comment ref="C49" authorId="0">
      <text>
        <t>TSM_consensus.json | n/a | 4.38</t>
      </text>
    </comment>
    <comment ref="C50" authorId="0">
      <text>
        <t>TSM_consensus.json | n/a | 4.72</t>
      </text>
    </comment>
    <comment ref="C51" authorId="0">
      <text>
        <t>TSM_consensus.json | n/a | 4.26</t>
      </text>
    </comment>
    <comment ref="C52" authorId="0">
      <text>
        <t>TSM_consensus.json | n/a | 0.15</t>
      </text>
    </comment>
    <comment ref="C53" authorId="0">
      <text>
        <t>TSM_consensus.json | n/a | 6</t>
      </text>
    </comment>
    <comment ref="C55" authorId="0">
      <text>
        <t>TSM_consensus.json | n/a | 1457602.44</t>
      </text>
    </comment>
    <comment ref="C56" authorId="0">
      <text>
        <t>TSM_consensus.json | n/a | 1458370.0</t>
      </text>
    </comment>
    <comment ref="C57" authorId="0">
      <text>
        <t>TSM_consensus.json | n/a | 1495000.0</t>
      </text>
    </comment>
    <comment ref="C58" authorId="0">
      <text>
        <t>TSM_consensus.json | n/a | 1423000.0</t>
      </text>
    </comment>
    <comment ref="C59" authorId="0">
      <text>
        <t>TSM_consensus.json | n/a | 14491.95</t>
      </text>
    </comment>
    <comment ref="C60" authorId="0">
      <text>
        <t>TSM_consensus.json | n/a | 27</t>
      </text>
    </comment>
    <comment ref="C62" authorId="0">
      <text>
        <t>TSM_consensus.json | n/a | 1436164.6</t>
      </text>
    </comment>
    <comment ref="C63" authorId="0">
      <text>
        <t>TSM_consensus.json | n/a | 1474805.8</t>
      </text>
    </comment>
    <comment ref="C64" authorId="0">
      <text>
        <t>TSM_consensus.json | n/a | 1072079.24</t>
      </text>
    </comment>
    <comment ref="C65" authorId="0">
      <text>
        <t>TSM_consensus.json | n/a | 849572.78</t>
      </text>
    </comment>
    <comment ref="C66" authorId="0">
      <text>
        <t>TSM_consensus.json | n/a | 885016.12</t>
      </text>
    </comment>
    <comment ref="C67" authorId="0">
      <text>
        <t>TSM_consensus.json | n/a | 881859.95</t>
      </text>
    </comment>
    <comment ref="C68" authorId="0">
      <text>
        <t>TSM_consensus.json | n/a | 733207.07</t>
      </text>
    </comment>
    <comment ref="C69" authorId="0">
      <text>
        <t>TSM_consensus.json | n/a | 724002.61</t>
      </text>
    </comment>
    <comment ref="C76" authorId="0">
      <text>
        <t>TSM_consensus.json | n/a | -2842.5</t>
      </text>
    </comment>
    <comment ref="C77" authorId="0">
      <text>
        <t>TSM_consensus.json | n/a | -2587255.52</t>
      </text>
    </comment>
    <comment ref="C84" authorId="0">
      <text>
        <t>TSM_consensus.json | n/a | 3277.94</t>
      </text>
    </comment>
    <comment ref="C85" authorId="0">
      <text>
        <t>TSM_consensus.json | n/a | 3220.0</t>
      </text>
    </comment>
    <comment ref="C86" authorId="0">
      <text>
        <t>TSM_consensus.json | n/a | 4410.0</t>
      </text>
    </comment>
    <comment ref="C87" authorId="0">
      <text>
        <t>TSM_consensus.json | n/a | 2650.0</t>
      </text>
    </comment>
    <comment ref="C88" authorId="0">
      <text>
        <t>TSM_consensus.json | n/a | 345.72</t>
      </text>
    </comment>
    <comment ref="C89" authorId="0">
      <text>
        <t>TSM_consensus.json | n/a | 35</t>
      </text>
    </comment>
    <comment ref="C90" authorId="0">
      <text>
        <t>TSM_consensus.json | n/a | Buy</t>
      </text>
    </comment>
    <comment ref="C91" authorId="0">
      <text>
        <t>TSM_consensus.json | n/a | 1.38</t>
      </text>
    </comment>
    <comment ref="C92" authorId="0">
      <text>
        <t>TSM_consensus.json | n/a | 283.0</t>
      </text>
    </comment>
    <comment ref="C93" authorId="0">
      <text>
        <t>TSM_consensus.json | n/a | 309.32/180.81</t>
      </text>
    </comment>
    <comment ref="C94" authorId="0">
      <text>
        <t>TSM_consensus.json | n/a | USD (EPS) / TWD (revenue, income)</t>
      </text>
    </comment>
    <comment ref="C95" authorId="0">
      <text>
        <t>TSM_consensus.json | n/a | EPS in USD per ADR; revenue and income in TWD millions</t>
      </text>
    </comment>
    <comment ref="C96" authorId="0">
      <text>
        <t>TSM_consensus.json | n/a | 2026-10-11</t>
      </text>
    </comment>
    <comment ref="C97" authorId="0">
      <text>
        <t>TSM_consensus.json | n/a | Mixed units. EPS figures are USD per NYSE:TSM ADR (1 ADR = 5 ordinary shares); revenue and all income-statement items are TWD millions (CapIQ Company Level TWD). Target price mean 3277.94 is TWD per ordinary share on TWSE:2330. Recommendation 1.38 is for NYSE:TSM (TWSE:2330 is 1.31).</t>
      </text>
    </comment>
    <comment ref="C101" authorId="0">
      <text>
        <t>TSM_history.csv | row 2 | 2025-04-17</t>
      </text>
    </comment>
    <comment ref="D101" authorId="0">
      <text>
        <t>TSM_history.csv | row 2 | 2.05</t>
      </text>
    </comment>
    <comment ref="E101" authorId="0">
      <text>
        <t>TSM_history.csv | row 2 | 2.12</t>
      </text>
    </comment>
    <comment ref="F101" authorId="0">
      <text>
        <t>TSM_history.csv | row 2 | 2.05</t>
      </text>
    </comment>
    <comment ref="G101" authorId="0">
      <text>
        <t>TSM_history.csv | row 2 | 2.12</t>
      </text>
    </comment>
    <comment ref="H101" authorId="0">
      <text>
        <t>TSM_history.csv | row 2 | 835854.0</t>
      </text>
    </comment>
    <comment ref="I101" authorId="0">
      <text>
        <t>TSM_history.csv | row 2 | 839254.0</t>
      </text>
    </comment>
    <comment ref="C102" authorId="0">
      <text>
        <t>TSM_history.csv | row 3 | 2025-07-17</t>
      </text>
    </comment>
    <comment ref="D102" authorId="0">
      <text>
        <t>TSM_history.csv | row 3 | 2.31</t>
      </text>
    </comment>
    <comment ref="E102" authorId="0">
      <text>
        <t>TSM_history.csv | row 3 | 2.47</t>
      </text>
    </comment>
    <comment ref="F102" authorId="0">
      <text>
        <t>TSM_history.csv | row 3 | 2.33</t>
      </text>
    </comment>
    <comment ref="G102" authorId="0">
      <text>
        <t>TSM_history.csv | row 3 | 2.47</t>
      </text>
    </comment>
    <comment ref="H102" authorId="0">
      <text>
        <t>TSM_history.csv | row 3 | 919105.97</t>
      </text>
    </comment>
    <comment ref="I102" authorId="0">
      <text>
        <t>TSM_history.csv | row 3 | 933792.0</t>
      </text>
    </comment>
    <comment ref="C103" authorId="0">
      <text>
        <t>TSM_history.csv | row 4 | 2025-10-16</t>
      </text>
    </comment>
    <comment ref="D103" authorId="0">
      <text>
        <t>TSM_history.csv | row 4 | 2.63</t>
      </text>
    </comment>
    <comment ref="E103" authorId="0">
      <text>
        <t>TSM_history.csv | row 4 | 2.92</t>
      </text>
    </comment>
    <comment ref="F103" authorId="0">
      <text>
        <t>TSM_history.csv | row 4 | 2.6</t>
      </text>
    </comment>
    <comment ref="G103" authorId="0">
      <text>
        <t>TSM_history.csv | row 4 | 2.92</t>
      </text>
    </comment>
    <comment ref="H103" authorId="0">
      <text>
        <t>TSM_history.csv | row 4 | 967146.11</t>
      </text>
    </comment>
    <comment ref="I103" authorId="0">
      <text>
        <t>TSM_history.csv | row 4 | 989918.0</t>
      </text>
    </comment>
    <comment ref="C104" authorId="0">
      <text>
        <t>TSM_history.csv | row 5 | 2026-01-15</t>
      </text>
    </comment>
    <comment ref="D104" authorId="0">
      <text>
        <t>TSM_history.csv | row 5 | 2.98</t>
      </text>
    </comment>
    <comment ref="E104" authorId="0">
      <text>
        <t>TSM_history.csv | row 5 | 3.14</t>
      </text>
    </comment>
    <comment ref="F104" authorId="0">
      <text>
        <t>TSM_history.csv | row 5 | 2.98</t>
      </text>
    </comment>
    <comment ref="G104" authorId="0">
      <text>
        <t>TSM_history.csv | row 5 | 3.14</t>
      </text>
    </comment>
    <comment ref="H104" authorId="0">
      <text>
        <t>TSM_history.csv | row 5 | 1035818.84</t>
      </text>
    </comment>
    <comment ref="I104" authorId="0">
      <text>
        <t>TSM_history.csv | row 5 | 1046090.0</t>
      </text>
    </comment>
    <comment ref="C105" authorId="0">
      <text>
        <t>TSM_history.csv | row 6 | 2026-04-16</t>
      </text>
    </comment>
    <comment ref="D105" authorId="0">
      <text>
        <t>TSM_history.csv | row 6 | 3.33</t>
      </text>
    </comment>
    <comment ref="E105" authorId="0">
      <text>
        <t>TSM_history.csv | row 6 | 3.49</t>
      </text>
    </comment>
    <comment ref="F105" authorId="0">
      <text>
        <t>TSM_history.csv | row 6 | 3.34</t>
      </text>
    </comment>
    <comment ref="G105" authorId="0">
      <text>
        <t>TSM_history.csv | row 6 | 3.49</t>
      </text>
    </comment>
    <comment ref="H105" authorId="0">
      <text>
        <t>TSM_history.csv | row 6 | 1122209.44</t>
      </text>
    </comment>
    <comment ref="I105" authorId="0">
      <text>
        <t>TSM_history.csv | row 6 | 1134103.0</t>
      </text>
    </comment>
    <comment ref="C106" authorId="0">
      <text>
        <t>TSM_history.csv | row 7 | 2026-07-16</t>
      </text>
    </comment>
    <comment ref="D106" authorId="0">
      <text>
        <t>TSM_history.csv | row 7 | 3.89</t>
      </text>
    </comment>
    <comment ref="E106" authorId="0">
      <text>
        <t>TSM_history.csv | row 7 | 4.31</t>
      </text>
    </comment>
    <comment ref="F106" authorId="0">
      <text>
        <t>TSM_history.csv | row 7 | 3.94</t>
      </text>
    </comment>
    <comment ref="G106" authorId="0">
      <text>
        <t>TSM_history.csv | row 7 | 4.31</t>
      </text>
    </comment>
    <comment ref="H106" authorId="0">
      <text>
        <t>TSM_history.csv | row 7 | 1264406.46</t>
      </text>
    </comment>
    <comment ref="I106" authorId="0">
      <text>
        <t>TSM_history.csv | row 7 | 1270380.0</t>
      </text>
    </comment>
    <comment ref="C117" authorId="0">
      <text>
        <t>S23 wallstreetnumbers.com/stocks/tsm/market-cap | n/a | $ 2,351 B (Oct 9, 2026)</t>
      </text>
    </comment>
  </commentList>
</comments>
</file>

<file path=xl/sharedStrings.xml><?xml version="1.0" encoding="utf-8"?>
<sst xmlns="http://schemas.openxmlformats.org/spreadsheetml/2006/main" count="2503" uniqueCount="713">
  <si>
    <t>Taiwan Semiconductor Manufacturing Company Limited (NYSE: TSM | TWSE: 2330)</t>
  </si>
  <si>
    <t>Company Model — built by Shortcut</t>
  </si>
  <si>
    <t>TWD millions, except per-share data (EPS in NT$ per ordinary share and US$ per ADR)</t>
  </si>
  <si>
    <t>Period</t>
  </si>
  <si>
    <t>3Q26E</t>
  </si>
  <si>
    <t>Period end</t>
  </si>
  <si>
    <t>Days in period</t>
  </si>
  <si>
    <t>Company profile</t>
  </si>
  <si>
    <t>Author</t>
  </si>
  <si>
    <t>Shortcut (Company Model — built by Shortcut)</t>
  </si>
  <si>
    <t>Company</t>
  </si>
  <si>
    <t>Taiwan Semiconductor Manufacturing Company Limited (TSMC)</t>
  </si>
  <si>
    <t>Ticker / exchange</t>
  </si>
  <si>
    <t>NYSE: TSM (ADR; 1 ADR = 5 ordinary shares) | TWSE: 2330</t>
  </si>
  <si>
    <t>Fiscal year end</t>
  </si>
  <si>
    <t>December 31 (CapIQ fiscal_year_end: Dec-31)</t>
  </si>
  <si>
    <t>Reporting currency</t>
  </si>
  <si>
    <t>TWD (New Taiwan dollar), TIFRS consolidated; headline EPS in USD per ADR</t>
  </si>
  <si>
    <t>Forecast period</t>
  </si>
  <si>
    <t>3Q26E = FQ3 2026, quarter ended 2026-09-30 (CapIQ label "FQ3 2026 - Sep 2026", 2026-09-30; calendar quarter-end confirmed)</t>
  </si>
  <si>
    <t>EPS basis</t>
  </si>
  <si>
    <t>Normalized diluted EPS, USD per ADR (CapIQ) = diluted NT$ EPS x 5 / average TWD per USD</t>
  </si>
  <si>
    <t>Information cutoff</t>
  </si>
  <si>
    <t>2026-10-11 22:24:20 UTC (only sources published before this time)</t>
  </si>
  <si>
    <t>Expected report date</t>
  </si>
  <si>
    <t>2026-10-15, results before 14:00 Asia/Taipei conference (TSMC); CapIQ expected_report_date 2026-10-16</t>
  </si>
  <si>
    <t>Consensus snapshot</t>
  </si>
  <si>
    <t>S&amp;P Capital IQ, captured 2026-10-11 (date precision only, no intraday timestamp; scoring baseline, frozen)</t>
  </si>
  <si>
    <t>Headline 3Q26E: Shortcut estimate vs consensus vs guidance midpoint</t>
  </si>
  <si>
    <t>Metric (TWD m unless stated)</t>
  </si>
  <si>
    <t>Shortcut 3Q26E</t>
  </si>
  <si>
    <t>Consensus</t>
  </si>
  <si>
    <t>Variance</t>
  </si>
  <si>
    <t>Variance %</t>
  </si>
  <si>
    <t>Guide mid*</t>
  </si>
  <si>
    <t>Est. vs guide</t>
  </si>
  <si>
    <t>Net revenue</t>
  </si>
  <si>
    <t>Net revenue (USD m)</t>
  </si>
  <si>
    <t>n/a</t>
  </si>
  <si>
    <t>Gross margin</t>
  </si>
  <si>
    <t>n/a (blank)</t>
  </si>
  <si>
    <t>Operating income</t>
  </si>
  <si>
    <t>Operating margin</t>
  </si>
  <si>
    <t>Net income — normalized basis</t>
  </si>
  <si>
    <t>Net income — GAAP (TIFRS)</t>
  </si>
  <si>
    <t>Normalized dil. EPS (US$/ADR)</t>
  </si>
  <si>
    <t>GAAP dil. EPS (US$/ADR)</t>
  </si>
  <si>
    <t>Diluted EPS (NT$/share)</t>
  </si>
  <si>
    <t>n/a (ADR basis)</t>
  </si>
  <si>
    <t>Contributors: normalized EPS (n)</t>
  </si>
  <si>
    <t>Contributors: revenue (n)</t>
  </si>
  <si>
    <t>Overall check result</t>
  </si>
  <si>
    <t>Includes BS/CF rollforward ties; mix-integrity and link checks (true by construction); reported vs calculated NT$ EPS within ±0.005 and revenue within ±NT$1m (rounding). Arithmetic consistency only: 3Q26E ties hold by construction and are not acceptance evidence</t>
  </si>
  <si>
    <t>P(beat consensus EPS)</t>
  </si>
  <si>
    <t>Confidence</t>
  </si>
  <si>
    <t>Link check: Cover ties (TRUE)</t>
  </si>
  <si>
    <t>Link check only: Cover cells compared with the cells they link to (true by construction, not independent validation)</t>
  </si>
  <si>
    <t>* Guide mid: revenue, GM and OM are TSMC guidance midpoints; NI and EPS are Shortcut-implied from those midpoints (TSMC does not guide NI/EPS) — see Guidance tab</t>
  </si>
  <si>
    <t>Consensus operating income/margin (D26:D27) = CapIQ ebit_m used as a proxy; CapIQ EBIT definition may differ from TIFRS operating income, so E26:F26 and E27 are indicative, not like-for-like. Margin differences E27, H25, H27 shown in bps.</t>
  </si>
  <si>
    <t>Other consensus references at the cutoff (recorded separately; not the scoring baseline)</t>
  </si>
  <si>
    <t>Reference</t>
  </si>
  <si>
    <t>Value</t>
  </si>
  <si>
    <t>Published</t>
  </si>
  <si>
    <t>Source</t>
  </si>
  <si>
    <t>LSEG SmartEst. revenue (19 ests)</t>
  </si>
  <si>
    <t>S24 TrendForce citing Reuters/LSEG</t>
  </si>
  <si>
    <t>LSEG 3Q26 net profit (TWD m)</t>
  </si>
  <si>
    <t>Street gross margin (28-Sep)</t>
  </si>
  <si>
    <t>S25 Hudson Labs preview</t>
  </si>
  <si>
    <t>Street operating margin (28-Sep)</t>
  </si>
  <si>
    <t>Key 3Q26E drivers (linked)</t>
  </si>
  <si>
    <t>Revenue: Jul+Aug+Sep monthly</t>
  </si>
  <si>
    <t>Avg TWD/USD (Fed H.10, 3Q26)</t>
  </si>
  <si>
    <t>Gross margin assumption</t>
  </si>
  <si>
    <t>Operating expenses, % of revenue</t>
  </si>
  <si>
    <t>Effective tax rate</t>
  </si>
  <si>
    <t>Diluted shares (m)</t>
  </si>
  <si>
    <t>Revenue summary — single reported segment (foundry); revenue drivers built here</t>
  </si>
  <si>
    <t>1Q25A</t>
  </si>
  <si>
    <t>2Q25A</t>
  </si>
  <si>
    <t>3Q25A</t>
  </si>
  <si>
    <t>4Q25A</t>
  </si>
  <si>
    <t>FY25A</t>
  </si>
  <si>
    <t>1Q26A</t>
  </si>
  <si>
    <t>2Q26A</t>
  </si>
  <si>
    <t>Notes</t>
  </si>
  <si>
    <t>Net revenue build from monthly revenue reports</t>
  </si>
  <si>
    <t xml:space="preserve">  Month 1 (Jan/Apr/Jul/Oct)</t>
  </si>
  <si>
    <t xml:space="preserve">    % Y/Y</t>
  </si>
  <si>
    <t xml:space="preserve">    Seq. change (abs.)</t>
  </si>
  <si>
    <t xml:space="preserve">  Month 2 (Feb/May/Aug/Nov)</t>
  </si>
  <si>
    <t xml:space="preserve">  Month 3 (Mar/Jun/Sep/Dec)</t>
  </si>
  <si>
    <t>Sum of monthly revenue reports</t>
  </si>
  <si>
    <t>Net revenue (TWD m)</t>
  </si>
  <si>
    <t>Actuals: CapIQ revenue_m_actual (Inputs). 3Q26E = Jul+Aug+Sep monthly reports (published before cutoff)</t>
  </si>
  <si>
    <t xml:space="preserve">  Reported less monthly sum</t>
  </si>
  <si>
    <t>2Q26: CapIQ/company 1,270,380 vs monthly sum 1,270,381 (monthly reports rounded to NT$1m)</t>
  </si>
  <si>
    <t xml:space="preserve">  % Y/Y</t>
  </si>
  <si>
    <t xml:space="preserve">  % Q/Q</t>
  </si>
  <si>
    <t xml:space="preserve">  Seq. change (abs.)</t>
  </si>
  <si>
    <t>FX and US-dollar revenue</t>
  </si>
  <si>
    <t>Avg exchange rate (TWD/USD)</t>
  </si>
  <si>
    <t>3Q26E = mean of Fed H.10 daily NT$/US$ rates, 1-Jul to 30-Sep-2026 (H.10 tracked TSMC avg within 0.04 in 5 of 6 quarters). Guidance assumed 32.0. FY25A G27 = revenue-implied FX (NT$ revenue / US$ revenue), an approximation, not an average of daily rates</t>
  </si>
  <si>
    <t>FY25 = sum of quarters (US$122.43bn) vs reported US$122.42bn (rounding)</t>
  </si>
  <si>
    <t xml:space="preserve">  Guidance midpoint (USD m)</t>
  </si>
  <si>
    <t xml:space="preserve">  USD revenue vs guidance midpoint</t>
  </si>
  <si>
    <t xml:space="preserve">  Implied FX (TWD rev / USD rev)</t>
  </si>
  <si>
    <t>Growth decomposition — total net revenue</t>
  </si>
  <si>
    <t xml:space="preserve">  Total Y/Y (reported, TWD)</t>
  </si>
  <si>
    <t xml:space="preserve">  FX impact on Y/Y (derived)</t>
  </si>
  <si>
    <t>FX impact = (1+TWD Y/Y)/(1+USD Y/Y)-1 from reported TWD and USD revenue</t>
  </si>
  <si>
    <t xml:space="preserve">  M&amp;A / scope impact</t>
  </si>
  <si>
    <t>unavailable</t>
  </si>
  <si>
    <t>Not disclosed by TSMC (no acquisitions reported); left unavailable, not zero</t>
  </si>
  <si>
    <t xml:space="preserve">  Organic Y/Y</t>
  </si>
  <si>
    <t>Unavailable because M&amp;A/scope is not disclosed; constant-currency growth shown where derivable</t>
  </si>
  <si>
    <t xml:space="preserve">  Constant-currency Y/Y (USD)</t>
  </si>
  <si>
    <t>Wafer shipments and blended revenue per wafer</t>
  </si>
  <si>
    <t>Wafer shipments (k 12" equiv.)</t>
  </si>
  <si>
    <t>3Q26E assumption +4.9% Q/Q (N2 ramp, capacity tight). FY25 sum 15,023 vs reported 15,022 (rounding)</t>
  </si>
  <si>
    <t>Blended revenue per wafer (TWD k)</t>
  </si>
  <si>
    <t>Total net revenue / shipments; includes non-wafer revenue (packaging, masks)</t>
  </si>
  <si>
    <t>Blended revenue per wafer (USD)</t>
  </si>
  <si>
    <t>Net revenue by platform (reported % of net revenue x total net revenue)</t>
  </si>
  <si>
    <t>HPC revenue</t>
  </si>
  <si>
    <t xml:space="preserve">  % of total net revenue</t>
  </si>
  <si>
    <t>3Q26E mix: HPC strength (AI accelerators/CPUs) partly offset by seasonal smartphone ramp; FY25 reported mix 58%</t>
  </si>
  <si>
    <t xml:space="preserve">    Chg Y/Y (bps)</t>
  </si>
  <si>
    <t xml:space="preserve">    Chg Q/Q (bps)</t>
  </si>
  <si>
    <t xml:space="preserve">  FX impact on Y/Y (company)</t>
  </si>
  <si>
    <t>Smartphone revenue</t>
  </si>
  <si>
    <t>3Q26E: seasonal Q3 smartphone build (3Q25 smartphone +19% Q/Q); FY25 reported mix 29%</t>
  </si>
  <si>
    <t>IoT revenue</t>
  </si>
  <si>
    <t>3Q26E mix assumption held near 2Q26; FY25 reported mix 5%</t>
  </si>
  <si>
    <t>Automotive revenue</t>
  </si>
  <si>
    <t>DCE revenue</t>
  </si>
  <si>
    <t>3Q26E mix assumption held near 2Q26; FY25 reported mix 1%</t>
  </si>
  <si>
    <t>Others revenue</t>
  </si>
  <si>
    <t>3Q26E mix assumption held near 2Q26; FY25 reported mix 2%</t>
  </si>
  <si>
    <t>Total net revenue by platform</t>
  </si>
  <si>
    <t xml:space="preserve">  Platform mix total</t>
  </si>
  <si>
    <t xml:space="preserve">  Check: platforms - total (= 0)</t>
  </si>
  <si>
    <t>Mix-integrity check: platform revenue = total x mix, so it can only fail through a mix input error (not independent validation)</t>
  </si>
  <si>
    <t>Wafer revenue by technology (% of wafer revenue; TWD wafer revenue not disclosed quarterly)</t>
  </si>
  <si>
    <t xml:space="preserve">  2nm</t>
  </si>
  <si>
    <t>2nm not listed in 1Q25/3Q25/4Q25 tables (listed nodes sum to 100%), so 0% inferred (not a reported value; no sourced alternative); reported 0% for 2Q25 and 1Q26</t>
  </si>
  <si>
    <t xml:space="preserve">  3nm</t>
  </si>
  <si>
    <t xml:space="preserve">  5nm</t>
  </si>
  <si>
    <t xml:space="preserve">  7nm</t>
  </si>
  <si>
    <t>Advanced (7nm and below)</t>
  </si>
  <si>
    <t>Reported advanced share: 1Q25 73%, 2Q25 74%, 3Q25 74%, 4Q25 77%, 1Q26 74%, 2Q26 77%; 3Q26E 78% (N2 ramp)</t>
  </si>
  <si>
    <t xml:space="preserve">  16/20nm</t>
  </si>
  <si>
    <t xml:space="preserve">  28nm</t>
  </si>
  <si>
    <t xml:space="preserve">  40/45nm</t>
  </si>
  <si>
    <t xml:space="preserve">  65nm</t>
  </si>
  <si>
    <t xml:space="preserve">    90nm</t>
  </si>
  <si>
    <t>From 2Q26 TSMC reports 90nm-0.13um combined</t>
  </si>
  <si>
    <t xml:space="preserve">    0.11/0.13um</t>
  </si>
  <si>
    <t xml:space="preserve">  90nm-0.13um (subtotal)</t>
  </si>
  <si>
    <t xml:space="preserve">    0.15/0.18um</t>
  </si>
  <si>
    <t>From 2Q26 TSMC reports &gt;=0.15um combined</t>
  </si>
  <si>
    <t xml:space="preserve">    0.25um and above</t>
  </si>
  <si>
    <t xml:space="preserve">  &gt;=0.15um (subtotal)</t>
  </si>
  <si>
    <t>Mature technologies (above 7nm)</t>
  </si>
  <si>
    <t>Total node mix</t>
  </si>
  <si>
    <t xml:space="preserve">  Check: node mix = 100% (TRUE)</t>
  </si>
  <si>
    <t xml:space="preserve">  Wafer revenue (TWD m)</t>
  </si>
  <si>
    <t>Not disclosed quarterly; node mix applies to wafer revenue, not total net revenue</t>
  </si>
  <si>
    <t>Segment and geography notes</t>
  </si>
  <si>
    <t>Reported segments: one (foundry) — Note 37, 2Q26 consolidated FS (S6); no Segment tabs</t>
  </si>
  <si>
    <t>Geography: five customer-HQ regions disclosed — see Geo tab</t>
  </si>
  <si>
    <t>Income Statement (TIFRS, consolidated) — to GAAP diluted EPS, normalized bridge and ADR conversion</t>
  </si>
  <si>
    <t xml:space="preserve">  GM assumption (3Q26E)</t>
  </si>
  <si>
    <t>Guide 65-67% at 32.0 FX; actual beat guide midpoint by +120 to +300bps in last 4 qtrs; revenue now 3.3% above guide midpoint; N2 dilution (3-4pts) already in guide</t>
  </si>
  <si>
    <t>Cost of revenue</t>
  </si>
  <si>
    <t>Gross profit</t>
  </si>
  <si>
    <t xml:space="preserve">  Gross margin</t>
  </si>
  <si>
    <t>Research &amp; development</t>
  </si>
  <si>
    <t xml:space="preserve">  % Q/Q (3Q26E = assumption)</t>
  </si>
  <si>
    <t>3Q26E +6% Q/Q: N2/A16/A14 development; +7.9% in 2Q26, +4.5% in 1Q26</t>
  </si>
  <si>
    <t xml:space="preserve">  % of net revenue</t>
  </si>
  <si>
    <t>Selling, general &amp; administrative</t>
  </si>
  <si>
    <t>3Q26E +6% Q/Q: profit-linked compensation accrues with earnings</t>
  </si>
  <si>
    <t>Total operating expenses</t>
  </si>
  <si>
    <t>Other operating income, net</t>
  </si>
  <si>
    <t>3Q26E 500: 2Q26 5,270 included earthquake insurance claims (non-recurring)</t>
  </si>
  <si>
    <t xml:space="preserve">  Chg Y/Y (abs.)</t>
  </si>
  <si>
    <t>% Y/Y not meaningful for a small item that changes sign</t>
  </si>
  <si>
    <t xml:space="preserve">  Operating margin</t>
  </si>
  <si>
    <t xml:space="preserve">  Share of associates (L-T inv.)</t>
  </si>
  <si>
    <t>3Q26E 900: VIS no longer equity-accounted after May-2026 disposal (FS Note 13)</t>
  </si>
  <si>
    <t xml:space="preserve">  Net interest income</t>
  </si>
  <si>
    <t>3Q26E 27,500: higher cash balance (NT$3.52tn at 2Q26)</t>
  </si>
  <si>
    <t xml:space="preserve">  Other gains and losses</t>
  </si>
  <si>
    <t>3Q26E 1,000 = ~avg ex-VIS of last 4 qtrs; NT$ flat Jun-30 to Sep-30 (H.10 31.85 both dates)</t>
  </si>
  <si>
    <t>n/m when base is zero, sign changes, or |base| &lt; 10% of |current| (implied change &gt;900%); see abs. change row</t>
  </si>
  <si>
    <t xml:space="preserve">    o/w VIS disposal gain</t>
  </si>
  <si>
    <t>Remaining 19% VIS stake reclassified to FVTOCI (S6 Note 13) so no further P&amp;L; zero in other quarters (no disposal)</t>
  </si>
  <si>
    <t>Total non-operating items</t>
  </si>
  <si>
    <t>Income before income tax</t>
  </si>
  <si>
    <t xml:space="preserve">  Pre-tax margin</t>
  </si>
  <si>
    <t>Income tax expense</t>
  </si>
  <si>
    <t xml:space="preserve">  Effective tax rate</t>
  </si>
  <si>
    <t>3Q26E 15.5%: Q3 ETRs 15.4% (3Q24) and 14.0% (3Q25) plus ~0.5pt 2026 drift (1Q26 16.8% vs 1Q25 16.3%); 2Q includes undistributed-earnings tax</t>
  </si>
  <si>
    <t>Net income</t>
  </si>
  <si>
    <t xml:space="preserve">  Non-controlling interests</t>
  </si>
  <si>
    <t>History derived (net income less parent NI; includes NT$10m rounding); 3Q26E = 1H26 average</t>
  </si>
  <si>
    <t xml:space="preserve">    Chg Y/Y (abs.)</t>
  </si>
  <si>
    <t>Net income to parent (GAAP)</t>
  </si>
  <si>
    <t xml:space="preserve">  Net profit margin</t>
  </si>
  <si>
    <t>Shares and EPS (GAAP / TIFRS)</t>
  </si>
  <si>
    <t>Wtd avg basic shares (m)</t>
  </si>
  <si>
    <t>Wtd avg diluted shares (m)</t>
  </si>
  <si>
    <t>Basic EPS (NT$) — calculated</t>
  </si>
  <si>
    <t>Diluted EPS (NT$) — calculated</t>
  </si>
  <si>
    <t xml:space="preserve">  Diluted EPS (NT$) — reported</t>
  </si>
  <si>
    <t xml:space="preserve">  Calculated less reported (NT$)</t>
  </si>
  <si>
    <t>Ordinary shares per ADR</t>
  </si>
  <si>
    <t>FY25A FX = revenue-implied (NT$ revenue / US$ revenue, Revenue summary G27), an approximation, not an earnings-weighted average; FY ADR EPS G101 therefore approximate</t>
  </si>
  <si>
    <t xml:space="preserve">  Reported (CapIQ GAAP actual)</t>
  </si>
  <si>
    <t>FY25A 10.65 = TSMC-reported FY2025 EPS, US$ per ADR unit (S9 4Q25 Management Report); CapIQ history is quarterly only. Sum of quarterly CapIQ actuals = 10.65</t>
  </si>
  <si>
    <t xml:space="preserve">  Check: EPS = NI/shares (TRUE)</t>
  </si>
  <si>
    <t>History: model vs reported, ±0.01 after rounding. 3Q26E J105 is a link/recompute check (true by construction) against Share Count diluted shares, ADR ratio and Revenue summary FX</t>
  </si>
  <si>
    <t>GAAP to normalized bridge (consensus basis: CapIQ normalized diluted EPS, USD per ADR)</t>
  </si>
  <si>
    <t>GAAP net income to parent</t>
  </si>
  <si>
    <t xml:space="preserve">  Memo: VIS gain, pre-tax</t>
  </si>
  <si>
    <t xml:space="preserve">  Adj. 1: VIS gain (CapIQ basis)</t>
  </si>
  <si>
    <t>CapIQ normalized actual equalled GAAP in all 6 history quarters (incl. 2Q26 with VIS gain), so the consensus basis does not strip it</t>
  </si>
  <si>
    <t xml:space="preserve">  Adj. 2: other one-offs</t>
  </si>
  <si>
    <t>3Q26E: no disclosed one-offs before cutoff; remaining VIS stake is FVTOCI. CapIQ GAAP 4.43 vs normalized 4.46 consensus gap (NI 724,003 vs 733,207) implies expected exceptionals not identified pre-cutoff; not mirrored — unmodelled, not evidence of forecast error</t>
  </si>
  <si>
    <t>Normalized net income</t>
  </si>
  <si>
    <t>Normalized diluted EPS (NT$)</t>
  </si>
  <si>
    <t>Normalized EPS (US$/ADR)</t>
  </si>
  <si>
    <t xml:space="preserve">  CapIQ normalized: actual / cons.</t>
  </si>
  <si>
    <t xml:space="preserve">  Model less CapIQ (US$/ADR)</t>
  </si>
  <si>
    <t xml:space="preserve">  Memo: VIS gain in EPS (NT$)</t>
  </si>
  <si>
    <t>Source: S5 2Q26 call transcript — VIS gains 'contributed 2.24 NT dollars to second-quarter EPS' (company figure; tax effect not separately disclosed)</t>
  </si>
  <si>
    <t xml:space="preserve">  Memo: EPS ex-VIS gain (NT$)</t>
  </si>
  <si>
    <t>Tracked target: issuer-defined EBITDA</t>
  </si>
  <si>
    <t>TSMC does not define or report EBITDA (S3/S7/S9 report operating income); EBITDA appears only in a subsidiary loan covenant (S6/S13). Not scored; unavailable, not zero</t>
  </si>
  <si>
    <t xml:space="preserve">  Memo: OI + D&amp;A (non-issuer)</t>
  </si>
  <si>
    <t>Shortcut memo only (operating income + D&amp;A): not issuer-defined EBITDA, not compared with CapIQ ebitda_m (Inputs C64), not scored</t>
  </si>
  <si>
    <t>Balance Sheet (selected reported items; other lines derived from reported totals)</t>
  </si>
  <si>
    <t>Assets</t>
  </si>
  <si>
    <t xml:space="preserve">  Cash and cash equivalents</t>
  </si>
  <si>
    <t>Equals cash-flow ending balance (TSMC CF statement)</t>
  </si>
  <si>
    <t xml:space="preserve">  Marketable securities (derived)</t>
  </si>
  <si>
    <t>Cash and marketable securities</t>
  </si>
  <si>
    <t xml:space="preserve">  Accounts receivable</t>
  </si>
  <si>
    <t xml:space="preserve">  Inventories</t>
  </si>
  <si>
    <t xml:space="preserve">  Other current assets</t>
  </si>
  <si>
    <t>3Q26E held flat</t>
  </si>
  <si>
    <t>Total current assets</t>
  </si>
  <si>
    <t xml:space="preserve">  Long-term investments</t>
  </si>
  <si>
    <t>3Q26E = 2Q26 + share of associates (non-cash); VIS FVTOCI revaluation to OCI not forecast</t>
  </si>
  <si>
    <t xml:space="preserve">  Net PP&amp;E</t>
  </si>
  <si>
    <t>3Q26E = 2Q26 + capex - D&amp;A; CF J12 D&amp;A may include intangible amortization, netted here (no sourced split; other non-current assets J35 held flat; totals unaffected)</t>
  </si>
  <si>
    <t xml:space="preserve">  Other non-current assets (derived)</t>
  </si>
  <si>
    <t>Total assets</t>
  </si>
  <si>
    <t xml:space="preserve">  Memo: total assets as reported</t>
  </si>
  <si>
    <t>Liabilities and equity</t>
  </si>
  <si>
    <t xml:space="preserve">  Accounts payable</t>
  </si>
  <si>
    <t xml:space="preserve">  Current portion of debt</t>
  </si>
  <si>
    <t xml:space="preserve">  Dividends payable</t>
  </si>
  <si>
    <t>3Q26E = 2Q26 + 2Q26 dividend declared (NT$7.0) - 4Q25 dividend paid (NT$6.0)</t>
  </si>
  <si>
    <t xml:space="preserve">  Accrued liabilities and others</t>
  </si>
  <si>
    <t>3Q26E = 2Q26 + tax expense - tax paid</t>
  </si>
  <si>
    <t>Total current liabilities</t>
  </si>
  <si>
    <t xml:space="preserve">  Long-term interest-bearing debts</t>
  </si>
  <si>
    <t xml:space="preserve">  Other non-curr. liab. (derived)</t>
  </si>
  <si>
    <t>Total liabilities</t>
  </si>
  <si>
    <t xml:space="preserve">  Memo: total liabilities, reported</t>
  </si>
  <si>
    <t>Total equity (incl. NCI)</t>
  </si>
  <si>
    <t>3Q26E = 2Q26 + net income (parent + NCI) - dividend declared; OCI assumed nil</t>
  </si>
  <si>
    <t>Total liabilities and equity</t>
  </si>
  <si>
    <t xml:space="preserve">  Check: A - L - E (= 0)</t>
  </si>
  <si>
    <t>Balance-sheet ratios and drivers</t>
  </si>
  <si>
    <t>Interest-bearing debt</t>
  </si>
  <si>
    <t>Net cash reserves</t>
  </si>
  <si>
    <t xml:space="preserve">  Receivables / qtr revenue</t>
  </si>
  <si>
    <t xml:space="preserve">  Inventories / qtr COGS</t>
  </si>
  <si>
    <t xml:space="preserve">  Payables / qtr COGS</t>
  </si>
  <si>
    <t xml:space="preserve">  Current ratio (x)</t>
  </si>
  <si>
    <t xml:space="preserve">    Chg Y/Y (x)</t>
  </si>
  <si>
    <t xml:space="preserve">    Seq. change (x)</t>
  </si>
  <si>
    <t>Cash Flow Statement (TSMC management-report format)</t>
  </si>
  <si>
    <t>Beginning cash balance</t>
  </si>
  <si>
    <t>Operating activities</t>
  </si>
  <si>
    <t xml:space="preserve">  Income before income tax</t>
  </si>
  <si>
    <t xml:space="preserve">  Depreciation &amp; amortization</t>
  </si>
  <si>
    <t>3Q26E 210,000: N2 depreciation ramp (2Q26 +20% Q/Q)</t>
  </si>
  <si>
    <t xml:space="preserve">  Other operating sources/(uses)</t>
  </si>
  <si>
    <t>History derived as reported OCF less PBT and D&amp;A</t>
  </si>
  <si>
    <t>% Y/Y shown as n/m when base is zero, sign changes (incl. to/from zero), or |base| &lt; 10% of |current|</t>
  </si>
  <si>
    <t xml:space="preserve">    Provisional tax, % prior-yr tax</t>
  </si>
  <si>
    <t>Taiwan provisional income tax paid in September = 50% of prior-year tax; FY25 tax expense used as the base</t>
  </si>
  <si>
    <t xml:space="preserve">    o/w income tax paid</t>
  </si>
  <si>
    <t>3Q26E: Taiwan provisional tax paid in September = 50% of prior-year tax (FY25 tax expense used as proxy; includes deferred tax and 2Q25 undistributed-earnings tax, IS K74; prior-year tax payable not sourced, original assumption retained); other quarters not disclosed</t>
  </si>
  <si>
    <t xml:space="preserve">      % Y/Y</t>
  </si>
  <si>
    <t xml:space="preserve">      Seq. change (abs.)</t>
  </si>
  <si>
    <t xml:space="preserve">    o/w interest to investing</t>
  </si>
  <si>
    <t>TSMC records interest received in investing (other investing ~ net interest income)</t>
  </si>
  <si>
    <t xml:space="preserve">    o/w associates (non-cash)</t>
  </si>
  <si>
    <t>Equity-method income raises long-term investments, not cash</t>
  </si>
  <si>
    <t xml:space="preserve">    o/w working capital</t>
  </si>
  <si>
    <t>Operating cash flow</t>
  </si>
  <si>
    <t>Investing activities</t>
  </si>
  <si>
    <t xml:space="preserve">  Capital expenditures</t>
  </si>
  <si>
    <t xml:space="preserve">  Marketable financial instruments</t>
  </si>
  <si>
    <t>3Q26E = average of last four quarters</t>
  </si>
  <si>
    <t>n/m rule as K16</t>
  </si>
  <si>
    <t xml:space="preserve">  Other investing sources/(uses)</t>
  </si>
  <si>
    <t>3Q26E = interest received (2Q26 included NT$24.4bn VIS sale proceeds)</t>
  </si>
  <si>
    <t>Investing cash flow</t>
  </si>
  <si>
    <t>Financing activities</t>
  </si>
  <si>
    <t xml:space="preserve">  Cash dividends</t>
  </si>
  <si>
    <t xml:space="preserve">  Bonds payable</t>
  </si>
  <si>
    <t>3Q26E = change in debt on Balance Sheet (held flat)</t>
  </si>
  <si>
    <t xml:space="preserve">  Other financing sources/(uses)</t>
  </si>
  <si>
    <t>Financing cash flow</t>
  </si>
  <si>
    <t>Exchange rate changes on cash</t>
  </si>
  <si>
    <t>3Q26E nil: H.10 NT$/US$ 31.85 on both 30-Jun-2026 and 30-Sep-2026 (S19)</t>
  </si>
  <si>
    <t>Net change in cash</t>
  </si>
  <si>
    <t>Ending cash balance</t>
  </si>
  <si>
    <t xml:space="preserve">  Check: ending - BS cash (= 0)</t>
  </si>
  <si>
    <t>Capital expenditure and free cash flow</t>
  </si>
  <si>
    <t>Capital expenditures (USD bn)</t>
  </si>
  <si>
    <t>3Q26E = (FY26 budget midpoint US$62bn - 1H26 US$26.8bn) / 2</t>
  </si>
  <si>
    <t>Free cash flow (OCF - capex)</t>
  </si>
  <si>
    <t>Issuer-defined: TSMC 'Free cash flow = Cash from operating activities – Capital expenditures' (S4 2Q26 presentation, Cash Flows slide). C72:I72 (incl. FY25 G72 = NT$1,002.57bn) tie to TSMC-reported FCF (S3, S9, S11). 3Q26E OCF carries the provisional-tax proxy (K18/K19)</t>
  </si>
  <si>
    <t xml:space="preserve">  FCF margin (% of net revenue)</t>
  </si>
  <si>
    <t>Net revenue by geography (customer headquarters region, TSMC definition)</t>
  </si>
  <si>
    <t>North America revenue</t>
  </si>
  <si>
    <t>3Q26E mix held at 2Q26; FY25 reported mix 75%</t>
  </si>
  <si>
    <t>Asia Pacific revenue</t>
  </si>
  <si>
    <t>3Q26E mix held at 2Q26; FY25 reported mix 9%</t>
  </si>
  <si>
    <t>China revenue</t>
  </si>
  <si>
    <t>3Q26E mix held at 2Q26; FY25 reported mix 9% (S9) vs G35 8.3% built from rounded quarterly mixes 7%/9%/8%/9% (verified vs S7, S11, S9) — difference likely reflects rounding of the quarterly shares (unrounded shares not disclosed); inputs unchanged</t>
  </si>
  <si>
    <t>Japan revenue</t>
  </si>
  <si>
    <t>3Q26E mix held at 2Q26; FY25 reported mix 4%</t>
  </si>
  <si>
    <t>EMEA revenue</t>
  </si>
  <si>
    <t>3Q26E mix held at 2Q26; FY25 reported mix 3%</t>
  </si>
  <si>
    <t>Total net revenue by geography</t>
  </si>
  <si>
    <t xml:space="preserve">  Check: regions - total (= 0)</t>
  </si>
  <si>
    <t>Mix-integrity check: regional revenue = total x mix (not independent validation)</t>
  </si>
  <si>
    <t>Share count — weighted basic and diluted shares, dividends, ADR conversion</t>
  </si>
  <si>
    <t>Shares outstanding, end (m)</t>
  </si>
  <si>
    <t>1Q25-3Q25 period-end count not captured (unavailable). 3Q26E: no buyback/issuance announced</t>
  </si>
  <si>
    <t xml:space="preserve">  Memo: 6M wtd basic shares (m)</t>
  </si>
  <si>
    <t xml:space="preserve">  Memo: 6M wtd diluted shares (m)</t>
  </si>
  <si>
    <t>1Q derived from 6M and 2Q weighted counts by days; 3Q25/4Q25 basic not captured (unavailable)</t>
  </si>
  <si>
    <t>3Q25/4Q25 rounded to nearest million as disclosed; 3Q26E held at 2Q26 (no buyback; RSA dilution immaterial)</t>
  </si>
  <si>
    <t xml:space="preserve">  Dilutive potential shares (m)</t>
  </si>
  <si>
    <t xml:space="preserve">  Share repurchases (m shares)</t>
  </si>
  <si>
    <t>none</t>
  </si>
  <si>
    <t>No share repurchase programme disclosed in 2025-26 filings (S3, S7, S9, S11)</t>
  </si>
  <si>
    <t xml:space="preserve">  Shares issued (RSAs, m)</t>
  </si>
  <si>
    <t>n/d</t>
  </si>
  <si>
    <t>n/d = not disclosed quarterly; RSA issuance immaterial (dilutive shares ~1-2m)</t>
  </si>
  <si>
    <t xml:space="preserve">  Diluted ADR-equivalent units (m)</t>
  </si>
  <si>
    <t>Shares behind 3Q26E EPS (m)</t>
  </si>
  <si>
    <t>Cash dividends</t>
  </si>
  <si>
    <t>DPS declared in qtr (NT$)</t>
  </si>
  <si>
    <t>Board approves each quarterly dividend in the following quarter; 1Q25/2Q25 declarations not captured</t>
  </si>
  <si>
    <t>DPS paid in qtr (NT$)</t>
  </si>
  <si>
    <t>Dividends declared (TWD m)</t>
  </si>
  <si>
    <t>Dividends paid (TWD m)</t>
  </si>
  <si>
    <t>Ties to Cash Flow cash dividends: 1Q26 129,660 and 2Q26 155,590 reported</t>
  </si>
  <si>
    <t>Company guidance log (one row per guidance item) and guidance-implied 3Q26 P&amp;L</t>
  </si>
  <si>
    <t>Revenue guidance in USD bn; margins in %; implied P&amp;L in TWD millions (EPS NT$ and US$ per ADR)</t>
  </si>
  <si>
    <t>Guidance log</t>
  </si>
  <si>
    <t>Guidance item</t>
  </si>
  <si>
    <t>Issued</t>
  </si>
  <si>
    <t>Low</t>
  </si>
  <si>
    <t>High</t>
  </si>
  <si>
    <t>Midpoint</t>
  </si>
  <si>
    <t>Actual / est.</t>
  </si>
  <si>
    <t>Beat / miss vs range</t>
  </si>
  <si>
    <t>Act. - mid</t>
  </si>
  <si>
    <t>1Q25 net revenue (USD bn)</t>
  </si>
  <si>
    <t>1Q25 gross margin</t>
  </si>
  <si>
    <t>1Q25 operating margin</t>
  </si>
  <si>
    <t>1Q25 FX assumption (TWD/USD)</t>
  </si>
  <si>
    <t>n/a (assumption)</t>
  </si>
  <si>
    <t>2Q25 net revenue (USD bn)</t>
  </si>
  <si>
    <t>2Q25 gross margin</t>
  </si>
  <si>
    <t>2Q25 operating margin</t>
  </si>
  <si>
    <t>2Q25 FX assumption (TWD/USD)</t>
  </si>
  <si>
    <t>3Q25 net revenue (USD bn)</t>
  </si>
  <si>
    <t>3Q25 gross margin</t>
  </si>
  <si>
    <t>3Q25 operating margin</t>
  </si>
  <si>
    <t>3Q25 FX assumption (TWD/USD)</t>
  </si>
  <si>
    <t>4Q25 net revenue (USD bn)</t>
  </si>
  <si>
    <t>4Q25 gross margin</t>
  </si>
  <si>
    <t>4Q25 operating margin</t>
  </si>
  <si>
    <t>4Q25 FX assumption (TWD/USD)</t>
  </si>
  <si>
    <t>1Q26 net revenue (USD bn)</t>
  </si>
  <si>
    <t>1Q26 gross margin</t>
  </si>
  <si>
    <t>1Q26 operating margin</t>
  </si>
  <si>
    <t>1Q26 FX assumption (TWD/USD)</t>
  </si>
  <si>
    <t>2Q26 net revenue (USD bn)</t>
  </si>
  <si>
    <t>2Q26 gross margin</t>
  </si>
  <si>
    <t>2Q26 operating margin</t>
  </si>
  <si>
    <t>2Q26 FX assumption (TWD/USD)</t>
  </si>
  <si>
    <t>3Q26 net revenue (USD bn)</t>
  </si>
  <si>
    <t>pending (report 2026-10-15)</t>
  </si>
  <si>
    <t>H = Shortcut 3Q26E (USD revenue from monthly reports at H.10 FX)</t>
  </si>
  <si>
    <t>3Q26 gross margin</t>
  </si>
  <si>
    <t>3Q26 operating margin</t>
  </si>
  <si>
    <t>3Q26 FX assumption (TWD/USD)</t>
  </si>
  <si>
    <t>FY26 revenue growth (USD)</t>
  </si>
  <si>
    <t>FY26E</t>
  </si>
  <si>
    <t>close to 30%</t>
  </si>
  <si>
    <t>pending</t>
  </si>
  <si>
    <t>slightly above 40%</t>
  </si>
  <si>
    <t>FY26 capital budget (USD bn)</t>
  </si>
  <si>
    <t>superseded</t>
  </si>
  <si>
    <t>Guidance track record (actual less midpoint, last six quarters)</t>
  </si>
  <si>
    <t>Avg revenue vs mid (USD bn)</t>
  </si>
  <si>
    <t>Avg GM vs mid (bps)</t>
  </si>
  <si>
    <t>Avg OM vs mid (bps)</t>
  </si>
  <si>
    <t>Qtrs GM above range (of 6)</t>
  </si>
  <si>
    <t>Guidance-midpoint implied 3Q26 P&amp;L (TWD m; non-operating, tax, NCI and shares as in the Shortcut estimate)</t>
  </si>
  <si>
    <t>Revenue (mid, at 32.0 FX)</t>
  </si>
  <si>
    <t>Operating income at OM midpoint</t>
  </si>
  <si>
    <t>Non-operating (Shortcut est.)</t>
  </si>
  <si>
    <t>Income before tax</t>
  </si>
  <si>
    <t>Income tax at Shortcut ETR</t>
  </si>
  <si>
    <t>Less: NCI (Shortcut estimate)</t>
  </si>
  <si>
    <t>Net income to parent (implied)</t>
  </si>
  <si>
    <t>Diluted EPS (NT$, implied)</t>
  </si>
  <si>
    <t>EPS (US$/ADR, implied)</t>
  </si>
  <si>
    <t>3Q26E capex (USD bn)</t>
  </si>
  <si>
    <t>Sources — publication date, publisher, URL / file and what each source feeds</t>
  </si>
  <si>
    <t>Reference list (no amounts)</t>
  </si>
  <si>
    <t>ID</t>
  </si>
  <si>
    <t>Publisher</t>
  </si>
  <si>
    <t>Document</t>
  </si>
  <si>
    <t>Feeds</t>
  </si>
  <si>
    <t>Retrieved (UTC)</t>
  </si>
  <si>
    <t>URL or file</t>
  </si>
  <si>
    <t>S1</t>
  </si>
  <si>
    <t>S&amp;P Capital IQ (supplied file)</t>
  </si>
  <si>
    <t>TSM_consensus.json — consensus snapshot and summary row</t>
  </si>
  <si>
    <t>Inputs A-B; Cover consensus; calibration</t>
  </si>
  <si>
    <t>supplied</t>
  </si>
  <si>
    <t>file: workspace/TSM_consensus.json</t>
  </si>
  <si>
    <t>S2</t>
  </si>
  <si>
    <t>TSM_history.csv — six quarters EPS/revenue actual vs consensus</t>
  </si>
  <si>
    <t>Inputs C-D; Revenue summary actual revenue; IS reported ADR EPS</t>
  </si>
  <si>
    <t>file: workspace/TSM_history.csv</t>
  </si>
  <si>
    <t>S3</t>
  </si>
  <si>
    <t>TSMC</t>
  </si>
  <si>
    <t>2Q26 Management Report</t>
  </si>
  <si>
    <t>IS/BS/CF 2Q26 and 2Q25; mixes 2Q26</t>
  </si>
  <si>
    <t>2026-10-12 03:10-03:40 UTC</t>
  </si>
  <si>
    <t>https://investor.tsmc.com/english/encrypt/files/encrypt_file/reports/2026-07/6f49632674bd2d0fd48cb65aaf89ec6ab510b559/2Q26%20ManagementReport.pdf</t>
  </si>
  <si>
    <t>S4</t>
  </si>
  <si>
    <t>TSMC (SEC 6-K exhibit)</t>
  </si>
  <si>
    <t>2Q26 earnings conference presentation</t>
  </si>
  <si>
    <t>BS totals 2Q26/2Q25; 3Q26 guidance; shares outstanding</t>
  </si>
  <si>
    <t>https://www.sec.gov/Archives/edgar/data/1046179/000104617926000451/a2q26presentatione.htm</t>
  </si>
  <si>
    <t>S5</t>
  </si>
  <si>
    <t>TSMC / LSEG StreetEvents</t>
  </si>
  <si>
    <t>2Q26 earnings call transcript</t>
  </si>
  <si>
    <t>Guidance commentary; VIS EPS impact; FY26 capex and growth outlook</t>
  </si>
  <si>
    <t>https://investor.tsmc.com/english/encrypt/files/encrypt_file/reports/2026-07/547d1696765e05ce3adb81c108ce1c8c1682b80c/TSMC%202Q26%20Transcript.pdf</t>
  </si>
  <si>
    <t>S6</t>
  </si>
  <si>
    <t>2026 Q2 consolidated financial statements (reviewed)</t>
  </si>
  <si>
    <t>Share counts (Note 25); VIS FVTOCI (Note 13); single segment (Note 37)</t>
  </si>
  <si>
    <t>https://investor.tsmc.com/sites/ir/financial-report/2026/TSMC%202026Q2%20Consolidated%20Financial%20Statements_E_0.pdf</t>
  </si>
  <si>
    <t>S7</t>
  </si>
  <si>
    <t>1Q26 Management Report</t>
  </si>
  <si>
    <t>IS/BS/CF 1Q26 and 1Q25; mixes</t>
  </si>
  <si>
    <t>https://investor.tsmc.com/english/encrypt/files/encrypt_file/reports/2026-04/5508a9df8981f587c73dbfaf9f577f142e22bbb1/1Q26ManagementReport.pdf</t>
  </si>
  <si>
    <t>S8</t>
  </si>
  <si>
    <t>1Q26 earnings conference presentation</t>
  </si>
  <si>
    <t>BS totals 1Q26/1Q25; 1Q25 opening cash; 2Q26 guidance</t>
  </si>
  <si>
    <t>https://www.sec.gov/Archives/edgar/data/1046179/000104617926000199/a1q26presentatione.htm</t>
  </si>
  <si>
    <t>S9</t>
  </si>
  <si>
    <t>4Q25 Management Report</t>
  </si>
  <si>
    <t>IS/BS/CF 4Q25; FY25 mixes; capex USD by quarter</t>
  </si>
  <si>
    <t>https://investor.tsmc.com/english/encrypt/files/encrypt_file/reports/2026-01/00fe50f72b38d74e6b9b066398f020f337cd4e9d/4Q25%20Management%20Report.pdf</t>
  </si>
  <si>
    <t>S10</t>
  </si>
  <si>
    <t>4Q25 earnings conference presentation</t>
  </si>
  <si>
    <t>BS totals 4Q25/3Q25; 1Q26 guidance; FY26 outlook</t>
  </si>
  <si>
    <t>https://www.sec.gov/Archives/edgar/data/1046179/000104617926000008/a4q25presentatione.htm</t>
  </si>
  <si>
    <t>S11</t>
  </si>
  <si>
    <t>3Q25 Management Report</t>
  </si>
  <si>
    <t>IS/BS/CF 3Q25; 2Q25 node mix</t>
  </si>
  <si>
    <t>https://investor.tsmc.com/english/encrypt/files/encrypt_file/reports/2025-10/90cb476be2e8406ba477c417a552d36d632db5c3/3Q25ManagementReport.pdf</t>
  </si>
  <si>
    <t>S13</t>
  </si>
  <si>
    <t>TSMC (SEC 6-K)</t>
  </si>
  <si>
    <t>FY2025 consolidated financial statements</t>
  </si>
  <si>
    <t>FY25 basic and diluted weighted shares (Note 26)</t>
  </si>
  <si>
    <t>https://www.sec.gov/Archives/edgar/data/1046179/000104617926000024/a2025q4consolidatedreport-.htm</t>
  </si>
  <si>
    <t>S14</t>
  </si>
  <si>
    <t>2025 monthly revenue table</t>
  </si>
  <si>
    <t>Monthly revenue 2025</t>
  </si>
  <si>
    <t>https://investor.tsmc.com/english/monthly-revenue/2025</t>
  </si>
  <si>
    <t>S15</t>
  </si>
  <si>
    <t>2026 monthly revenue table (Jan-Jul)</t>
  </si>
  <si>
    <t>Monthly revenue Jan-Jul 2026</t>
  </si>
  <si>
    <t>https://investor.tsmc.com/english/monthly-revenue/2026</t>
  </si>
  <si>
    <t>S16</t>
  </si>
  <si>
    <t>August 2026 revenue report</t>
  </si>
  <si>
    <t>August 2026 revenue NT$514,806m</t>
  </si>
  <si>
    <t>https://www.sec.gov/Archives/edgar/data/1046179/000104617926000658/tsm-revenue20260910.htm</t>
  </si>
  <si>
    <t>S17</t>
  </si>
  <si>
    <t>TSMC (SEC 6-K / press release)</t>
  </si>
  <si>
    <t>September 2026 revenue report</t>
  </si>
  <si>
    <t>September 2026 revenue NT$511,857m; Jan-Sep total</t>
  </si>
  <si>
    <t>https://www.sec.gov/Archives/edgar/data/1046179/000104617926000680/tsm-revenue20261008.htm</t>
  </si>
  <si>
    <t>S18</t>
  </si>
  <si>
    <t>TSMC 2026 Q3 quarterly results page (pre-release: guidance and conference date only)</t>
  </si>
  <si>
    <t>Report date 2026-10-15 14:00 Taipei; 3Q26 guidance</t>
  </si>
  <si>
    <t>https://investor.tsmc.com/english/quarterly-results/2026/q3</t>
  </si>
  <si>
    <t>S19</t>
  </si>
  <si>
    <t>Federal Reserve Board</t>
  </si>
  <si>
    <t>H.10 historical rates, New Taiwan dollar</t>
  </si>
  <si>
    <t>3Q26E average FX 31.9961; quarter-end rates</t>
  </si>
  <si>
    <t>https://www.federalreserve.gov/releases/h10/hist/dat00_ta.htm</t>
  </si>
  <si>
    <t>S20</t>
  </si>
  <si>
    <t>TSMC (TWSE material information)</t>
  </si>
  <si>
    <t>Disposal of VIS shares (supplement)</t>
  </si>
  <si>
    <t>VIS gain NT$63,202m; remaining 19% stake</t>
  </si>
  <si>
    <t>https://finance.biggo.com/news/twse_major_2330_1150518_191213</t>
  </si>
  <si>
    <t>S21</t>
  </si>
  <si>
    <t>Board of Directors resolutions</t>
  </si>
  <si>
    <t>2Q26 dividend NT$7.0 declared in 3Q26</t>
  </si>
  <si>
    <t>https://www.sec.gov/Archives/edgar/data/1046179/000104617926000536/tsm-boardx20260811.htm</t>
  </si>
  <si>
    <t>S22</t>
  </si>
  <si>
    <t>Dividend history</t>
  </si>
  <si>
    <t>Dividends declared/paid by quarter</t>
  </si>
  <si>
    <t>https://investor.tsmc.com/english/dividends</t>
  </si>
  <si>
    <t>S23</t>
  </si>
  <si>
    <t>WallStreetNumbers</t>
  </si>
  <si>
    <t>TSM market cap history (Oct 9, 2026: $2,351B)</t>
  </si>
  <si>
    <t>Calibration size bucket (CapIQ market cap blank)</t>
  </si>
  <si>
    <t>https://wallstreetnumbers.com/stocks/tsm/market-cap</t>
  </si>
  <si>
    <t>S24</t>
  </si>
  <si>
    <t>TrendForce (citing Reuters / LSEG)</t>
  </si>
  <si>
    <t>TSMC Q3 revenue beats forecasts; net profit seen +64%</t>
  </si>
  <si>
    <t>Newer consensus reference (LSEG revenue and net profit)</t>
  </si>
  <si>
    <t>https://www.trendforce.com/news/2026/10/08/news-tsmc-q3-revenue-beats-forecasts-at-record-nt1-49-trillion-net-profit-seen-surging-64/</t>
  </si>
  <si>
    <t>S25</t>
  </si>
  <si>
    <t>Hudson Labs</t>
  </si>
  <si>
    <t>TSMC Q3 2026 earnings preview</t>
  </si>
  <si>
    <t>Street GM/OM reference (pre-September revenue)</t>
  </si>
  <si>
    <t>https://www.hudson-labs.com/research/tsmc-q3-2026-earnings-preview-tsm-revenue-and-margins</t>
  </si>
  <si>
    <t>S26</t>
  </si>
  <si>
    <t>1Q25-3Q25 guidance (quarterly results pages, releases, presentations)</t>
  </si>
  <si>
    <t>Guidance log 1Q25-3Q25</t>
  </si>
  <si>
    <t>https://investor.tsmc.com/english/quarterly-results/2025/q1 ; https://www.sec.gov/Archives/edgar/data/1046179/000104617925000035/a1q25presentatione_for6k.htm ; https://www.sec.gov/Archives/edgar/data/1046179/000104617925000116/a3q25presentatione.htm</t>
  </si>
  <si>
    <t>S27</t>
  </si>
  <si>
    <t>FactSet / LSEG Lipper (playbook references)</t>
  </si>
  <si>
    <t>Beat-rate context for cohort priors</t>
  </si>
  <si>
    <t>Calibration context only</t>
  </si>
  <si>
    <t>https://insight.factset.com/sp-500-earnings-season-update-july-31-2026</t>
  </si>
  <si>
    <t>Tabs omitted or consolidated (one line each)</t>
  </si>
  <si>
    <t>Segment - &lt;name&gt; tabs: omitted — TSMC reports one operating segment (foundry): 2026 Q2 consolidated FS Note 37 (S6); drivers built on Revenue summary</t>
  </si>
  <si>
    <t>Geo tab: included — five customer-HQ regions disclosed in each Management Report (S3, S7, S9, S11)</t>
  </si>
  <si>
    <t>No Dates, Consensus or Checks tabs: period headers sit on each tab; consensus on Cover; check summary in artifacts/checks.md</t>
  </si>
  <si>
    <t>Inputs tab (after Sources): raw CapIQ summary row and six history rows, embedded as required, plus calibration</t>
  </si>
  <si>
    <t>Target-quarter actuals: not seen and not used; 3Q26 results page showed guidance and conference date only (S18)</t>
  </si>
  <si>
    <t>Retrieval limitation: all sources were published before the 2026-10-11 22:24:20 UTC cutoff but retrieved 2026-10-12 03:10-03:40 UTC; live pages (S18, S19, S22, S23) may have changed and their pre-cutoff state cannot be verified (no archived pre-cutoff snapshots).</t>
  </si>
  <si>
    <t>Cached post-cutoff text retrievals of S3-S11, S13-S15 and S19 are SHA-256 hashed in artifacts/repair-report.json (retrieval hashes, not pre-cutoff snapshots). ID S12 is unassigned (numbering gap; no source omitted).</t>
  </si>
  <si>
    <t>Inputs — raw S&amp;P Capital IQ export (TSM_consensus.json, TSM_history.csv) and beat-probability calibration</t>
  </si>
  <si>
    <t>Units as supplied by CapIQ: EPS in USD per ADR; revenue and income in TWD millions</t>
  </si>
  <si>
    <t>A. TSM_consensus.json — top-level fields (S1)</t>
  </si>
  <si>
    <t>source</t>
  </si>
  <si>
    <t>S&amp;P Capital IQ</t>
  </si>
  <si>
    <t>ticker</t>
  </si>
  <si>
    <t>TSM</t>
  </si>
  <si>
    <t>company</t>
  </si>
  <si>
    <t>Taiwan Semiconductor Manufacturing Company Limited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</si>
  <si>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</si>
  <si>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</si>
  <si>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</si>
  <si>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</si>
  <si>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</si>
  <si>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</si>
  <si>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</si>
  <si>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EPS, USD per ADR (5 ordinary shares per ADR)</t>
  </si>
  <si>
    <t>consensus_revenue_m</t>
  </si>
  <si>
    <t>currency</t>
  </si>
  <si>
    <t>TWD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</si>
  <si>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</si>
  <si>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</si>
  <si>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</si>
  <si>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</si>
  <si>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</si>
  <si>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EPS in USD per ADR; revenue and income in TWD millions</t>
  </si>
  <si>
    <t>metric_units</t>
  </si>
  <si>
    <t>{"eps_currency": "USD", "eps_share_unit": "ADR", "revenue_currency": "TWD", "financial_amount_scale": "millions"}</t>
  </si>
  <si>
    <t>target_manifest (targets)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</si>
  <si>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issuer_defined_free_cash_flow, wafer_shipments, advanced_node_revenue_mix, usd_twd_exchange_rate, ordinary_shares_per_adr</t>
  </si>
  <si>
    <t>B. TSM_consensus.json — summary_row (complete raw row; blank source values preserved as empty cells) (S1)</t>
  </si>
  <si>
    <t>company_name</t>
  </si>
  <si>
    <t>exchange_ticker</t>
  </si>
  <si>
    <t>NYSE:TSM</t>
  </si>
  <si>
    <t>capiq_company_id</t>
  </si>
  <si>
    <t>sp500_member</t>
  </si>
  <si>
    <t>N</t>
  </si>
  <si>
    <t>market_cap_usd_m</t>
  </si>
  <si>
    <t>blank in CapIQ export (unavailable)</t>
  </si>
  <si>
    <t>fiscal_quarter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</si>
  <si>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</si>
  <si>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</si>
  <si>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</si>
  <si>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</si>
  <si>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</si>
  <si>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</si>
  <si>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</si>
  <si>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</si>
  <si>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</si>
  <si>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</si>
  <si>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</si>
  <si>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</si>
  <si>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</si>
  <si>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</si>
  <si>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</si>
  <si>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</si>
  <si>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</si>
  <si>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</si>
  <si>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</si>
  <si>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</si>
  <si>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</si>
  <si>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</si>
  <si>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</si>
  <si>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</si>
  <si>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</si>
  <si>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</si>
  <si>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</si>
  <si>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</si>
  <si>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</si>
  <si>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</si>
  <si>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</si>
  <si>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</si>
  <si>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</si>
  <si>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</si>
  <si>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</si>
  <si>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</si>
  <si>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</si>
  <si>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</si>
  <si>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</si>
  <si>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</si>
  <si>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</si>
  <si>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</si>
  <si>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</si>
  <si>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</si>
  <si>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</si>
  <si>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</si>
  <si>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</si>
  <si>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</si>
  <si>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</si>
  <si>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</si>
  <si>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</si>
  <si>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</si>
  <si>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</si>
  <si>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</si>
  <si>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</si>
  <si>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</si>
  <si>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</si>
  <si>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</si>
  <si>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</si>
  <si>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</si>
  <si>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</si>
  <si>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309.32/180.81</t>
  </si>
  <si>
    <t>USD (EPS) / TWD (revenue, income)</t>
  </si>
  <si>
    <t>units</t>
  </si>
  <si>
    <t>estimates_captured_at</t>
  </si>
  <si>
    <t>notes</t>
  </si>
  <si>
    <t>Mixed units. EPS figures are USD per NYSE:TSM ADR (1 ADR = 5 ordinary shares); revenue and all income-statement items are TWD millions (CapIQ Company Level TWD). Target price mean 3277.94 is TWD per ordinary share on TWSE:2330. Recommendation 1.38 is for NYSE:TSM (TWSE:2330 is 1.31).</t>
  </si>
  <si>
    <t>C. TSM_history.csv — all six rows as supplied (S2)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</si>
  <si>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</si>
  <si>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</si>
  <si>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</si>
  <si>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</si>
  <si>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</si>
  <si>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</si>
  <si>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</si>
  <si>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Beat-probability calibration (forecasting playbook v2, size and issuer history)</t>
  </si>
  <si>
    <t>EPS surprise history (US$/ADR)</t>
  </si>
  <si>
    <t>period end</t>
  </si>
  <si>
    <t>actual</t>
  </si>
  <si>
    <t>consensus</t>
  </si>
  <si>
    <t>surprise $</t>
  </si>
  <si>
    <t>strict beat?</t>
  </si>
  <si>
    <t>Pair 1</t>
  </si>
  <si>
    <t>Pair 2</t>
  </si>
  <si>
    <t>Pair 3</t>
  </si>
  <si>
    <t>Pair 4</t>
  </si>
  <si>
    <t>Pair 5</t>
  </si>
  <si>
    <t>Pair 6</t>
  </si>
  <si>
    <t>Mean surprise (USD/ADR)</t>
  </si>
  <si>
    <t>Market cap (USD bn, 9-Oct-26)</t>
  </si>
  <si>
    <t>CapIQ market_cap_usd_m is blank; dated third-party source used (S23). Unverified vs CapIQ price data: see memo C128 (proxy, not a replacement)</t>
  </si>
  <si>
    <t>Size bucket</t>
  </si>
  <si>
    <t>small $0.3-2bn / mid $2-10bn / large &gt;$10bn (playbook v2)</t>
  </si>
  <si>
    <t>S&amp;P 500 member (CapIQ)</t>
  </si>
  <si>
    <t>Cohort prior</t>
  </si>
  <si>
    <t>0.60 small, 0.70 mid, 0.78 large OR S&amp;P 500 (applied once)</t>
  </si>
  <si>
    <t>b = strict beats (history)</t>
  </si>
  <si>
    <t>n = valid pairs (same basis)</t>
  </si>
  <si>
    <t>Pseudo-count k (fixed)</t>
  </si>
  <si>
    <t>Starting p = (k*prior + b)/(k + n)</t>
  </si>
  <si>
    <t>Evidence update (pp)</t>
  </si>
  <si>
    <t>3Q26 revenue already known from monthly reports (NT$1,494.2bn, +2.5% vs CapIQ revenue consensus); model EPS $4.73 vs $4.46. Miss needs OM near guidance midpoint despite revenue above range. Judgmental: playbook v2 s.7 gives no quantitative rule or cap for evidence updates; retained as original forecaster judgment (unverified). Not used in EPS.</t>
  </si>
  <si>
    <t>Final P(beat consensus EPS)</t>
  </si>
  <si>
    <t>high</t>
  </si>
  <si>
    <t>Memo: mkt-cap proxy (USD bn)</t>
  </si>
  <si>
    <t>Proxy only (= CapIQ last close x diluted ADR units), not a source value: US$283 (C92) x 2Q26 diluted ADR-equivalent units. S23 2,351 implies ~US$453/ADR, inconsistent with CapIQ price (52-wk high 309.32). Unresolved source discrepancy; size bucket 'large' and prior 0.78 unchanged under either value. C33 (CapIQ) stays blank</t>
  </si>
</sst>
</file>

<file path=xl/styles.xml><?xml version="1.0" encoding="utf-8"?>
<styleSheet xmlns="http://schemas.openxmlformats.org/spreadsheetml/2006/main">
  <numFmts count="14">
    <numFmt numFmtId="164" formatCode="yyyy-mm-dd"/>
    <numFmt numFmtId="165" formatCode="0.0%_);(0.0%);–_)"/>
    <numFmt numFmtId="166" formatCode="General"/>
    <numFmt numFmtId="167" formatCode="#,##0.0_);(#,##0.0);–_)"/>
    <numFmt numFmtId="168" formatCode="0_)"/>
    <numFmt numFmtId="169" formatCode="&quot;NT$&quot;0.00_);(&quot;NT$&quot;0.00)"/>
    <numFmt numFmtId="170" formatCode="#,##0.00_);(#,##0.00);–_)"/>
    <numFmt numFmtId="171" formatCode="0.00_);(0.00)"/>
    <numFmt numFmtId="172" formatCode="#,##0_);(#,##0);–_)"/>
    <numFmt numFmtId="173" formatCode="0.0%"/>
    <numFmt numFmtId="174" formatCode="$0.00_);($0.00)"/>
    <numFmt numFmtId="175" formatCode="0.0x"/>
    <numFmt numFmtId="176" formatCode="#,##0&quot; bps&quot;_);(#,##0&quot; bps&quot;);–_)"/>
    <numFmt numFmtId="177" formatCode="0.0000_);(0.0000)"/>
  </numFmts>
  <fonts count="30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1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/>
      <strike val="0"/>
      <sz val="10"/>
      <color rgb="FF000000"/>
      <name val="Arial"/>
    </font>
    <font>
      <b/>
      <i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595959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595959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595959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B"/>
      </patternFill>
    </fill>
    <fill>
      <patternFill patternType="solid">
        <fgColor rgb="FFF2F2F2"/>
      </patternFill>
    </fill>
    <fill>
      <patternFill patternType="solid">
        <fgColor rgb="FFDCE6F2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lef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0" fontId="4" fillId="0" borderId="0" xfId="0" applyFont="1" applyFill="1" applyAlignment="1" applyProtection="1">
      <alignment horizontal="lef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166" fontId="5" fillId="0" borderId="1" xfId="0" applyNumberFormat="1" applyFont="1" applyFill="1" applyBorder="1" applyAlignment="1" applyProtection="1">
      <alignment horizontal="left" vertical="bottom"/>
      <protection locked="1" hidden="0"/>
    </xf>
    <xf numFmtId="0" fontId="5" fillId="0" borderId="0" xfId="0" applyFont="1" applyFill="1" applyAlignment="1" applyProtection="1">
      <alignment horizontal="lef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3" borderId="2" xfId="0" applyFont="1" applyFill="1" applyBorder="1" applyAlignment="1" applyProtection="1">
      <alignment horizontal="right" vertical="bottom"/>
      <protection locked="1" hidden="0"/>
    </xf>
    <xf numFmtId="167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left" vertical="bottom"/>
      <protection locked="1" hidden="0"/>
    </xf>
    <xf numFmtId="0" fontId="5" fillId="3" borderId="2" xfId="0" applyFont="1" applyFill="1" applyBorder="1" applyAlignment="1" applyProtection="1">
      <alignment horizontal="lef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168" fontId="1" fillId="4" borderId="1" xfId="0" applyNumberFormat="1" applyFont="1" applyFill="1" applyBorder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1" xfId="0" applyFont="1" applyFill="1" applyBorder="1" applyAlignment="1" applyProtection="1">
      <alignment horizontal="lef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left" vertical="bottom"/>
      <protection locked="1" hidden="0"/>
    </xf>
    <xf numFmtId="167" fontId="6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1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0" fontId="5" fillId="3" borderId="1" xfId="0" applyFont="1" applyFill="1" applyBorder="1" applyAlignment="1" applyProtection="1">
      <alignment horizontal="left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4" fontId="2" fillId="4" borderId="0" xfId="0" applyNumberFormat="1" applyFont="1" applyFill="1" applyAlignment="1" applyProtection="1">
      <alignment horizontal="right" vertical="bottom"/>
      <protection locked="1" hidden="0"/>
    </xf>
    <xf numFmtId="166" fontId="5" fillId="2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5" fontId="8" fillId="2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7" fontId="11" fillId="0" borderId="2" xfId="0" applyNumberFormat="1" applyFont="1" applyFill="1" applyBorder="1" applyAlignment="1" applyProtection="1">
      <alignment horizontal="right" vertical="bottom"/>
      <protection locked="1" hidden="0"/>
    </xf>
    <xf numFmtId="0" fontId="5" fillId="4" borderId="2" xfId="0" applyFont="1" applyFill="1" applyBorder="1" applyAlignment="1" applyProtection="1">
      <alignment horizontal="right" vertical="bottom"/>
      <protection locked="1" hidden="0"/>
    </xf>
    <xf numFmtId="0" fontId="5" fillId="3" borderId="0" xfId="0" applyFont="1" applyFill="1" applyAlignment="1" applyProtection="1">
      <alignment horizontal="lef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1" xfId="0" applyNumberFormat="1" applyFont="1" applyFill="1" applyBorder="1" applyAlignment="1" applyProtection="1">
      <alignment horizontal="right" vertical="bottom"/>
      <protection locked="1" hidden="0"/>
    </xf>
    <xf numFmtId="171" fontId="10" fillId="0" borderId="0" xfId="0" applyNumberFormat="1" applyFont="1" applyFill="1" applyAlignment="1" applyProtection="1">
      <alignment horizontal="right" vertical="bottom"/>
      <protection locked="1" hidden="0"/>
    </xf>
    <xf numFmtId="169" fontId="10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73" fontId="9" fillId="0" borderId="0" xfId="0" applyNumberFormat="1" applyFont="1" applyFill="1" applyAlignment="1" applyProtection="1">
      <alignment horizontal="right" vertical="bottom"/>
      <protection locked="1" hidden="0"/>
    </xf>
    <xf numFmtId="172" fontId="3" fillId="2" borderId="0" xfId="0" applyNumberFormat="1" applyFont="1" applyFill="1" applyAlignment="1" applyProtection="1">
      <alignment horizontal="right" vertical="bottom"/>
      <protection locked="1" hidden="0"/>
    </xf>
    <xf numFmtId="166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6" fontId="10" fillId="0" borderId="0" xfId="0" applyNumberFormat="1" applyFont="1" applyFill="1" applyAlignment="1" applyProtection="1">
      <alignment horizontal="right" vertical="bottom"/>
      <protection locked="1" hidden="0"/>
    </xf>
    <xf numFmtId="172" fontId="10" fillId="0" borderId="0" xfId="0" applyNumberFormat="1" applyFont="1" applyFill="1" applyAlignment="1" applyProtection="1">
      <alignment horizontal="right" vertical="bottom"/>
      <protection locked="1" hidden="0"/>
    </xf>
    <xf numFmtId="174" fontId="11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10" fillId="0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174" fontId="10" fillId="2" borderId="0" xfId="0" applyNumberFormat="1" applyFont="1" applyFill="1" applyAlignment="1" applyProtection="1">
      <alignment horizontal="right" vertical="bottom"/>
      <protection locked="1" hidden="0"/>
    </xf>
    <xf numFmtId="167" fontId="5" fillId="2" borderId="2" xfId="0" applyNumberFormat="1" applyFont="1" applyFill="1" applyBorder="1" applyAlignment="1" applyProtection="1">
      <alignment horizontal="right" vertical="bottom"/>
      <protection locked="1" hidden="0"/>
    </xf>
    <xf numFmtId="174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10" fillId="2" borderId="0" xfId="0" applyNumberFormat="1" applyFont="1" applyFill="1" applyAlignment="1" applyProtection="1">
      <alignment horizontal="right" vertical="bottom"/>
      <protection locked="1" hidden="0"/>
    </xf>
    <xf numFmtId="174" fontId="1" fillId="0" borderId="0" xfId="0" applyNumberFormat="1" applyFont="1" applyFill="1" applyAlignment="1" applyProtection="1">
      <alignment horizontal="right" vertical="bottom"/>
      <protection locked="1" hidden="0"/>
    </xf>
    <xf numFmtId="167" fontId="11" fillId="2" borderId="2" xfId="0" applyNumberFormat="1" applyFont="1" applyFill="1" applyBorder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lef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9" fontId="10" fillId="2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lef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65" fontId="9" fillId="2" borderId="0" xfId="0" applyNumberFormat="1" applyFont="1" applyFill="1" applyAlignment="1" applyProtection="1">
      <alignment horizontal="right" vertical="bottom"/>
      <protection locked="1" hidden="0"/>
    </xf>
    <xf numFmtId="174" fontId="10" fillId="0" borderId="0" xfId="0" applyNumberFormat="1" applyFont="1" applyFill="1" applyAlignment="1" applyProtection="1">
      <alignment horizontal="right" vertical="bottom"/>
      <protection locked="1" hidden="0"/>
    </xf>
    <xf numFmtId="166" fontId="11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9" fontId="5" fillId="0" borderId="2" xfId="0" applyNumberFormat="1" applyFont="1" applyFill="1" applyBorder="1" applyAlignment="1" applyProtection="1">
      <alignment horizontal="right" vertical="bottom"/>
      <protection locked="1" hidden="0"/>
    </xf>
    <xf numFmtId="174" fontId="2" fillId="0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left" vertical="bottom"/>
      <protection locked="1" hidden="0"/>
    </xf>
    <xf numFmtId="168" fontId="10" fillId="0" borderId="0" xfId="0" applyNumberFormat="1" applyFont="1" applyFill="1" applyAlignment="1" applyProtection="1">
      <alignment horizontal="righ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73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73" fontId="8" fillId="0" borderId="0" xfId="0" applyNumberFormat="1" applyFont="1" applyFill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70" fontId="10" fillId="2" borderId="0" xfId="0" applyNumberFormat="1" applyFont="1" applyFill="1" applyAlignment="1" applyProtection="1">
      <alignment horizontal="right" vertical="bottom"/>
      <protection locked="1" hidden="0"/>
    </xf>
    <xf numFmtId="175" fontId="1" fillId="0" borderId="0" xfId="0" applyNumberFormat="1" applyFont="1" applyFill="1" applyAlignment="1" applyProtection="1">
      <alignment horizontal="right" vertical="bottom"/>
      <protection locked="1" hidden="0"/>
    </xf>
    <xf numFmtId="174" fontId="5" fillId="2" borderId="2" xfId="0" applyNumberFormat="1" applyFont="1" applyFill="1" applyBorder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71" fontId="10" fillId="2" borderId="0" xfId="0" applyNumberFormat="1" applyFont="1" applyFill="1" applyAlignment="1" applyProtection="1">
      <alignment horizontal="right" vertical="bottom"/>
      <protection locked="1" hidden="0"/>
    </xf>
    <xf numFmtId="175" fontId="1" fillId="2" borderId="0" xfId="0" applyNumberFormat="1" applyFont="1" applyFill="1" applyAlignment="1" applyProtection="1">
      <alignment horizontal="right" vertical="bottom"/>
      <protection locked="1" hidden="0"/>
    </xf>
    <xf numFmtId="165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66" fontId="10" fillId="2" borderId="0" xfId="0" applyNumberFormat="1" applyFont="1" applyFill="1" applyAlignment="1" applyProtection="1">
      <alignment horizontal="right" vertical="bottom"/>
      <protection locked="1" hidden="0"/>
    </xf>
    <xf numFmtId="169" fontId="5" fillId="2" borderId="2" xfId="0" applyNumberFormat="1" applyFont="1" applyFill="1" applyBorder="1" applyAlignment="1" applyProtection="1">
      <alignment horizontal="right" vertical="bottom"/>
      <protection locked="1" hidden="0"/>
    </xf>
    <xf numFmtId="168" fontId="10" fillId="2" borderId="0" xfId="0" applyNumberFormat="1" applyFont="1" applyFill="1" applyAlignment="1" applyProtection="1">
      <alignment horizontal="right" vertical="bottom"/>
      <protection locked="1" hidden="0"/>
    </xf>
    <xf numFmtId="165" fontId="14" fillId="2" borderId="2" xfId="0" applyNumberFormat="1" applyFont="1" applyFill="1" applyBorder="1" applyAlignment="1" applyProtection="1">
      <alignment horizontal="right" vertical="bottom"/>
      <protection locked="1" hidden="0"/>
    </xf>
    <xf numFmtId="165" fontId="14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13" fillId="2" borderId="2" xfId="0" applyNumberFormat="1" applyFont="1" applyFill="1" applyBorder="1" applyAlignment="1" applyProtection="1">
      <alignment horizontal="right" vertical="bottom"/>
      <protection locked="1" hidden="0"/>
    </xf>
    <xf numFmtId="171" fontId="2" fillId="2" borderId="0" xfId="0" applyNumberFormat="1" applyFont="1" applyFill="1" applyAlignment="1" applyProtection="1">
      <alignment horizontal="right" vertical="bottom"/>
      <protection locked="1" hidden="0"/>
    </xf>
    <xf numFmtId="172" fontId="2" fillId="2" borderId="0" xfId="0" applyNumberFormat="1" applyFont="1" applyFill="1" applyAlignment="1" applyProtection="1">
      <alignment horizontal="right" vertical="bottom"/>
      <protection locked="1" hidden="0"/>
    </xf>
    <xf numFmtId="171" fontId="1" fillId="2" borderId="0" xfId="0" applyNumberFormat="1" applyFont="1" applyFill="1" applyAlignment="1" applyProtection="1">
      <alignment horizontal="right" vertical="bottom"/>
      <protection locked="1" hidden="0"/>
    </xf>
    <xf numFmtId="166" fontId="1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6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0" fillId="0" borderId="0" xfId="0" applyNumberFormat="1" applyFont="1" applyFill="1" applyAlignment="1" applyProtection="1">
      <alignment horizontal="right" vertical="bottom"/>
      <protection locked="1" hidden="0"/>
    </xf>
    <xf numFmtId="166" fontId="17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7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8" fillId="0" borderId="0" xfId="0" applyFont="1" applyFill="1" applyAlignment="1" applyProtection="1">
      <alignment horizontal="general" vertical="bottom"/>
      <protection locked="1" hidden="0"/>
    </xf>
    <xf numFmtId="167" fontId="20" fillId="2" borderId="0" xfId="0" applyNumberFormat="1" applyFont="1" applyFill="1" applyAlignment="1" applyProtection="1">
      <alignment horizontal="right" vertical="bottom"/>
      <protection locked="1" hidden="0"/>
    </xf>
    <xf numFmtId="0" fontId="17" fillId="0" borderId="0" xfId="0" applyFont="1" applyFill="1" applyAlignment="1" applyProtection="1">
      <alignment horizontal="general" vertical="bottom"/>
      <protection locked="1" hidden="0"/>
    </xf>
    <xf numFmtId="166" fontId="21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6" fontId="23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6" fontId="22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6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6" fontId="25" fillId="0" borderId="2" xfId="0" applyNumberFormat="1" applyFont="1" applyFill="1" applyBorder="1" applyAlignment="1" applyProtection="1">
      <alignment horizontal="right" vertical="top" textRotation="0" indent="0" readingOrder="0"/>
      <protection locked="1" hidden="0"/>
    </xf>
    <xf numFmtId="166" fontId="23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7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6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4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3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1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7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workbookViewId="0"/>
  </sheetViews>
  <sheetFormatPr defaultColWidth="8.42578125" defaultRowHeight="15"/>
  <cols>
    <col min="1" max="1" width="10" customWidth="1"/>
    <col min="2" max="2" width="34" customWidth="1"/>
    <col min="3" max="4" width="14" customWidth="1"/>
    <col min="5" max="6" width="12" customWidth="1"/>
    <col min="7" max="7" width="14" customWidth="1"/>
    <col min="8" max="11" width="12" customWidth="1"/>
  </cols>
  <sheetData>
    <row r="1" ht="13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3.5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3.5">
      <c r="A3" s="1"/>
      <c r="B3" s="34" t="s">
        <v>1</v>
      </c>
      <c r="C3" s="1"/>
      <c r="D3" s="1"/>
      <c r="E3" s="1"/>
      <c r="F3" s="1"/>
      <c r="G3" s="1"/>
      <c r="H3" s="1"/>
      <c r="I3" s="1"/>
      <c r="J3" s="1"/>
      <c r="K3" s="1"/>
    </row>
    <row r="4" ht="13.5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48" t="s">
        <v>4</v>
      </c>
      <c r="D5" s="13"/>
      <c r="E5" s="13"/>
      <c r="F5" s="13"/>
      <c r="G5" s="13"/>
      <c r="H5" s="13"/>
      <c r="I5" s="13"/>
      <c r="J5" s="13"/>
      <c r="K5" s="19"/>
    </row>
    <row r="6">
      <c r="A6" s="1"/>
      <c r="B6" s="49" t="s">
        <v>5</v>
      </c>
      <c r="C6" s="32">
        <v>46295</v>
      </c>
      <c r="D6" s="28"/>
      <c r="E6" s="28"/>
      <c r="F6" s="28"/>
      <c r="G6" s="28"/>
      <c r="H6" s="28"/>
      <c r="I6" s="28"/>
      <c r="J6" s="28"/>
      <c r="K6" s="17"/>
    </row>
    <row r="7">
      <c r="A7" s="1"/>
      <c r="B7" s="30" t="s">
        <v>6</v>
      </c>
      <c r="C7" s="21">
        <f>C6-DATE(2026,6,30)</f>
        <v>92</v>
      </c>
      <c r="D7" s="27"/>
      <c r="E7" s="27"/>
      <c r="F7" s="27"/>
      <c r="G7" s="27"/>
      <c r="H7" s="27"/>
      <c r="I7" s="27"/>
      <c r="J7" s="27"/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7</v>
      </c>
      <c r="C9" s="22"/>
      <c r="D9" s="22"/>
      <c r="E9" s="22"/>
      <c r="F9" s="22"/>
      <c r="G9" s="22"/>
      <c r="H9" s="22"/>
      <c r="I9" s="22"/>
      <c r="J9" s="22"/>
      <c r="K9" s="7"/>
    </row>
    <row r="10">
      <c r="A10" s="1"/>
      <c r="B10" s="5" t="s">
        <v>8</v>
      </c>
      <c r="C10" s="6" t="s">
        <v>9</v>
      </c>
      <c r="D10" s="6"/>
      <c r="E10" s="6"/>
      <c r="F10" s="6"/>
      <c r="G10" s="6"/>
      <c r="H10" s="6"/>
      <c r="I10" s="6"/>
      <c r="J10" s="6"/>
      <c r="K10" s="7"/>
    </row>
    <row r="11">
      <c r="A11" s="1"/>
      <c r="B11" s="5" t="s">
        <v>10</v>
      </c>
      <c r="C11" s="6" t="s">
        <v>11</v>
      </c>
      <c r="D11" s="6"/>
      <c r="E11" s="6"/>
      <c r="F11" s="6"/>
      <c r="G11" s="6"/>
      <c r="H11" s="6"/>
      <c r="I11" s="6"/>
      <c r="J11" s="6"/>
      <c r="K11" s="7"/>
    </row>
    <row r="12">
      <c r="A12" s="1"/>
      <c r="B12" s="5" t="s">
        <v>12</v>
      </c>
      <c r="C12" s="6" t="s">
        <v>13</v>
      </c>
      <c r="D12" s="6"/>
      <c r="E12" s="6"/>
      <c r="F12" s="6"/>
      <c r="G12" s="6"/>
      <c r="H12" s="6"/>
      <c r="I12" s="6"/>
      <c r="J12" s="6"/>
      <c r="K12" s="7"/>
    </row>
    <row r="13">
      <c r="A13" s="1"/>
      <c r="B13" s="5" t="s">
        <v>14</v>
      </c>
      <c r="C13" s="6" t="s">
        <v>15</v>
      </c>
      <c r="D13" s="6"/>
      <c r="E13" s="6"/>
      <c r="F13" s="6"/>
      <c r="G13" s="6"/>
      <c r="H13" s="6"/>
      <c r="I13" s="6"/>
      <c r="J13" s="6"/>
      <c r="K13" s="7"/>
    </row>
    <row r="14">
      <c r="A14" s="1"/>
      <c r="B14" s="5" t="s">
        <v>16</v>
      </c>
      <c r="C14" s="6" t="s">
        <v>17</v>
      </c>
      <c r="D14" s="6"/>
      <c r="E14" s="6"/>
      <c r="F14" s="6"/>
      <c r="G14" s="6"/>
      <c r="H14" s="6"/>
      <c r="I14" s="6"/>
      <c r="J14" s="6"/>
      <c r="K14" s="7"/>
    </row>
    <row r="15">
      <c r="A15" s="1"/>
      <c r="B15" s="5" t="s">
        <v>18</v>
      </c>
      <c r="C15" s="6" t="s">
        <v>19</v>
      </c>
      <c r="D15" s="6"/>
      <c r="E15" s="6"/>
      <c r="F15" s="6"/>
      <c r="G15" s="6"/>
      <c r="H15" s="6"/>
      <c r="I15" s="6"/>
      <c r="J15" s="6"/>
      <c r="K15" s="7"/>
    </row>
    <row r="16">
      <c r="A16" s="1"/>
      <c r="B16" s="5" t="s">
        <v>20</v>
      </c>
      <c r="C16" s="6" t="s">
        <v>21</v>
      </c>
      <c r="D16" s="6"/>
      <c r="E16" s="6"/>
      <c r="F16" s="6"/>
      <c r="G16" s="6"/>
      <c r="H16" s="6"/>
      <c r="I16" s="6"/>
      <c r="J16" s="6"/>
      <c r="K16" s="7"/>
    </row>
    <row r="17">
      <c r="A17" s="1"/>
      <c r="B17" s="5" t="s">
        <v>22</v>
      </c>
      <c r="C17" s="6" t="s">
        <v>23</v>
      </c>
      <c r="D17" s="6"/>
      <c r="E17" s="6"/>
      <c r="F17" s="6"/>
      <c r="G17" s="6"/>
      <c r="H17" s="6"/>
      <c r="I17" s="6"/>
      <c r="J17" s="6"/>
      <c r="K17" s="7"/>
    </row>
    <row r="18">
      <c r="A18" s="1"/>
      <c r="B18" s="5" t="s">
        <v>24</v>
      </c>
      <c r="C18" s="6" t="s">
        <v>25</v>
      </c>
      <c r="D18" s="6"/>
      <c r="E18" s="6"/>
      <c r="F18" s="6"/>
      <c r="G18" s="6"/>
      <c r="H18" s="6"/>
      <c r="I18" s="6"/>
      <c r="J18" s="6"/>
      <c r="K18" s="7"/>
    </row>
    <row r="19">
      <c r="A19" s="1"/>
      <c r="B19" s="5" t="s">
        <v>26</v>
      </c>
      <c r="C19" s="6" t="s">
        <v>27</v>
      </c>
      <c r="D19" s="6"/>
      <c r="E19" s="6"/>
      <c r="F19" s="6"/>
      <c r="G19" s="6"/>
      <c r="H19" s="6"/>
      <c r="I19" s="6"/>
      <c r="J19" s="6"/>
      <c r="K19" s="7"/>
    </row>
    <row r="20">
      <c r="A20" s="1"/>
      <c r="B20" s="5"/>
      <c r="C20" s="4"/>
      <c r="D20" s="4"/>
      <c r="E20" s="4"/>
      <c r="F20" s="4"/>
      <c r="G20" s="4"/>
      <c r="H20" s="4"/>
      <c r="I20" s="4"/>
      <c r="J20" s="4"/>
      <c r="K20" s="7"/>
    </row>
    <row r="21">
      <c r="A21" s="1"/>
      <c r="B21" s="11" t="s">
        <v>28</v>
      </c>
      <c r="C21" s="22"/>
      <c r="D21" s="22"/>
      <c r="E21" s="22"/>
      <c r="F21" s="22"/>
      <c r="G21" s="22"/>
      <c r="H21" s="22"/>
      <c r="I21" s="22"/>
      <c r="J21" s="22"/>
      <c r="K21" s="7"/>
    </row>
    <row r="22">
      <c r="A22" s="1"/>
      <c r="B22" s="23" t="s">
        <v>29</v>
      </c>
      <c r="C22" s="109" t="s">
        <v>30</v>
      </c>
      <c r="D22" s="109" t="s">
        <v>31</v>
      </c>
      <c r="E22" s="109" t="s">
        <v>32</v>
      </c>
      <c r="F22" s="109" t="s">
        <v>33</v>
      </c>
      <c r="G22" s="109" t="s">
        <v>34</v>
      </c>
      <c r="H22" s="109" t="s">
        <v>35</v>
      </c>
      <c r="I22" s="10"/>
      <c r="J22" s="10"/>
      <c r="K22" s="7"/>
    </row>
    <row r="23">
      <c r="A23" s="1"/>
      <c r="B23" s="5" t="s">
        <v>36</v>
      </c>
      <c r="C23" s="72">
        <f>'Revenue summary'!J20</f>
        <v>1494243</v>
      </c>
      <c r="D23" s="41">
        <f>Inputs!C55</f>
        <v>1457602.44</v>
      </c>
      <c r="E23" s="12">
        <f>C23-D23</f>
        <v>36640.560000000056</v>
      </c>
      <c r="F23" s="61">
        <f>C23/D23-1</f>
        <v>0.025137553968419546</v>
      </c>
      <c r="G23" s="41">
        <f>Guidance!C51</f>
        <v>1446400</v>
      </c>
      <c r="H23" s="61">
        <f>C23/G23-1</f>
        <v>0.033077295353982406</v>
      </c>
      <c r="I23" s="12"/>
      <c r="J23" s="12"/>
      <c r="K23" s="7"/>
    </row>
    <row r="24">
      <c r="A24" s="1"/>
      <c r="B24" s="5" t="s">
        <v>37</v>
      </c>
      <c r="C24" s="72">
        <f>'Revenue summary'!J30</f>
        <v>46700.78540822163</v>
      </c>
      <c r="D24" s="12" t="s">
        <v>38</v>
      </c>
      <c r="E24" s="12" t="s">
        <v>38</v>
      </c>
      <c r="F24" s="61" t="s">
        <v>38</v>
      </c>
      <c r="G24" s="41">
        <f>Guidance!G35*1000</f>
        <v>45200</v>
      </c>
      <c r="H24" s="61">
        <f>C24/G24-1</f>
        <v>0.033203216996053664</v>
      </c>
      <c r="I24" s="12"/>
      <c r="J24" s="12"/>
      <c r="K24" s="7"/>
    </row>
    <row r="25">
      <c r="A25" s="1"/>
      <c r="B25" s="18" t="s">
        <v>39</v>
      </c>
      <c r="C25" s="80">
        <f>'Income Statement'!J19</f>
        <v>0.672</v>
      </c>
      <c r="D25" s="3" t="s">
        <v>40</v>
      </c>
      <c r="E25" s="3" t="s">
        <v>38</v>
      </c>
      <c r="F25" s="3" t="s">
        <v>38</v>
      </c>
      <c r="G25" s="37">
        <f>Guidance!G36</f>
        <v>0.66</v>
      </c>
      <c r="H25" s="110">
        <f>(C25-G25)*10000</f>
        <v>120.00000000000011</v>
      </c>
      <c r="I25" s="3"/>
      <c r="J25" s="3"/>
      <c r="K25" s="7"/>
    </row>
    <row r="26">
      <c r="A26" s="1"/>
      <c r="B26" s="5" t="s">
        <v>41</v>
      </c>
      <c r="C26" s="72">
        <f>'Income Statement'!J46</f>
        <v>899712.496</v>
      </c>
      <c r="D26" s="41">
        <f>Inputs!C65</f>
        <v>849572.78</v>
      </c>
      <c r="E26" s="12">
        <f>C26-D26</f>
        <v>50139.716000000015</v>
      </c>
      <c r="F26" s="61">
        <f>C26/D26-1</f>
        <v>0.05901756409851089</v>
      </c>
      <c r="G26" s="41">
        <f>Guidance!C52</f>
        <v>824448.0000000001</v>
      </c>
      <c r="H26" s="61">
        <f>C26/G26-1</f>
        <v>0.09129077394814455</v>
      </c>
      <c r="I26" s="12"/>
      <c r="J26" s="12"/>
      <c r="K26" s="7"/>
    </row>
    <row r="27">
      <c r="A27" s="1"/>
      <c r="B27" s="18" t="s">
        <v>42</v>
      </c>
      <c r="C27" s="80">
        <f>'Income Statement'!J49</f>
        <v>0.6021192644034471</v>
      </c>
      <c r="D27" s="3">
        <f>D26/D23</f>
        <v>0.5828563102569999</v>
      </c>
      <c r="E27" s="110">
        <f>(C27-D27)*10000</f>
        <v>192.62954146447186</v>
      </c>
      <c r="F27" s="3" t="s">
        <v>38</v>
      </c>
      <c r="G27" s="37">
        <f>Guidance!G37</f>
        <v>0.5700000000000001</v>
      </c>
      <c r="H27" s="110">
        <f>(C27-G27)*10000</f>
        <v>321.19264403447033</v>
      </c>
      <c r="I27" s="3"/>
      <c r="J27" s="3"/>
      <c r="K27" s="7"/>
    </row>
    <row r="28">
      <c r="A28" s="1"/>
      <c r="B28" s="5" t="s">
        <v>43</v>
      </c>
      <c r="C28" s="72">
        <f>'Income Statement'!J112</f>
        <v>784828.5591200001</v>
      </c>
      <c r="D28" s="41">
        <f>Inputs!C68</f>
        <v>733207.07</v>
      </c>
      <c r="E28" s="12">
        <f>C28-D28</f>
        <v>51621.48912000016</v>
      </c>
      <c r="F28" s="61">
        <f>C28/D28-1</f>
        <v>0.07040506186062845</v>
      </c>
      <c r="G28" s="41">
        <f>Guidance!C57</f>
        <v>721230.06</v>
      </c>
      <c r="H28" s="61">
        <f>C28/G28-1</f>
        <v>0.0881805995717928</v>
      </c>
      <c r="I28" s="12"/>
      <c r="J28" s="12"/>
      <c r="K28" s="7"/>
    </row>
    <row r="29">
      <c r="A29" s="1"/>
      <c r="B29" s="5" t="s">
        <v>44</v>
      </c>
      <c r="C29" s="72">
        <f>'Income Statement'!J81</f>
        <v>784828.5591200001</v>
      </c>
      <c r="D29" s="41">
        <f>Inputs!C69</f>
        <v>724002.61</v>
      </c>
      <c r="E29" s="12">
        <f>C29-D29</f>
        <v>60825.94912000012</v>
      </c>
      <c r="F29" s="61">
        <f>C29/D29-1</f>
        <v>0.08401343901232639</v>
      </c>
      <c r="G29" s="41">
        <f>Guidance!C57</f>
        <v>721230.06</v>
      </c>
      <c r="H29" s="61">
        <f>C29/G29-1</f>
        <v>0.0881805995717928</v>
      </c>
      <c r="I29" s="12"/>
      <c r="J29" s="12"/>
      <c r="K29" s="7"/>
    </row>
    <row r="30">
      <c r="A30" s="1"/>
      <c r="B30" s="5" t="s">
        <v>45</v>
      </c>
      <c r="C30" s="69">
        <f>'Income Statement'!J114</f>
        <v>4.729503806351139</v>
      </c>
      <c r="D30" s="81">
        <f>Inputs!C39</f>
        <v>4.46</v>
      </c>
      <c r="E30" s="73">
        <f>C30-D30</f>
        <v>0.269503806351139</v>
      </c>
      <c r="F30" s="61">
        <f>C30/D30-1</f>
        <v>0.06042686241056927</v>
      </c>
      <c r="G30" s="81">
        <f>Guidance!C59</f>
        <v>4.34571926749623</v>
      </c>
      <c r="H30" s="61">
        <f>C30/G30-1</f>
        <v>0.08831323774764321</v>
      </c>
      <c r="I30" s="73"/>
      <c r="J30" s="73"/>
      <c r="K30" s="7"/>
    </row>
    <row r="31">
      <c r="A31" s="1"/>
      <c r="B31" s="5" t="s">
        <v>46</v>
      </c>
      <c r="C31" s="69">
        <f>'Income Statement'!J101</f>
        <v>4.729503806351139</v>
      </c>
      <c r="D31" s="81">
        <f>Inputs!C48</f>
        <v>4.43</v>
      </c>
      <c r="E31" s="73">
        <f>C31-D31</f>
        <v>0.29950380635113927</v>
      </c>
      <c r="F31" s="61">
        <f>C31/D31-1</f>
        <v>0.06760808269777407</v>
      </c>
      <c r="G31" s="81">
        <f>Guidance!C59</f>
        <v>4.34571926749623</v>
      </c>
      <c r="H31" s="61">
        <f>C31/G31-1</f>
        <v>0.08831323774764321</v>
      </c>
      <c r="I31" s="73"/>
      <c r="J31" s="73"/>
      <c r="K31" s="7"/>
    </row>
    <row r="32">
      <c r="A32" s="1"/>
      <c r="B32" s="5" t="s">
        <v>47</v>
      </c>
      <c r="C32" s="77">
        <f>'Income Statement'!J94</f>
        <v>30.26513534767834</v>
      </c>
      <c r="D32" s="16" t="s">
        <v>48</v>
      </c>
      <c r="E32" s="16" t="s">
        <v>38</v>
      </c>
      <c r="F32" s="61" t="s">
        <v>38</v>
      </c>
      <c r="G32" s="53">
        <f>Guidance!C58</f>
        <v>27.812603311975877</v>
      </c>
      <c r="H32" s="61">
        <f>C32/G32-1</f>
        <v>0.0881805995717928</v>
      </c>
      <c r="I32" s="16"/>
      <c r="J32" s="16"/>
      <c r="K32" s="7"/>
    </row>
    <row r="33">
      <c r="A33" s="1"/>
      <c r="B33" s="5" t="s">
        <v>49</v>
      </c>
      <c r="C33" s="79" t="s">
        <v>38</v>
      </c>
      <c r="D33" s="63">
        <f>Inputs!C44</f>
        <v>8</v>
      </c>
      <c r="E33" s="66" t="s">
        <v>38</v>
      </c>
      <c r="F33" s="66" t="s">
        <v>38</v>
      </c>
      <c r="G33" s="66" t="s">
        <v>38</v>
      </c>
      <c r="H33" s="66" t="s">
        <v>38</v>
      </c>
      <c r="I33" s="66"/>
      <c r="J33" s="66"/>
      <c r="K33" s="7"/>
    </row>
    <row r="34">
      <c r="A34" s="1"/>
      <c r="B34" s="5" t="s">
        <v>50</v>
      </c>
      <c r="C34" s="79" t="s">
        <v>38</v>
      </c>
      <c r="D34" s="63">
        <f>Inputs!C60</f>
        <v>27</v>
      </c>
      <c r="E34" s="66" t="s">
        <v>38</v>
      </c>
      <c r="F34" s="66" t="s">
        <v>38</v>
      </c>
      <c r="G34" s="66" t="s">
        <v>38</v>
      </c>
      <c r="H34" s="66" t="s">
        <v>38</v>
      </c>
      <c r="I34" s="66"/>
      <c r="J34" s="66"/>
      <c r="K34" s="7"/>
    </row>
    <row r="35" ht="64.5">
      <c r="A35" s="1"/>
      <c r="B35" s="133" t="s">
        <v>51</v>
      </c>
      <c r="C35" s="132" t="str">
        <f>IF(AND(MAX('Revenue summary'!C122:J122)=0,MIN('Revenue summary'!C122:J122)=0,AND('Revenue summary'!C166:J166),MAX(Geo!C62:J62)=0,MIN(Geo!C62:J62)=0,MAX('Balance Sheet'!C73:J73)=0,MIN('Balance Sheet'!C73:J73)=0,MAX('Cash Flow Statement'!C65:J65)=0,MIN('Cash Flow Statement'!C65:J65)=0,AND('Income Statement'!C105:J105),C38,MAX('Income Statement'!C98:I98)&lt;=0.005,MIN('Income Statement'!C98:I98)&gt;=-0.005,MAX('Revenue summary'!C21:J21)&lt;=1,MIN('Revenue summary'!C21:J21)&gt;=-1),"PASS","FAIL")</f>
        <v>PASS</v>
      </c>
      <c r="D35" s="131" t="s">
        <v>52</v>
      </c>
      <c r="E35" s="128"/>
      <c r="F35" s="128"/>
      <c r="G35" s="128"/>
      <c r="H35" s="128"/>
      <c r="I35" s="22"/>
      <c r="J35" s="22"/>
      <c r="K35" s="7"/>
    </row>
    <row r="36">
      <c r="A36" s="1"/>
      <c r="B36" s="78" t="s">
        <v>53</v>
      </c>
      <c r="C36" s="56">
        <f>Inputs!C126</f>
        <v>0.9202857142857144</v>
      </c>
      <c r="D36" s="68"/>
      <c r="E36" s="68"/>
      <c r="F36" s="68"/>
      <c r="G36" s="68"/>
      <c r="H36" s="68"/>
      <c r="I36" s="68"/>
      <c r="J36" s="68"/>
      <c r="K36" s="7"/>
    </row>
    <row r="37">
      <c r="A37" s="1"/>
      <c r="B37" s="11" t="s">
        <v>54</v>
      </c>
      <c r="C37" s="62" t="str">
        <f>Inputs!C127</f>
        <v>high</v>
      </c>
      <c r="D37" s="4"/>
      <c r="E37" s="4"/>
      <c r="F37" s="4"/>
      <c r="G37" s="4"/>
      <c r="H37" s="4"/>
      <c r="I37" s="4"/>
      <c r="J37" s="4"/>
      <c r="K37" s="7"/>
    </row>
    <row r="38" ht="27">
      <c r="A38" s="1"/>
      <c r="B38" s="129" t="s">
        <v>55</v>
      </c>
      <c r="C38" s="126" t="b">
        <f>AND(ROUND(C23-'Revenue summary'!J20,6)=0,ROUND(C28-'Income Statement'!J112,6)=0,ROUND(C30-'Income Statement'!J114,9)=0,ROUND(C31-'Income Statement'!J101,9)=0,ROUND(C29-'Income Statement'!J81,6)=0)</f>
        <v>1</v>
      </c>
      <c r="D38" s="135" t="s">
        <v>56</v>
      </c>
      <c r="E38" s="127"/>
      <c r="F38" s="127"/>
      <c r="G38" s="127"/>
      <c r="H38" s="127"/>
      <c r="I38" s="4"/>
      <c r="J38" s="4"/>
      <c r="K38" s="7"/>
    </row>
    <row r="39" ht="27">
      <c r="A39" s="1"/>
      <c r="B39" s="130" t="s">
        <v>57</v>
      </c>
      <c r="C39" s="130"/>
      <c r="D39" s="130"/>
      <c r="E39" s="130"/>
      <c r="F39" s="130"/>
      <c r="G39" s="130"/>
      <c r="H39" s="130"/>
      <c r="I39" s="6"/>
      <c r="J39" s="6"/>
      <c r="K39" s="7"/>
    </row>
    <row r="40" ht="37.5">
      <c r="A40" s="1"/>
      <c r="B40" s="130" t="s">
        <v>58</v>
      </c>
      <c r="C40" s="127"/>
      <c r="D40" s="127"/>
      <c r="E40" s="127"/>
      <c r="F40" s="127"/>
      <c r="G40" s="127"/>
      <c r="H40" s="127"/>
      <c r="I40" s="4"/>
      <c r="J40" s="4"/>
      <c r="K40" s="7"/>
    </row>
    <row r="41">
      <c r="A41" s="1"/>
      <c r="B41" s="11" t="s">
        <v>59</v>
      </c>
      <c r="C41" s="22"/>
      <c r="D41" s="22"/>
      <c r="E41" s="22"/>
      <c r="F41" s="22"/>
      <c r="G41" s="22"/>
      <c r="H41" s="22"/>
      <c r="I41" s="22"/>
      <c r="J41" s="22"/>
      <c r="K41" s="7"/>
    </row>
    <row r="42">
      <c r="A42" s="1"/>
      <c r="B42" s="23" t="s">
        <v>60</v>
      </c>
      <c r="C42" s="109" t="s">
        <v>61</v>
      </c>
      <c r="D42" s="109" t="s">
        <v>62</v>
      </c>
      <c r="E42" s="10" t="s">
        <v>63</v>
      </c>
      <c r="F42" s="10"/>
      <c r="G42" s="10"/>
      <c r="H42" s="10"/>
      <c r="I42" s="10"/>
      <c r="J42" s="10"/>
      <c r="K42" s="7"/>
    </row>
    <row r="43">
      <c r="A43" s="1"/>
      <c r="B43" s="5" t="s">
        <v>64</v>
      </c>
      <c r="C43" s="46">
        <v>1460000</v>
      </c>
      <c r="D43" s="45">
        <v>46303</v>
      </c>
      <c r="E43" s="75" t="s">
        <v>65</v>
      </c>
      <c r="F43" s="61"/>
      <c r="G43" s="12"/>
      <c r="H43" s="61"/>
      <c r="I43" s="12"/>
      <c r="J43" s="12"/>
      <c r="K43" s="7"/>
    </row>
    <row r="44">
      <c r="A44" s="1"/>
      <c r="B44" s="5" t="s">
        <v>66</v>
      </c>
      <c r="C44" s="46">
        <v>740800</v>
      </c>
      <c r="D44" s="45">
        <v>46303</v>
      </c>
      <c r="E44" s="75" t="s">
        <v>65</v>
      </c>
      <c r="F44" s="61"/>
      <c r="G44" s="12"/>
      <c r="H44" s="61"/>
      <c r="I44" s="12"/>
      <c r="J44" s="12"/>
      <c r="K44" s="7"/>
    </row>
    <row r="45">
      <c r="A45" s="1"/>
      <c r="B45" s="18" t="s">
        <v>67</v>
      </c>
      <c r="C45" s="42">
        <v>0.665</v>
      </c>
      <c r="D45" s="50">
        <v>46293</v>
      </c>
      <c r="E45" s="59" t="s">
        <v>68</v>
      </c>
      <c r="F45" s="3"/>
      <c r="G45" s="3"/>
      <c r="H45" s="3"/>
      <c r="I45" s="3"/>
      <c r="J45" s="3"/>
      <c r="K45" s="7"/>
    </row>
    <row r="46">
      <c r="A46" s="1"/>
      <c r="B46" s="18" t="s">
        <v>69</v>
      </c>
      <c r="C46" s="42">
        <v>0.571</v>
      </c>
      <c r="D46" s="50">
        <v>46293</v>
      </c>
      <c r="E46" s="59" t="s">
        <v>68</v>
      </c>
      <c r="F46" s="3"/>
      <c r="G46" s="3"/>
      <c r="H46" s="3"/>
      <c r="I46" s="3"/>
      <c r="J46" s="3"/>
      <c r="K46" s="7"/>
    </row>
    <row r="47">
      <c r="A47" s="1"/>
      <c r="B47" s="5"/>
      <c r="C47" s="4"/>
      <c r="D47" s="4"/>
      <c r="E47" s="4"/>
      <c r="F47" s="4"/>
      <c r="G47" s="4"/>
      <c r="H47" s="4"/>
      <c r="I47" s="4"/>
      <c r="J47" s="4"/>
      <c r="K47" s="7"/>
    </row>
    <row r="48">
      <c r="A48" s="1"/>
      <c r="B48" s="11" t="s">
        <v>70</v>
      </c>
      <c r="C48" s="22"/>
      <c r="D48" s="22"/>
      <c r="E48" s="22"/>
      <c r="F48" s="22"/>
      <c r="G48" s="22"/>
      <c r="H48" s="22"/>
      <c r="I48" s="22"/>
      <c r="J48" s="22"/>
      <c r="K48" s="7"/>
    </row>
    <row r="49">
      <c r="A49" s="1"/>
      <c r="B49" s="5" t="s">
        <v>71</v>
      </c>
      <c r="C49" s="41">
        <f>'Revenue summary'!J19</f>
        <v>1494243</v>
      </c>
      <c r="D49" s="12"/>
      <c r="E49" s="12"/>
      <c r="F49" s="61"/>
      <c r="G49" s="12"/>
      <c r="H49" s="61"/>
      <c r="I49" s="12"/>
      <c r="J49" s="12"/>
      <c r="K49" s="7"/>
    </row>
    <row r="50">
      <c r="A50" s="1"/>
      <c r="B50" s="5" t="s">
        <v>72</v>
      </c>
      <c r="C50" s="134">
        <f>'Revenue summary'!J27</f>
        <v>31.9961</v>
      </c>
      <c r="D50" s="54"/>
      <c r="E50" s="54"/>
      <c r="F50" s="54"/>
      <c r="G50" s="54"/>
      <c r="H50" s="54"/>
      <c r="I50" s="54"/>
      <c r="J50" s="54"/>
      <c r="K50" s="7"/>
    </row>
    <row r="51">
      <c r="A51" s="1"/>
      <c r="B51" s="18" t="s">
        <v>73</v>
      </c>
      <c r="C51" s="37">
        <f>'Income Statement'!J12</f>
        <v>0.672</v>
      </c>
      <c r="D51" s="3"/>
      <c r="E51" s="3"/>
      <c r="F51" s="3"/>
      <c r="G51" s="3"/>
      <c r="H51" s="3"/>
      <c r="I51" s="3"/>
      <c r="J51" s="3"/>
      <c r="K51" s="7"/>
    </row>
    <row r="52">
      <c r="A52" s="1"/>
      <c r="B52" s="18" t="s">
        <v>74</v>
      </c>
      <c r="C52" s="37">
        <f>'Income Statement'!J40</f>
        <v>0.07021535319221842</v>
      </c>
      <c r="D52" s="3"/>
      <c r="E52" s="3"/>
      <c r="F52" s="3"/>
      <c r="G52" s="3"/>
      <c r="H52" s="3"/>
      <c r="I52" s="3"/>
      <c r="J52" s="3"/>
      <c r="K52" s="7"/>
    </row>
    <row r="53">
      <c r="A53" s="1"/>
      <c r="B53" s="18" t="s">
        <v>75</v>
      </c>
      <c r="C53" s="37">
        <f>'Income Statement'!J74</f>
        <v>0.155</v>
      </c>
      <c r="D53" s="3"/>
      <c r="E53" s="3"/>
      <c r="F53" s="3"/>
      <c r="G53" s="3"/>
      <c r="H53" s="3"/>
      <c r="I53" s="3"/>
      <c r="J53" s="3"/>
      <c r="K53" s="7"/>
    </row>
    <row r="54">
      <c r="A54" s="1"/>
      <c r="B54" s="5" t="s">
        <v>76</v>
      </c>
      <c r="C54" s="41">
        <f>'Share Count'!J17</f>
        <v>25931.771</v>
      </c>
      <c r="D54" s="12"/>
      <c r="E54" s="12"/>
      <c r="F54" s="61"/>
      <c r="G54" s="12"/>
      <c r="H54" s="61"/>
      <c r="I54" s="12"/>
      <c r="J54" s="12"/>
      <c r="K54" s="7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</sheetData>
  <mergeCells count="4">
    <mergeCell ref="B39:H39"/>
    <mergeCell ref="D38:H38"/>
    <mergeCell ref="B40:H40"/>
    <mergeCell ref="D35:H35"/>
  </mergeCell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77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86</v>
      </c>
      <c r="C9" s="22"/>
      <c r="D9" s="22"/>
      <c r="E9" s="22"/>
      <c r="F9" s="22"/>
      <c r="G9" s="22"/>
      <c r="H9" s="22"/>
      <c r="I9" s="22"/>
      <c r="J9" s="33"/>
      <c r="K9" s="7"/>
    </row>
    <row r="10">
      <c r="A10" s="1"/>
      <c r="B10" s="5" t="s">
        <v>87</v>
      </c>
      <c r="C10" s="46">
        <v>293288</v>
      </c>
      <c r="D10" s="46">
        <v>349567</v>
      </c>
      <c r="E10" s="46">
        <v>323166</v>
      </c>
      <c r="F10" s="46">
        <v>367473</v>
      </c>
      <c r="G10" s="12" t="s">
        <v>38</v>
      </c>
      <c r="H10" s="46">
        <v>401255</v>
      </c>
      <c r="I10" s="46">
        <v>410726</v>
      </c>
      <c r="J10" s="83">
        <v>467580</v>
      </c>
      <c r="K10" s="7"/>
    </row>
    <row r="11">
      <c r="A11" s="1"/>
      <c r="B11" s="18" t="s">
        <v>88</v>
      </c>
      <c r="C11" s="3" t="s">
        <v>38</v>
      </c>
      <c r="D11" s="3" t="s">
        <v>38</v>
      </c>
      <c r="E11" s="3" t="s">
        <v>38</v>
      </c>
      <c r="F11" s="3" t="s">
        <v>38</v>
      </c>
      <c r="G11" s="3" t="s">
        <v>38</v>
      </c>
      <c r="H11" s="3">
        <f>H10/C10-1</f>
        <v>0.3681262104143368</v>
      </c>
      <c r="I11" s="3">
        <f>I10/D10-1</f>
        <v>0.17495644611762562</v>
      </c>
      <c r="J11" s="9">
        <f>J10/E10-1</f>
        <v>0.44687250515215093</v>
      </c>
      <c r="K11" s="7"/>
    </row>
    <row r="12">
      <c r="A12" s="1"/>
      <c r="B12" s="5" t="s">
        <v>89</v>
      </c>
      <c r="C12" s="12" t="s">
        <v>38</v>
      </c>
      <c r="D12" s="12">
        <f>D10-C10</f>
        <v>56279</v>
      </c>
      <c r="E12" s="12">
        <f>E10-D10</f>
        <v>-26401</v>
      </c>
      <c r="F12" s="12">
        <f>F10-E10</f>
        <v>44307</v>
      </c>
      <c r="G12" s="12" t="s">
        <v>38</v>
      </c>
      <c r="H12" s="12">
        <f>H10-F10</f>
        <v>33782</v>
      </c>
      <c r="I12" s="12">
        <f>I10-H10</f>
        <v>9471</v>
      </c>
      <c r="J12" s="8">
        <f>J10-I10</f>
        <v>56854</v>
      </c>
      <c r="K12" s="7"/>
    </row>
    <row r="13">
      <c r="A13" s="1"/>
      <c r="B13" s="5" t="s">
        <v>90</v>
      </c>
      <c r="C13" s="46">
        <v>260009</v>
      </c>
      <c r="D13" s="46">
        <v>320516</v>
      </c>
      <c r="E13" s="46">
        <v>335772</v>
      </c>
      <c r="F13" s="46">
        <v>343614</v>
      </c>
      <c r="G13" s="12" t="s">
        <v>38</v>
      </c>
      <c r="H13" s="46">
        <v>317657</v>
      </c>
      <c r="I13" s="46">
        <v>416975</v>
      </c>
      <c r="J13" s="83">
        <v>514806</v>
      </c>
      <c r="K13" s="7"/>
    </row>
    <row r="14">
      <c r="A14" s="1"/>
      <c r="B14" s="18" t="s">
        <v>88</v>
      </c>
      <c r="C14" s="3" t="s">
        <v>38</v>
      </c>
      <c r="D14" s="3" t="s">
        <v>38</v>
      </c>
      <c r="E14" s="3" t="s">
        <v>38</v>
      </c>
      <c r="F14" s="3" t="s">
        <v>38</v>
      </c>
      <c r="G14" s="3" t="s">
        <v>38</v>
      </c>
      <c r="H14" s="3">
        <f>H13/C13-1</f>
        <v>0.22171540215915608</v>
      </c>
      <c r="I14" s="3">
        <f>I13/D13-1</f>
        <v>0.30094909458498176</v>
      </c>
      <c r="J14" s="9">
        <f>J13/E13-1</f>
        <v>0.5332011007469355</v>
      </c>
      <c r="K14" s="7"/>
    </row>
    <row r="15">
      <c r="A15" s="1"/>
      <c r="B15" s="5" t="s">
        <v>89</v>
      </c>
      <c r="C15" s="12" t="s">
        <v>38</v>
      </c>
      <c r="D15" s="12">
        <f>D13-C13</f>
        <v>60507</v>
      </c>
      <c r="E15" s="12">
        <f>E13-D13</f>
        <v>15256</v>
      </c>
      <c r="F15" s="12">
        <f>F13-E13</f>
        <v>7842</v>
      </c>
      <c r="G15" s="12" t="s">
        <v>38</v>
      </c>
      <c r="H15" s="12">
        <f>H13-F13</f>
        <v>-25957</v>
      </c>
      <c r="I15" s="12">
        <f>I13-H13</f>
        <v>99318</v>
      </c>
      <c r="J15" s="8">
        <f>J13-I13</f>
        <v>97831</v>
      </c>
      <c r="K15" s="7"/>
    </row>
    <row r="16">
      <c r="A16" s="1"/>
      <c r="B16" s="5" t="s">
        <v>91</v>
      </c>
      <c r="C16" s="46">
        <v>285957</v>
      </c>
      <c r="D16" s="46">
        <v>263709</v>
      </c>
      <c r="E16" s="46">
        <v>330980</v>
      </c>
      <c r="F16" s="46">
        <v>335003</v>
      </c>
      <c r="G16" s="12" t="s">
        <v>38</v>
      </c>
      <c r="H16" s="46">
        <v>415191</v>
      </c>
      <c r="I16" s="46">
        <v>442680</v>
      </c>
      <c r="J16" s="83">
        <v>511857</v>
      </c>
      <c r="K16" s="7"/>
    </row>
    <row r="17">
      <c r="A17" s="1"/>
      <c r="B17" s="18" t="s">
        <v>88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>
        <f>H16/C16-1</f>
        <v>0.4519350811485643</v>
      </c>
      <c r="I17" s="3">
        <f>I16/D16-1</f>
        <v>0.6786685323595327</v>
      </c>
      <c r="J17" s="9">
        <f>J16/E16-1</f>
        <v>0.5464892138497794</v>
      </c>
      <c r="K17" s="7"/>
    </row>
    <row r="18">
      <c r="A18" s="1"/>
      <c r="B18" s="5" t="s">
        <v>89</v>
      </c>
      <c r="C18" s="12" t="s">
        <v>38</v>
      </c>
      <c r="D18" s="12">
        <f>D16-C16</f>
        <v>-22248</v>
      </c>
      <c r="E18" s="12">
        <f>E16-D16</f>
        <v>67271</v>
      </c>
      <c r="F18" s="12">
        <f>F16-E16</f>
        <v>4023</v>
      </c>
      <c r="G18" s="12" t="s">
        <v>38</v>
      </c>
      <c r="H18" s="12">
        <f>H16-F16</f>
        <v>80188</v>
      </c>
      <c r="I18" s="12">
        <f>I16-H16</f>
        <v>27489</v>
      </c>
      <c r="J18" s="8">
        <f>J16-I16</f>
        <v>69177</v>
      </c>
      <c r="K18" s="7"/>
    </row>
    <row r="19">
      <c r="A19" s="1"/>
      <c r="B19" s="11" t="s">
        <v>92</v>
      </c>
      <c r="C19" s="14">
        <f>SUM(C10,C13,C16)</f>
        <v>839254</v>
      </c>
      <c r="D19" s="14">
        <f>SUM(D10,D13,D16)</f>
        <v>933792</v>
      </c>
      <c r="E19" s="14">
        <f>SUM(E10,E13,E16)</f>
        <v>989918</v>
      </c>
      <c r="F19" s="14">
        <f>SUM(F10,F13,F16)</f>
        <v>1046090</v>
      </c>
      <c r="G19" s="14">
        <f>SUM(C19:F19)</f>
        <v>3809054</v>
      </c>
      <c r="H19" s="14">
        <f>SUM(H10,H13,H16)</f>
        <v>1134103</v>
      </c>
      <c r="I19" s="14">
        <f>SUM(I10,I13,I16)</f>
        <v>1270381</v>
      </c>
      <c r="J19" s="70">
        <f>SUM(J10,J13,J16)</f>
        <v>1494243</v>
      </c>
      <c r="K19" s="7"/>
    </row>
    <row r="20">
      <c r="A20" s="1"/>
      <c r="B20" s="11" t="s">
        <v>93</v>
      </c>
      <c r="C20" s="47">
        <f>Inputs!I101</f>
        <v>839254</v>
      </c>
      <c r="D20" s="47">
        <f>Inputs!I102</f>
        <v>933792</v>
      </c>
      <c r="E20" s="47">
        <f>Inputs!I103</f>
        <v>989918</v>
      </c>
      <c r="F20" s="47">
        <f>Inputs!I104</f>
        <v>1046090</v>
      </c>
      <c r="G20" s="14">
        <f>SUM(C20:F20)</f>
        <v>3809054</v>
      </c>
      <c r="H20" s="47">
        <f>Inputs!I105</f>
        <v>1134103</v>
      </c>
      <c r="I20" s="47">
        <f>Inputs!I106</f>
        <v>1270380</v>
      </c>
      <c r="J20" s="70">
        <f>J19</f>
        <v>1494243</v>
      </c>
      <c r="K20" s="7" t="s">
        <v>94</v>
      </c>
    </row>
    <row r="21">
      <c r="A21" s="1"/>
      <c r="B21" s="5" t="s">
        <v>95</v>
      </c>
      <c r="C21" s="12">
        <f>C20-C19</f>
        <v>0</v>
      </c>
      <c r="D21" s="12">
        <f>D20-D19</f>
        <v>0</v>
      </c>
      <c r="E21" s="12">
        <f>E20-E19</f>
        <v>0</v>
      </c>
      <c r="F21" s="12">
        <f>F20-F19</f>
        <v>0</v>
      </c>
      <c r="G21" s="12">
        <f>G20-G19</f>
        <v>0</v>
      </c>
      <c r="H21" s="12">
        <f>H20-H19</f>
        <v>0</v>
      </c>
      <c r="I21" s="12">
        <f>I20-I19</f>
        <v>-1</v>
      </c>
      <c r="J21" s="8">
        <f>J20-J19</f>
        <v>0</v>
      </c>
      <c r="K21" s="7" t="s">
        <v>96</v>
      </c>
    </row>
    <row r="22">
      <c r="A22" s="1"/>
      <c r="B22" s="18" t="s">
        <v>97</v>
      </c>
      <c r="C22" s="3" t="s">
        <v>38</v>
      </c>
      <c r="D22" s="3" t="s">
        <v>38</v>
      </c>
      <c r="E22" s="3" t="s">
        <v>38</v>
      </c>
      <c r="F22" s="3" t="s">
        <v>38</v>
      </c>
      <c r="G22" s="3" t="s">
        <v>38</v>
      </c>
      <c r="H22" s="3">
        <f>H20/C20-1</f>
        <v>0.35132272232244355</v>
      </c>
      <c r="I22" s="3">
        <f>I20/D20-1</f>
        <v>0.36045286316438774</v>
      </c>
      <c r="J22" s="9">
        <f>J20/E20-1</f>
        <v>0.5094613897312708</v>
      </c>
      <c r="K22" s="7"/>
    </row>
    <row r="23">
      <c r="A23" s="1"/>
      <c r="B23" s="18" t="s">
        <v>98</v>
      </c>
      <c r="C23" s="3" t="s">
        <v>38</v>
      </c>
      <c r="D23" s="3">
        <f>D20/C20-1</f>
        <v>0.11264527783007283</v>
      </c>
      <c r="E23" s="3">
        <f>E20/D20-1</f>
        <v>0.060105462458448944</v>
      </c>
      <c r="F23" s="3">
        <f>F20/E20-1</f>
        <v>0.056744093955256814</v>
      </c>
      <c r="G23" s="3" t="s">
        <v>38</v>
      </c>
      <c r="H23" s="3">
        <f>H20/F20-1</f>
        <v>0.08413520825167997</v>
      </c>
      <c r="I23" s="3">
        <f>I20/H20-1</f>
        <v>0.12016280708189653</v>
      </c>
      <c r="J23" s="9">
        <f>J20/I20-1</f>
        <v>0.17621735228829172</v>
      </c>
      <c r="K23" s="7"/>
    </row>
    <row r="24">
      <c r="A24" s="1"/>
      <c r="B24" s="5" t="s">
        <v>99</v>
      </c>
      <c r="C24" s="12" t="s">
        <v>38</v>
      </c>
      <c r="D24" s="12">
        <f>D20-C20</f>
        <v>94538</v>
      </c>
      <c r="E24" s="12">
        <f>E20-D20</f>
        <v>56126</v>
      </c>
      <c r="F24" s="12">
        <f>F20-E20</f>
        <v>56172</v>
      </c>
      <c r="G24" s="12" t="s">
        <v>38</v>
      </c>
      <c r="H24" s="12">
        <f>H20-F20</f>
        <v>88013</v>
      </c>
      <c r="I24" s="12">
        <f>I20-H20</f>
        <v>136277</v>
      </c>
      <c r="J24" s="8">
        <f>J20-I20</f>
        <v>223863</v>
      </c>
      <c r="K24" s="7"/>
    </row>
    <row r="25">
      <c r="A25" s="1"/>
      <c r="B25" s="5"/>
      <c r="C25" s="4"/>
      <c r="D25" s="4"/>
      <c r="E25" s="4"/>
      <c r="F25" s="4"/>
      <c r="G25" s="4"/>
      <c r="H25" s="4"/>
      <c r="I25" s="4"/>
      <c r="J25" s="24"/>
      <c r="K25" s="7"/>
    </row>
    <row r="26">
      <c r="A26" s="1"/>
      <c r="B26" s="11" t="s">
        <v>100</v>
      </c>
      <c r="C26" s="22"/>
      <c r="D26" s="22"/>
      <c r="E26" s="22"/>
      <c r="F26" s="22"/>
      <c r="G26" s="22"/>
      <c r="H26" s="22"/>
      <c r="I26" s="22"/>
      <c r="J26" s="33"/>
      <c r="K26" s="7"/>
    </row>
    <row r="27">
      <c r="A27" s="1"/>
      <c r="B27" s="5" t="s">
        <v>101</v>
      </c>
      <c r="C27" s="40">
        <v>32.88</v>
      </c>
      <c r="D27" s="40">
        <v>31.05</v>
      </c>
      <c r="E27" s="40">
        <v>29.91</v>
      </c>
      <c r="F27" s="40">
        <v>31.01</v>
      </c>
      <c r="G27" s="54">
        <f>G20/G30</f>
        <v>31.112096708323122</v>
      </c>
      <c r="H27" s="40">
        <v>31.59</v>
      </c>
      <c r="I27" s="40">
        <v>31.6</v>
      </c>
      <c r="J27" s="142">
        <v>31.9961</v>
      </c>
      <c r="K27" s="7" t="s">
        <v>102</v>
      </c>
    </row>
    <row r="28">
      <c r="A28" s="1"/>
      <c r="B28" s="18" t="s">
        <v>97</v>
      </c>
      <c r="C28" s="3" t="s">
        <v>38</v>
      </c>
      <c r="D28" s="3" t="s">
        <v>38</v>
      </c>
      <c r="E28" s="3" t="s">
        <v>38</v>
      </c>
      <c r="F28" s="3" t="s">
        <v>38</v>
      </c>
      <c r="G28" s="3" t="s">
        <v>38</v>
      </c>
      <c r="H28" s="3">
        <f>H27/C27-1</f>
        <v>-0.03923357664233584</v>
      </c>
      <c r="I28" s="3">
        <f>I27/D27-1</f>
        <v>0.017713365539452575</v>
      </c>
      <c r="J28" s="9">
        <f>J27/E27-1</f>
        <v>0.0697459043798061</v>
      </c>
      <c r="K28" s="7"/>
    </row>
    <row r="29">
      <c r="A29" s="1"/>
      <c r="B29" s="5" t="s">
        <v>99</v>
      </c>
      <c r="C29" s="54" t="s">
        <v>38</v>
      </c>
      <c r="D29" s="54">
        <f>D27-C27</f>
        <v>-1.8300000000000018</v>
      </c>
      <c r="E29" s="54">
        <f>E27-D27</f>
        <v>-1.1400000000000006</v>
      </c>
      <c r="F29" s="54">
        <f>F27-E27</f>
        <v>1.1000000000000014</v>
      </c>
      <c r="G29" s="54" t="s">
        <v>38</v>
      </c>
      <c r="H29" s="54">
        <f>H27-F27</f>
        <v>0.5799999999999983</v>
      </c>
      <c r="I29" s="54">
        <f>I27-H27</f>
        <v>0.010000000000001563</v>
      </c>
      <c r="J29" s="108">
        <f>J27-I27</f>
        <v>0.396099999999997</v>
      </c>
      <c r="K29" s="7"/>
    </row>
    <row r="30">
      <c r="A30" s="1"/>
      <c r="B30" s="11" t="s">
        <v>37</v>
      </c>
      <c r="C30" s="26">
        <v>25530</v>
      </c>
      <c r="D30" s="26">
        <v>30070</v>
      </c>
      <c r="E30" s="26">
        <v>33100</v>
      </c>
      <c r="F30" s="26">
        <v>33730</v>
      </c>
      <c r="G30" s="14">
        <f>SUM(C30:F30)</f>
        <v>122430</v>
      </c>
      <c r="H30" s="26">
        <v>35900</v>
      </c>
      <c r="I30" s="26">
        <v>40200</v>
      </c>
      <c r="J30" s="70">
        <f>J20/J27</f>
        <v>46700.78540822163</v>
      </c>
      <c r="K30" s="7" t="s">
        <v>103</v>
      </c>
    </row>
    <row r="31">
      <c r="A31" s="1"/>
      <c r="B31" s="18" t="s">
        <v>97</v>
      </c>
      <c r="C31" s="3" t="s">
        <v>38</v>
      </c>
      <c r="D31" s="3" t="s">
        <v>38</v>
      </c>
      <c r="E31" s="3" t="s">
        <v>38</v>
      </c>
      <c r="F31" s="3" t="s">
        <v>38</v>
      </c>
      <c r="G31" s="3" t="s">
        <v>38</v>
      </c>
      <c r="H31" s="3">
        <f>H30/C30-1</f>
        <v>0.4061887974931453</v>
      </c>
      <c r="I31" s="3">
        <f>I30/D30-1</f>
        <v>0.33688061190555363</v>
      </c>
      <c r="J31" s="9">
        <f>J30/E30-1</f>
        <v>0.41089986127557787</v>
      </c>
      <c r="K31" s="7"/>
    </row>
    <row r="32">
      <c r="A32" s="1"/>
      <c r="B32" s="18" t="s">
        <v>98</v>
      </c>
      <c r="C32" s="3" t="s">
        <v>38</v>
      </c>
      <c r="D32" s="3">
        <f>D30/C30-1</f>
        <v>0.17783000391696047</v>
      </c>
      <c r="E32" s="3">
        <f>E30/D30-1</f>
        <v>0.10076488194213495</v>
      </c>
      <c r="F32" s="3">
        <f>F30/E30-1</f>
        <v>0.019033232628398844</v>
      </c>
      <c r="G32" s="3" t="s">
        <v>38</v>
      </c>
      <c r="H32" s="3">
        <f>H30/F30-1</f>
        <v>0.06433442039727244</v>
      </c>
      <c r="I32" s="3">
        <f>I30/H30-1</f>
        <v>0.11977715877437323</v>
      </c>
      <c r="J32" s="9">
        <f>J30/I30-1</f>
        <v>0.16171107980650823</v>
      </c>
      <c r="K32" s="7"/>
    </row>
    <row r="33">
      <c r="A33" s="1"/>
      <c r="B33" s="5" t="s">
        <v>99</v>
      </c>
      <c r="C33" s="12" t="s">
        <v>38</v>
      </c>
      <c r="D33" s="12">
        <f>D30-C30</f>
        <v>4540</v>
      </c>
      <c r="E33" s="12">
        <f>E30-D30</f>
        <v>3030</v>
      </c>
      <c r="F33" s="12">
        <f>F30-E30</f>
        <v>630</v>
      </c>
      <c r="G33" s="12" t="s">
        <v>38</v>
      </c>
      <c r="H33" s="12">
        <f>H30-F30</f>
        <v>2170</v>
      </c>
      <c r="I33" s="12">
        <f>I30-H30</f>
        <v>4300</v>
      </c>
      <c r="J33" s="8">
        <f>J30-I30</f>
        <v>6500.785408221629</v>
      </c>
      <c r="K33" s="7"/>
    </row>
    <row r="34">
      <c r="A34" s="1"/>
      <c r="B34" s="5" t="s">
        <v>104</v>
      </c>
      <c r="C34" s="41">
        <f>Guidance!G11*1000</f>
        <v>25400</v>
      </c>
      <c r="D34" s="41">
        <f>Guidance!G15*1000</f>
        <v>28799.999999999996</v>
      </c>
      <c r="E34" s="41">
        <f>Guidance!G19*1000</f>
        <v>32400</v>
      </c>
      <c r="F34" s="41">
        <f>Guidance!G23*1000</f>
        <v>32800</v>
      </c>
      <c r="G34" s="12"/>
      <c r="H34" s="41">
        <f>Guidance!G27*1000</f>
        <v>35200</v>
      </c>
      <c r="I34" s="41">
        <f>Guidance!G31*1000</f>
        <v>39600</v>
      </c>
      <c r="J34" s="72">
        <f>Guidance!G35*1000</f>
        <v>45200</v>
      </c>
      <c r="K34" s="7"/>
    </row>
    <row r="35">
      <c r="A35" s="1"/>
      <c r="B35" s="18" t="s">
        <v>105</v>
      </c>
      <c r="C35" s="3">
        <f>C30/C34-1</f>
        <v>0.005118110236220552</v>
      </c>
      <c r="D35" s="3">
        <f>D30/D34-1</f>
        <v>0.044097222222222454</v>
      </c>
      <c r="E35" s="3">
        <f>E30/E34-1</f>
        <v>0.021604938271605034</v>
      </c>
      <c r="F35" s="3">
        <f>F30/F34-1</f>
        <v>0.028353658536585336</v>
      </c>
      <c r="G35" s="3"/>
      <c r="H35" s="3">
        <f>H30/H34-1</f>
        <v>0.019886363636363535</v>
      </c>
      <c r="I35" s="3">
        <f>I30/I34-1</f>
        <v>0.015151515151515138</v>
      </c>
      <c r="J35" s="9">
        <f>J30/J34-1</f>
        <v>0.033203216996053664</v>
      </c>
      <c r="K35" s="7"/>
    </row>
    <row r="36">
      <c r="A36" s="1"/>
      <c r="B36" s="5" t="s">
        <v>106</v>
      </c>
      <c r="C36" s="54">
        <f>C20/C30</f>
        <v>32.87324716020368</v>
      </c>
      <c r="D36" s="54">
        <f>D20/D30</f>
        <v>31.053940804788827</v>
      </c>
      <c r="E36" s="54">
        <f>E20/E30</f>
        <v>29.90688821752266</v>
      </c>
      <c r="F36" s="54">
        <f>F20/F30</f>
        <v>31.01363771123629</v>
      </c>
      <c r="G36" s="54">
        <f>G20/G30</f>
        <v>31.112096708323122</v>
      </c>
      <c r="H36" s="54">
        <f>H20/H30</f>
        <v>31.590612813370473</v>
      </c>
      <c r="I36" s="54">
        <f>I20/I30</f>
        <v>31.601492537313433</v>
      </c>
      <c r="J36" s="108">
        <f>J20/J30</f>
        <v>31.9961</v>
      </c>
      <c r="K36" s="7"/>
    </row>
    <row r="37">
      <c r="A37" s="1"/>
      <c r="B37" s="5"/>
      <c r="C37" s="4"/>
      <c r="D37" s="4"/>
      <c r="E37" s="4"/>
      <c r="F37" s="4"/>
      <c r="G37" s="4"/>
      <c r="H37" s="4"/>
      <c r="I37" s="4"/>
      <c r="J37" s="24"/>
      <c r="K37" s="7"/>
    </row>
    <row r="38">
      <c r="A38" s="1"/>
      <c r="B38" s="11" t="s">
        <v>107</v>
      </c>
      <c r="C38" s="22"/>
      <c r="D38" s="22"/>
      <c r="E38" s="22"/>
      <c r="F38" s="22"/>
      <c r="G38" s="22"/>
      <c r="H38" s="22"/>
      <c r="I38" s="22"/>
      <c r="J38" s="33"/>
      <c r="K38" s="7"/>
    </row>
    <row r="39">
      <c r="A39" s="1"/>
      <c r="B39" s="18" t="s">
        <v>108</v>
      </c>
      <c r="C39" s="3" t="s">
        <v>38</v>
      </c>
      <c r="D39" s="3" t="s">
        <v>38</v>
      </c>
      <c r="E39" s="3" t="s">
        <v>38</v>
      </c>
      <c r="F39" s="3" t="s">
        <v>38</v>
      </c>
      <c r="G39" s="3" t="s">
        <v>38</v>
      </c>
      <c r="H39" s="3">
        <f>H22</f>
        <v>0.35132272232244355</v>
      </c>
      <c r="I39" s="3">
        <f>I22</f>
        <v>0.36045286316438774</v>
      </c>
      <c r="J39" s="9">
        <f>J22</f>
        <v>0.5094613897312708</v>
      </c>
      <c r="K39" s="7"/>
    </row>
    <row r="40">
      <c r="A40" s="1"/>
      <c r="B40" s="18" t="s">
        <v>109</v>
      </c>
      <c r="C40" s="3" t="s">
        <v>38</v>
      </c>
      <c r="D40" s="3" t="s">
        <v>38</v>
      </c>
      <c r="E40" s="3" t="s">
        <v>38</v>
      </c>
      <c r="F40" s="3" t="s">
        <v>38</v>
      </c>
      <c r="G40" s="3" t="s">
        <v>38</v>
      </c>
      <c r="H40" s="3">
        <f>(1+H22)/(1+H31)-1</f>
        <v>-0.039017573791309657</v>
      </c>
      <c r="I40" s="3">
        <f>(1+I22)/(1+I31)-1</f>
        <v>0.01763227849137161</v>
      </c>
      <c r="J40" s="9">
        <f>(1+J22)/(1+J31)-1</f>
        <v>0.06985721039520443</v>
      </c>
      <c r="K40" s="7" t="s">
        <v>110</v>
      </c>
    </row>
    <row r="41">
      <c r="A41" s="1"/>
      <c r="B41" s="5" t="s">
        <v>111</v>
      </c>
      <c r="C41" s="4" t="s">
        <v>112</v>
      </c>
      <c r="D41" s="4" t="s">
        <v>112</v>
      </c>
      <c r="E41" s="4" t="s">
        <v>112</v>
      </c>
      <c r="F41" s="4" t="s">
        <v>112</v>
      </c>
      <c r="G41" s="4" t="s">
        <v>112</v>
      </c>
      <c r="H41" s="4" t="s">
        <v>112</v>
      </c>
      <c r="I41" s="4" t="s">
        <v>112</v>
      </c>
      <c r="J41" s="24" t="s">
        <v>112</v>
      </c>
      <c r="K41" s="7" t="s">
        <v>113</v>
      </c>
    </row>
    <row r="42">
      <c r="A42" s="1"/>
      <c r="B42" s="5" t="s">
        <v>114</v>
      </c>
      <c r="C42" s="4" t="s">
        <v>112</v>
      </c>
      <c r="D42" s="4" t="s">
        <v>112</v>
      </c>
      <c r="E42" s="4" t="s">
        <v>112</v>
      </c>
      <c r="F42" s="4" t="s">
        <v>112</v>
      </c>
      <c r="G42" s="4" t="s">
        <v>112</v>
      </c>
      <c r="H42" s="4" t="s">
        <v>112</v>
      </c>
      <c r="I42" s="4" t="s">
        <v>112</v>
      </c>
      <c r="J42" s="24" t="s">
        <v>112</v>
      </c>
      <c r="K42" s="7" t="s">
        <v>115</v>
      </c>
    </row>
    <row r="43">
      <c r="A43" s="1"/>
      <c r="B43" s="18" t="s">
        <v>116</v>
      </c>
      <c r="C43" s="3" t="s">
        <v>38</v>
      </c>
      <c r="D43" s="3" t="s">
        <v>38</v>
      </c>
      <c r="E43" s="3" t="s">
        <v>38</v>
      </c>
      <c r="F43" s="3" t="s">
        <v>38</v>
      </c>
      <c r="G43" s="3" t="s">
        <v>38</v>
      </c>
      <c r="H43" s="3">
        <f>H31</f>
        <v>0.4061887974931453</v>
      </c>
      <c r="I43" s="3">
        <f>I31</f>
        <v>0.33688061190555363</v>
      </c>
      <c r="J43" s="9">
        <f>J31</f>
        <v>0.41089986127557787</v>
      </c>
      <c r="K43" s="7"/>
    </row>
    <row r="44">
      <c r="A44" s="1"/>
      <c r="B44" s="5"/>
      <c r="C44" s="4"/>
      <c r="D44" s="4"/>
      <c r="E44" s="4"/>
      <c r="F44" s="4"/>
      <c r="G44" s="4"/>
      <c r="H44" s="4"/>
      <c r="I44" s="4"/>
      <c r="J44" s="24"/>
      <c r="K44" s="7"/>
    </row>
    <row r="45">
      <c r="A45" s="1"/>
      <c r="B45" s="11" t="s">
        <v>117</v>
      </c>
      <c r="C45" s="22"/>
      <c r="D45" s="22"/>
      <c r="E45" s="22"/>
      <c r="F45" s="22"/>
      <c r="G45" s="22"/>
      <c r="H45" s="22"/>
      <c r="I45" s="22"/>
      <c r="J45" s="33"/>
      <c r="K45" s="7"/>
    </row>
    <row r="46">
      <c r="A46" s="1"/>
      <c r="B46" s="5" t="s">
        <v>118</v>
      </c>
      <c r="C46" s="89">
        <v>3259</v>
      </c>
      <c r="D46" s="89">
        <v>3718</v>
      </c>
      <c r="E46" s="89">
        <v>4085</v>
      </c>
      <c r="F46" s="89">
        <v>3961</v>
      </c>
      <c r="G46" s="66">
        <f>SUM(C46:F46)</f>
        <v>15023</v>
      </c>
      <c r="H46" s="89">
        <v>4174</v>
      </c>
      <c r="I46" s="89">
        <v>4336</v>
      </c>
      <c r="J46" s="107">
        <v>4550</v>
      </c>
      <c r="K46" s="7" t="s">
        <v>119</v>
      </c>
    </row>
    <row r="47">
      <c r="A47" s="1"/>
      <c r="B47" s="18" t="s">
        <v>97</v>
      </c>
      <c r="C47" s="3" t="s">
        <v>38</v>
      </c>
      <c r="D47" s="3" t="s">
        <v>38</v>
      </c>
      <c r="E47" s="3" t="s">
        <v>38</v>
      </c>
      <c r="F47" s="3" t="s">
        <v>38</v>
      </c>
      <c r="G47" s="3" t="s">
        <v>38</v>
      </c>
      <c r="H47" s="3">
        <f>H46/C46-1</f>
        <v>0.2807609696225837</v>
      </c>
      <c r="I47" s="3">
        <f>I46/D46-1</f>
        <v>0.16621839698762786</v>
      </c>
      <c r="J47" s="9">
        <f>J46/E46-1</f>
        <v>0.11383108935128528</v>
      </c>
      <c r="K47" s="7"/>
    </row>
    <row r="48">
      <c r="A48" s="1"/>
      <c r="B48" s="18" t="s">
        <v>98</v>
      </c>
      <c r="C48" s="3" t="s">
        <v>38</v>
      </c>
      <c r="D48" s="3">
        <f>D46/C46-1</f>
        <v>0.1408407486959189</v>
      </c>
      <c r="E48" s="3">
        <f>E46/D46-1</f>
        <v>0.09870898332436795</v>
      </c>
      <c r="F48" s="3">
        <f>F46/E46-1</f>
        <v>-0.030354957160342755</v>
      </c>
      <c r="G48" s="3" t="s">
        <v>38</v>
      </c>
      <c r="H48" s="3">
        <f>H46/F46-1</f>
        <v>0.053774299419338645</v>
      </c>
      <c r="I48" s="3">
        <f>I46/H46-1</f>
        <v>0.038811691423095374</v>
      </c>
      <c r="J48" s="9">
        <f>J46/I46-1</f>
        <v>0.04935424354243545</v>
      </c>
      <c r="K48" s="7"/>
    </row>
    <row r="49">
      <c r="A49" s="1"/>
      <c r="B49" s="5" t="s">
        <v>99</v>
      </c>
      <c r="C49" s="66" t="s">
        <v>38</v>
      </c>
      <c r="D49" s="66">
        <f>D46-C46</f>
        <v>459</v>
      </c>
      <c r="E49" s="66">
        <f>E46-D46</f>
        <v>367</v>
      </c>
      <c r="F49" s="66">
        <f>F46-E46</f>
        <v>-124</v>
      </c>
      <c r="G49" s="66" t="s">
        <v>38</v>
      </c>
      <c r="H49" s="66">
        <f>H46-F46</f>
        <v>213</v>
      </c>
      <c r="I49" s="66">
        <f>I46-H46</f>
        <v>162</v>
      </c>
      <c r="J49" s="79">
        <f>J46-I46</f>
        <v>214</v>
      </c>
      <c r="K49" s="7"/>
    </row>
    <row r="50">
      <c r="A50" s="1"/>
      <c r="B50" s="5" t="s">
        <v>120</v>
      </c>
      <c r="C50" s="12">
        <f>C20/C46</f>
        <v>257.5188708192697</v>
      </c>
      <c r="D50" s="12">
        <f>D20/D46</f>
        <v>251.154384077461</v>
      </c>
      <c r="E50" s="12">
        <f>E20/E46</f>
        <v>242.3299877600979</v>
      </c>
      <c r="F50" s="12">
        <f>F20/F46</f>
        <v>264.09745013885384</v>
      </c>
      <c r="G50" s="12">
        <f>G20/G46</f>
        <v>253.54815948878385</v>
      </c>
      <c r="H50" s="12">
        <f>H20/H46</f>
        <v>271.7065165309056</v>
      </c>
      <c r="I50" s="12">
        <f>I20/I46</f>
        <v>292.9843173431734</v>
      </c>
      <c r="J50" s="8">
        <f>J20/J46</f>
        <v>328.4050549450549</v>
      </c>
      <c r="K50" s="7" t="s">
        <v>121</v>
      </c>
    </row>
    <row r="51">
      <c r="A51" s="1"/>
      <c r="B51" s="18" t="s">
        <v>97</v>
      </c>
      <c r="C51" s="3" t="s">
        <v>38</v>
      </c>
      <c r="D51" s="3" t="s">
        <v>38</v>
      </c>
      <c r="E51" s="3" t="s">
        <v>38</v>
      </c>
      <c r="F51" s="3" t="s">
        <v>38</v>
      </c>
      <c r="G51" s="3" t="s">
        <v>38</v>
      </c>
      <c r="H51" s="3">
        <f>H50/C50-1</f>
        <v>0.05509361572804128</v>
      </c>
      <c r="I51" s="3">
        <f>I50/D50-1</f>
        <v>0.16655067925396527</v>
      </c>
      <c r="J51" s="9">
        <f>J50/E50-1</f>
        <v>0.3551977531982946</v>
      </c>
      <c r="K51" s="7"/>
    </row>
    <row r="52">
      <c r="A52" s="1"/>
      <c r="B52" s="18" t="s">
        <v>98</v>
      </c>
      <c r="C52" s="3" t="s">
        <v>38</v>
      </c>
      <c r="D52" s="3">
        <f>D50/C50-1</f>
        <v>-0.024714642160245326</v>
      </c>
      <c r="E52" s="3">
        <f>E50/D50-1</f>
        <v>-0.03513534653108619</v>
      </c>
      <c r="F52" s="3">
        <f>F50/E50-1</f>
        <v>0.08982570659106925</v>
      </c>
      <c r="G52" s="3" t="s">
        <v>38</v>
      </c>
      <c r="H52" s="3">
        <f>H50/F50-1</f>
        <v>0.02881158598105049</v>
      </c>
      <c r="I52" s="3">
        <f>I50/H50-1</f>
        <v>0.07831170589479597</v>
      </c>
      <c r="J52" s="9">
        <f>J50/I50-1</f>
        <v>0.12089636033451279</v>
      </c>
      <c r="K52" s="7"/>
    </row>
    <row r="53">
      <c r="A53" s="1"/>
      <c r="B53" s="5" t="s">
        <v>99</v>
      </c>
      <c r="C53" s="12" t="s">
        <v>38</v>
      </c>
      <c r="D53" s="12">
        <f>D50-C50</f>
        <v>-6.36448674180869</v>
      </c>
      <c r="E53" s="12">
        <f>E50-D50</f>
        <v>-8.824396317363096</v>
      </c>
      <c r="F53" s="12">
        <f>F50-E50</f>
        <v>21.767462378755937</v>
      </c>
      <c r="G53" s="12" t="s">
        <v>38</v>
      </c>
      <c r="H53" s="12">
        <f>H50-F50</f>
        <v>7.609066392051773</v>
      </c>
      <c r="I53" s="12">
        <f>I50-H50</f>
        <v>21.2778008122678</v>
      </c>
      <c r="J53" s="8">
        <f>J50-I50</f>
        <v>35.42073760188151</v>
      </c>
      <c r="K53" s="7"/>
    </row>
    <row r="54">
      <c r="A54" s="1"/>
      <c r="B54" s="5" t="s">
        <v>122</v>
      </c>
      <c r="C54" s="66">
        <f>C30/C46*1000</f>
        <v>7833.691316354711</v>
      </c>
      <c r="D54" s="66">
        <f>D30/D46*1000</f>
        <v>8087.681549220011</v>
      </c>
      <c r="E54" s="66">
        <f>E30/E46*1000</f>
        <v>8102.815177478581</v>
      </c>
      <c r="F54" s="66">
        <f>F30/F46*1000</f>
        <v>8515.52638222671</v>
      </c>
      <c r="G54" s="66">
        <f>G30/G46*1000</f>
        <v>8149.504093722959</v>
      </c>
      <c r="H54" s="66">
        <f>H30/H46*1000</f>
        <v>8600.862482031625</v>
      </c>
      <c r="I54" s="66">
        <f>I30/I46*1000</f>
        <v>9271.217712177122</v>
      </c>
      <c r="J54" s="79">
        <f>J30/J46*1000</f>
        <v>10263.908880927831</v>
      </c>
      <c r="K54" s="7"/>
    </row>
    <row r="55">
      <c r="A55" s="1"/>
      <c r="B55" s="18" t="s">
        <v>97</v>
      </c>
      <c r="C55" s="3" t="s">
        <v>38</v>
      </c>
      <c r="D55" s="3" t="s">
        <v>38</v>
      </c>
      <c r="E55" s="3" t="s">
        <v>38</v>
      </c>
      <c r="F55" s="3" t="s">
        <v>38</v>
      </c>
      <c r="G55" s="3" t="s">
        <v>38</v>
      </c>
      <c r="H55" s="3">
        <f>H54/C54-1</f>
        <v>0.09793226905370411</v>
      </c>
      <c r="I55" s="3">
        <f>I54/D54-1</f>
        <v>0.14633812616809228</v>
      </c>
      <c r="J55" s="9">
        <f>J54/E54-1</f>
        <v>0.2667089963320297</v>
      </c>
      <c r="K55" s="7"/>
    </row>
    <row r="56">
      <c r="A56" s="1"/>
      <c r="B56" s="18" t="s">
        <v>98</v>
      </c>
      <c r="C56" s="3" t="s">
        <v>38</v>
      </c>
      <c r="D56" s="3">
        <f>D54/C54-1</f>
        <v>0.032422803325813376</v>
      </c>
      <c r="E56" s="3">
        <f>E54/D54-1</f>
        <v>0.0018711948741390039</v>
      </c>
      <c r="F56" s="3">
        <f>F54/E54-1</f>
        <v>0.05093429822948958</v>
      </c>
      <c r="G56" s="3" t="s">
        <v>38</v>
      </c>
      <c r="H56" s="3">
        <f>H54/F54-1</f>
        <v>0.010021236031048542</v>
      </c>
      <c r="I56" s="3">
        <f>I54/H54-1</f>
        <v>0.0779404660341867</v>
      </c>
      <c r="J56" s="9">
        <f>J54/I54-1</f>
        <v>0.1070723608881361</v>
      </c>
      <c r="K56" s="7"/>
    </row>
    <row r="57">
      <c r="A57" s="1"/>
      <c r="B57" s="5" t="s">
        <v>99</v>
      </c>
      <c r="C57" s="66" t="s">
        <v>38</v>
      </c>
      <c r="D57" s="66">
        <f>D54-C54</f>
        <v>253.99023286530064</v>
      </c>
      <c r="E57" s="66">
        <f>E54-D54</f>
        <v>15.133628258569843</v>
      </c>
      <c r="F57" s="66">
        <f>F54-E54</f>
        <v>412.7112047481287</v>
      </c>
      <c r="G57" s="66" t="s">
        <v>38</v>
      </c>
      <c r="H57" s="66">
        <f>H54-F54</f>
        <v>85.33609980491565</v>
      </c>
      <c r="I57" s="66">
        <f>I54-H54</f>
        <v>670.3552301454965</v>
      </c>
      <c r="J57" s="79">
        <f>J54-I54</f>
        <v>992.691168750709</v>
      </c>
      <c r="K57" s="7"/>
    </row>
    <row r="58">
      <c r="A58" s="1"/>
      <c r="B58" s="5"/>
      <c r="C58" s="4"/>
      <c r="D58" s="4"/>
      <c r="E58" s="4"/>
      <c r="F58" s="4"/>
      <c r="G58" s="4"/>
      <c r="H58" s="4"/>
      <c r="I58" s="4"/>
      <c r="J58" s="24"/>
      <c r="K58" s="7"/>
    </row>
    <row r="59">
      <c r="A59" s="1"/>
      <c r="B59" s="11" t="s">
        <v>123</v>
      </c>
      <c r="C59" s="22"/>
      <c r="D59" s="22"/>
      <c r="E59" s="22"/>
      <c r="F59" s="22"/>
      <c r="G59" s="22"/>
      <c r="H59" s="22"/>
      <c r="I59" s="22"/>
      <c r="J59" s="33"/>
      <c r="K59" s="7"/>
    </row>
    <row r="60">
      <c r="A60" s="1"/>
      <c r="B60" s="11" t="s">
        <v>124</v>
      </c>
      <c r="C60" s="14">
        <f>C20*C64</f>
        <v>495159.86</v>
      </c>
      <c r="D60" s="14">
        <f>D20*D64</f>
        <v>560275.2</v>
      </c>
      <c r="E60" s="14">
        <f>E20*E64</f>
        <v>564253.26</v>
      </c>
      <c r="F60" s="14">
        <f>F20*F64</f>
        <v>575349.5</v>
      </c>
      <c r="G60" s="14">
        <f>SUM(C60:F60)</f>
        <v>2195037.82</v>
      </c>
      <c r="H60" s="14">
        <f>H20*H64</f>
        <v>691802.83</v>
      </c>
      <c r="I60" s="14">
        <f>I20*I64</f>
        <v>838450.8</v>
      </c>
      <c r="J60" s="70">
        <f>J20*J64</f>
        <v>971257.9500000001</v>
      </c>
      <c r="K60" s="7"/>
    </row>
    <row r="61">
      <c r="A61" s="1"/>
      <c r="B61" s="18" t="s">
        <v>97</v>
      </c>
      <c r="C61" s="3" t="s">
        <v>38</v>
      </c>
      <c r="D61" s="3" t="s">
        <v>38</v>
      </c>
      <c r="E61" s="3" t="s">
        <v>38</v>
      </c>
      <c r="F61" s="3" t="s">
        <v>38</v>
      </c>
      <c r="G61" s="3" t="s">
        <v>38</v>
      </c>
      <c r="H61" s="3">
        <f>H60/C60-1</f>
        <v>0.39713027223167874</v>
      </c>
      <c r="I61" s="3">
        <f>I60/D60-1</f>
        <v>0.4964981494808267</v>
      </c>
      <c r="J61" s="9">
        <f>J60/E60-1</f>
        <v>0.721315619868993</v>
      </c>
      <c r="K61" s="7"/>
    </row>
    <row r="62">
      <c r="A62" s="1"/>
      <c r="B62" s="18" t="s">
        <v>98</v>
      </c>
      <c r="C62" s="3" t="s">
        <v>38</v>
      </c>
      <c r="D62" s="3">
        <f>D60/C60-1</f>
        <v>0.1315036723695655</v>
      </c>
      <c r="E62" s="3">
        <f>E60/D60-1</f>
        <v>0.0071001893355266965</v>
      </c>
      <c r="F62" s="3">
        <f>F60/E60-1</f>
        <v>0.01966535381647594</v>
      </c>
      <c r="G62" s="3" t="s">
        <v>38</v>
      </c>
      <c r="H62" s="3">
        <f>H60/F60-1</f>
        <v>0.20240450369731788</v>
      </c>
      <c r="I62" s="3">
        <f>I60/H60-1</f>
        <v>0.21197943061319946</v>
      </c>
      <c r="J62" s="9">
        <f>J60/I60-1</f>
        <v>0.1583958772536207</v>
      </c>
      <c r="K62" s="7"/>
    </row>
    <row r="63">
      <c r="A63" s="1"/>
      <c r="B63" s="5" t="s">
        <v>99</v>
      </c>
      <c r="C63" s="12" t="s">
        <v>38</v>
      </c>
      <c r="D63" s="12">
        <f>D60-C60</f>
        <v>65115.33999999997</v>
      </c>
      <c r="E63" s="12">
        <f>E60-D60</f>
        <v>3978.060000000056</v>
      </c>
      <c r="F63" s="12">
        <f>F60-E60</f>
        <v>11096.23999999999</v>
      </c>
      <c r="G63" s="12" t="s">
        <v>38</v>
      </c>
      <c r="H63" s="12">
        <f>H60-F60</f>
        <v>116453.32999999996</v>
      </c>
      <c r="I63" s="12">
        <f>I60-H60</f>
        <v>146647.9700000001</v>
      </c>
      <c r="J63" s="8">
        <f>J60-I60</f>
        <v>132807.15000000002</v>
      </c>
      <c r="K63" s="7"/>
    </row>
    <row r="64">
      <c r="A64" s="1"/>
      <c r="B64" s="18" t="s">
        <v>125</v>
      </c>
      <c r="C64" s="42">
        <v>0.59</v>
      </c>
      <c r="D64" s="42">
        <v>0.6</v>
      </c>
      <c r="E64" s="42">
        <v>0.57</v>
      </c>
      <c r="F64" s="42">
        <v>0.55</v>
      </c>
      <c r="G64" s="3">
        <f>G60/G20</f>
        <v>0.5762684960622768</v>
      </c>
      <c r="H64" s="42">
        <v>0.61</v>
      </c>
      <c r="I64" s="42">
        <v>0.66</v>
      </c>
      <c r="J64" s="36">
        <v>0.65</v>
      </c>
      <c r="K64" s="7" t="s">
        <v>126</v>
      </c>
    </row>
    <row r="65">
      <c r="A65" s="1"/>
      <c r="B65" s="18" t="s">
        <v>127</v>
      </c>
      <c r="C65" s="43" t="s">
        <v>38</v>
      </c>
      <c r="D65" s="43" t="s">
        <v>38</v>
      </c>
      <c r="E65" s="43" t="s">
        <v>38</v>
      </c>
      <c r="F65" s="43" t="s">
        <v>38</v>
      </c>
      <c r="G65" s="43" t="s">
        <v>38</v>
      </c>
      <c r="H65" s="43">
        <f>(H64-C64)*10000</f>
        <v>200.00000000000017</v>
      </c>
      <c r="I65" s="43">
        <f>(I64-D64)*10000</f>
        <v>600.0000000000006</v>
      </c>
      <c r="J65" s="57">
        <f>(J64-E64)*10000</f>
        <v>800.0000000000007</v>
      </c>
      <c r="K65" s="7"/>
    </row>
    <row r="66">
      <c r="A66" s="1"/>
      <c r="B66" s="18" t="s">
        <v>128</v>
      </c>
      <c r="C66" s="43" t="s">
        <v>38</v>
      </c>
      <c r="D66" s="43">
        <f>(D64-C64)*10000</f>
        <v>100.00000000000009</v>
      </c>
      <c r="E66" s="43">
        <f>(E64-D64)*10000</f>
        <v>-300.0000000000003</v>
      </c>
      <c r="F66" s="43">
        <f>(F64-E64)*10000</f>
        <v>-199.99999999999906</v>
      </c>
      <c r="G66" s="43" t="s">
        <v>38</v>
      </c>
      <c r="H66" s="43">
        <f>(H64-F64)*10000</f>
        <v>599.9999999999994</v>
      </c>
      <c r="I66" s="43">
        <f>(I64-H64)*10000</f>
        <v>500.00000000000045</v>
      </c>
      <c r="J66" s="57">
        <f>(J64-I64)*10000</f>
        <v>-100.00000000000009</v>
      </c>
      <c r="K66" s="7"/>
    </row>
    <row r="67">
      <c r="A67" s="1"/>
      <c r="B67" s="18" t="s">
        <v>129</v>
      </c>
      <c r="C67" s="3" t="s">
        <v>38</v>
      </c>
      <c r="D67" s="3" t="s">
        <v>38</v>
      </c>
      <c r="E67" s="3" t="s">
        <v>38</v>
      </c>
      <c r="F67" s="3" t="s">
        <v>38</v>
      </c>
      <c r="G67" s="3" t="s">
        <v>38</v>
      </c>
      <c r="H67" s="3">
        <f>H40</f>
        <v>-0.039017573791309657</v>
      </c>
      <c r="I67" s="3">
        <f>I40</f>
        <v>0.01763227849137161</v>
      </c>
      <c r="J67" s="9">
        <f>J40</f>
        <v>0.06985721039520443</v>
      </c>
      <c r="K67" s="7"/>
    </row>
    <row r="68">
      <c r="A68" s="1"/>
      <c r="B68" s="5" t="s">
        <v>111</v>
      </c>
      <c r="C68" s="4" t="s">
        <v>112</v>
      </c>
      <c r="D68" s="4" t="s">
        <v>112</v>
      </c>
      <c r="E68" s="4" t="s">
        <v>112</v>
      </c>
      <c r="F68" s="4" t="s">
        <v>112</v>
      </c>
      <c r="G68" s="4" t="s">
        <v>112</v>
      </c>
      <c r="H68" s="4" t="s">
        <v>112</v>
      </c>
      <c r="I68" s="4" t="s">
        <v>112</v>
      </c>
      <c r="J68" s="24" t="s">
        <v>112</v>
      </c>
      <c r="K68" s="7" t="s">
        <v>113</v>
      </c>
    </row>
    <row r="69">
      <c r="A69" s="1"/>
      <c r="B69" s="5" t="s">
        <v>114</v>
      </c>
      <c r="C69" s="4" t="s">
        <v>112</v>
      </c>
      <c r="D69" s="4" t="s">
        <v>112</v>
      </c>
      <c r="E69" s="4" t="s">
        <v>112</v>
      </c>
      <c r="F69" s="4" t="s">
        <v>112</v>
      </c>
      <c r="G69" s="4" t="s">
        <v>112</v>
      </c>
      <c r="H69" s="4" t="s">
        <v>112</v>
      </c>
      <c r="I69" s="4" t="s">
        <v>112</v>
      </c>
      <c r="J69" s="24" t="s">
        <v>112</v>
      </c>
      <c r="K69" s="7" t="s">
        <v>115</v>
      </c>
    </row>
    <row r="70">
      <c r="A70" s="1"/>
      <c r="B70" s="11" t="s">
        <v>130</v>
      </c>
      <c r="C70" s="14">
        <f>C20*C74</f>
        <v>234991.12000000002</v>
      </c>
      <c r="D70" s="14">
        <f>D20*D74</f>
        <v>252123.84000000003</v>
      </c>
      <c r="E70" s="14">
        <f>E20*E74</f>
        <v>296975.39999999997</v>
      </c>
      <c r="F70" s="14">
        <f>F20*F74</f>
        <v>334748.8</v>
      </c>
      <c r="G70" s="14">
        <f>SUM(C70:F70)</f>
        <v>1118839.16</v>
      </c>
      <c r="H70" s="14">
        <f>H20*H74</f>
        <v>294866.78</v>
      </c>
      <c r="I70" s="14">
        <f>I20*I74</f>
        <v>279483.6</v>
      </c>
      <c r="J70" s="70">
        <f>J20*J74</f>
        <v>343675.89</v>
      </c>
      <c r="K70" s="7"/>
    </row>
    <row r="71">
      <c r="A71" s="1"/>
      <c r="B71" s="18" t="s">
        <v>97</v>
      </c>
      <c r="C71" s="3" t="s">
        <v>38</v>
      </c>
      <c r="D71" s="3" t="s">
        <v>38</v>
      </c>
      <c r="E71" s="3" t="s">
        <v>38</v>
      </c>
      <c r="F71" s="3" t="s">
        <v>38</v>
      </c>
      <c r="G71" s="3" t="s">
        <v>38</v>
      </c>
      <c r="H71" s="3">
        <f>H70/C70-1</f>
        <v>0.25479967072798315</v>
      </c>
      <c r="I71" s="3">
        <f>I70/D70-1</f>
        <v>0.10851714776357513</v>
      </c>
      <c r="J71" s="9">
        <f>J70/E70-1</f>
        <v>0.15725373212730775</v>
      </c>
      <c r="K71" s="7"/>
    </row>
    <row r="72">
      <c r="A72" s="1"/>
      <c r="B72" s="18" t="s">
        <v>98</v>
      </c>
      <c r="C72" s="3" t="s">
        <v>38</v>
      </c>
      <c r="D72" s="3">
        <f>D70/C70-1</f>
        <v>0.07290794647899879</v>
      </c>
      <c r="E72" s="3">
        <f>E70/D70-1</f>
        <v>0.1778949582871654</v>
      </c>
      <c r="F72" s="3">
        <f>F70/E70-1</f>
        <v>0.12719370021894072</v>
      </c>
      <c r="G72" s="3" t="s">
        <v>38</v>
      </c>
      <c r="H72" s="3">
        <f>H70/F70-1</f>
        <v>-0.11914014329550981</v>
      </c>
      <c r="I72" s="3">
        <f>I70/H70-1</f>
        <v>-0.05216993246916468</v>
      </c>
      <c r="J72" s="9">
        <f>J70/I70-1</f>
        <v>0.229681777392305</v>
      </c>
      <c r="K72" s="7"/>
    </row>
    <row r="73">
      <c r="A73" s="1"/>
      <c r="B73" s="5" t="s">
        <v>99</v>
      </c>
      <c r="C73" s="12" t="s">
        <v>38</v>
      </c>
      <c r="D73" s="12">
        <f>D70-C70</f>
        <v>17132.72</v>
      </c>
      <c r="E73" s="12">
        <f>E70-D70</f>
        <v>44851.55999999994</v>
      </c>
      <c r="F73" s="12">
        <f>F70-E70</f>
        <v>37773.40000000002</v>
      </c>
      <c r="G73" s="12" t="s">
        <v>38</v>
      </c>
      <c r="H73" s="12">
        <f>H70-F70</f>
        <v>-39882.01999999996</v>
      </c>
      <c r="I73" s="12">
        <f>I70-H70</f>
        <v>-15383.180000000051</v>
      </c>
      <c r="J73" s="8">
        <f>J70-I70</f>
        <v>64192.29000000004</v>
      </c>
      <c r="K73" s="7"/>
    </row>
    <row r="74">
      <c r="A74" s="1"/>
      <c r="B74" s="18" t="s">
        <v>125</v>
      </c>
      <c r="C74" s="42">
        <v>0.28</v>
      </c>
      <c r="D74" s="42">
        <v>0.27</v>
      </c>
      <c r="E74" s="42">
        <v>0.3</v>
      </c>
      <c r="F74" s="42">
        <v>0.32</v>
      </c>
      <c r="G74" s="3">
        <f>G70/G20</f>
        <v>0.29373150393772307</v>
      </c>
      <c r="H74" s="42">
        <v>0.26</v>
      </c>
      <c r="I74" s="42">
        <v>0.22</v>
      </c>
      <c r="J74" s="36">
        <v>0.23</v>
      </c>
      <c r="K74" s="7" t="s">
        <v>131</v>
      </c>
    </row>
    <row r="75">
      <c r="A75" s="1"/>
      <c r="B75" s="18" t="s">
        <v>127</v>
      </c>
      <c r="C75" s="43" t="s">
        <v>38</v>
      </c>
      <c r="D75" s="43" t="s">
        <v>38</v>
      </c>
      <c r="E75" s="43" t="s">
        <v>38</v>
      </c>
      <c r="F75" s="43" t="s">
        <v>38</v>
      </c>
      <c r="G75" s="43" t="s">
        <v>38</v>
      </c>
      <c r="H75" s="43">
        <f>(H74-C74)*10000</f>
        <v>-200.00000000000017</v>
      </c>
      <c r="I75" s="43">
        <f>(I74-D74)*10000</f>
        <v>-500.00000000000017</v>
      </c>
      <c r="J75" s="57">
        <f>(J74-E74)*10000</f>
        <v>-699.9999999999998</v>
      </c>
      <c r="K75" s="7"/>
    </row>
    <row r="76">
      <c r="A76" s="1"/>
      <c r="B76" s="18" t="s">
        <v>128</v>
      </c>
      <c r="C76" s="43" t="s">
        <v>38</v>
      </c>
      <c r="D76" s="43">
        <f>(D74-C74)*10000</f>
        <v>-100.00000000000009</v>
      </c>
      <c r="E76" s="43">
        <f>(E74-D74)*10000</f>
        <v>299.9999999999997</v>
      </c>
      <c r="F76" s="43">
        <f>(F74-E74)*10000</f>
        <v>200.00000000000017</v>
      </c>
      <c r="G76" s="43" t="s">
        <v>38</v>
      </c>
      <c r="H76" s="43">
        <f>(H74-F74)*10000</f>
        <v>-600</v>
      </c>
      <c r="I76" s="43">
        <f>(I74-H74)*10000</f>
        <v>-400.00000000000006</v>
      </c>
      <c r="J76" s="57">
        <f>(J74-I74)*10000</f>
        <v>100.00000000000009</v>
      </c>
      <c r="K76" s="7"/>
    </row>
    <row r="77">
      <c r="A77" s="1"/>
      <c r="B77" s="18" t="s">
        <v>129</v>
      </c>
      <c r="C77" s="3" t="s">
        <v>38</v>
      </c>
      <c r="D77" s="3" t="s">
        <v>38</v>
      </c>
      <c r="E77" s="3" t="s">
        <v>38</v>
      </c>
      <c r="F77" s="3" t="s">
        <v>38</v>
      </c>
      <c r="G77" s="3" t="s">
        <v>38</v>
      </c>
      <c r="H77" s="3">
        <f>H40</f>
        <v>-0.039017573791309657</v>
      </c>
      <c r="I77" s="3">
        <f>I40</f>
        <v>0.01763227849137161</v>
      </c>
      <c r="J77" s="9">
        <f>J40</f>
        <v>0.06985721039520443</v>
      </c>
      <c r="K77" s="7"/>
    </row>
    <row r="78">
      <c r="A78" s="1"/>
      <c r="B78" s="5" t="s">
        <v>111</v>
      </c>
      <c r="C78" s="4" t="s">
        <v>112</v>
      </c>
      <c r="D78" s="4" t="s">
        <v>112</v>
      </c>
      <c r="E78" s="4" t="s">
        <v>112</v>
      </c>
      <c r="F78" s="4" t="s">
        <v>112</v>
      </c>
      <c r="G78" s="4" t="s">
        <v>112</v>
      </c>
      <c r="H78" s="4" t="s">
        <v>112</v>
      </c>
      <c r="I78" s="4" t="s">
        <v>112</v>
      </c>
      <c r="J78" s="24" t="s">
        <v>112</v>
      </c>
      <c r="K78" s="7" t="s">
        <v>113</v>
      </c>
    </row>
    <row r="79">
      <c r="A79" s="1"/>
      <c r="B79" s="5" t="s">
        <v>114</v>
      </c>
      <c r="C79" s="4" t="s">
        <v>112</v>
      </c>
      <c r="D79" s="4" t="s">
        <v>112</v>
      </c>
      <c r="E79" s="4" t="s">
        <v>112</v>
      </c>
      <c r="F79" s="4" t="s">
        <v>112</v>
      </c>
      <c r="G79" s="4" t="s">
        <v>112</v>
      </c>
      <c r="H79" s="4" t="s">
        <v>112</v>
      </c>
      <c r="I79" s="4" t="s">
        <v>112</v>
      </c>
      <c r="J79" s="24" t="s">
        <v>112</v>
      </c>
      <c r="K79" s="7" t="s">
        <v>115</v>
      </c>
    </row>
    <row r="80">
      <c r="A80" s="1"/>
      <c r="B80" s="11" t="s">
        <v>132</v>
      </c>
      <c r="C80" s="14">
        <f>C20*C84</f>
        <v>41962.700000000004</v>
      </c>
      <c r="D80" s="14">
        <f>D20*D84</f>
        <v>46689.600000000006</v>
      </c>
      <c r="E80" s="14">
        <f>E20*E84</f>
        <v>49495.9</v>
      </c>
      <c r="F80" s="14">
        <f>F20*F84</f>
        <v>52304.5</v>
      </c>
      <c r="G80" s="14">
        <f>SUM(C80:F80)</f>
        <v>190452.7</v>
      </c>
      <c r="H80" s="14">
        <f>H20*H84</f>
        <v>68046.18</v>
      </c>
      <c r="I80" s="14">
        <f>I20*I84</f>
        <v>63519</v>
      </c>
      <c r="J80" s="70">
        <f>J20*J84</f>
        <v>74712.15000000001</v>
      </c>
      <c r="K80" s="7"/>
    </row>
    <row r="81">
      <c r="A81" s="1"/>
      <c r="B81" s="18" t="s">
        <v>97</v>
      </c>
      <c r="C81" s="3" t="s">
        <v>38</v>
      </c>
      <c r="D81" s="3" t="s">
        <v>38</v>
      </c>
      <c r="E81" s="3" t="s">
        <v>38</v>
      </c>
      <c r="F81" s="3" t="s">
        <v>38</v>
      </c>
      <c r="G81" s="3" t="s">
        <v>38</v>
      </c>
      <c r="H81" s="3">
        <f>H80/C80-1</f>
        <v>0.6215872667869318</v>
      </c>
      <c r="I81" s="3">
        <f>I80/D80-1</f>
        <v>0.3604528631643875</v>
      </c>
      <c r="J81" s="9">
        <f>J80/E80-1</f>
        <v>0.5094613897312708</v>
      </c>
      <c r="K81" s="7"/>
    </row>
    <row r="82">
      <c r="A82" s="1"/>
      <c r="B82" s="18" t="s">
        <v>98</v>
      </c>
      <c r="C82" s="3" t="s">
        <v>38</v>
      </c>
      <c r="D82" s="3">
        <f>D80/C80-1</f>
        <v>0.11264527783007283</v>
      </c>
      <c r="E82" s="3">
        <f>E80/D80-1</f>
        <v>0.060105462458448944</v>
      </c>
      <c r="F82" s="3">
        <f>F80/E80-1</f>
        <v>0.056744093955256814</v>
      </c>
      <c r="G82" s="3" t="s">
        <v>38</v>
      </c>
      <c r="H82" s="3">
        <f>H80/F80-1</f>
        <v>0.3009622499020159</v>
      </c>
      <c r="I82" s="3">
        <f>I80/H80-1</f>
        <v>-0.06653099409841956</v>
      </c>
      <c r="J82" s="9">
        <f>J80/I80-1</f>
        <v>0.17621735228829194</v>
      </c>
      <c r="K82" s="7"/>
    </row>
    <row r="83">
      <c r="A83" s="1"/>
      <c r="B83" s="5" t="s">
        <v>99</v>
      </c>
      <c r="C83" s="12" t="s">
        <v>38</v>
      </c>
      <c r="D83" s="12">
        <f>D80-C80</f>
        <v>4726.9000000000015</v>
      </c>
      <c r="E83" s="12">
        <f>E80-D80</f>
        <v>2806.2999999999956</v>
      </c>
      <c r="F83" s="12">
        <f>F80-E80</f>
        <v>2808.5999999999985</v>
      </c>
      <c r="G83" s="12" t="s">
        <v>38</v>
      </c>
      <c r="H83" s="12">
        <f>H80-F80</f>
        <v>15741.679999999993</v>
      </c>
      <c r="I83" s="12">
        <f>I80-H80</f>
        <v>-4527.179999999993</v>
      </c>
      <c r="J83" s="8">
        <f>J80-I80</f>
        <v>11193.150000000009</v>
      </c>
      <c r="K83" s="7"/>
    </row>
    <row r="84">
      <c r="A84" s="1"/>
      <c r="B84" s="18" t="s">
        <v>125</v>
      </c>
      <c r="C84" s="42">
        <v>0.05</v>
      </c>
      <c r="D84" s="42">
        <v>0.05</v>
      </c>
      <c r="E84" s="42">
        <v>0.05</v>
      </c>
      <c r="F84" s="42">
        <v>0.05</v>
      </c>
      <c r="G84" s="3">
        <f>G80/G20</f>
        <v>0.05</v>
      </c>
      <c r="H84" s="42">
        <v>0.06</v>
      </c>
      <c r="I84" s="42">
        <v>0.05</v>
      </c>
      <c r="J84" s="36">
        <v>0.05</v>
      </c>
      <c r="K84" s="7" t="s">
        <v>133</v>
      </c>
    </row>
    <row r="85">
      <c r="A85" s="1"/>
      <c r="B85" s="18" t="s">
        <v>127</v>
      </c>
      <c r="C85" s="43" t="s">
        <v>38</v>
      </c>
      <c r="D85" s="43" t="s">
        <v>38</v>
      </c>
      <c r="E85" s="43" t="s">
        <v>38</v>
      </c>
      <c r="F85" s="43" t="s">
        <v>38</v>
      </c>
      <c r="G85" s="43" t="s">
        <v>38</v>
      </c>
      <c r="H85" s="43">
        <f>(H84-C84)*10000</f>
        <v>99.99999999999994</v>
      </c>
      <c r="I85" s="43">
        <f>(I84-D84)*10000</f>
        <v>0</v>
      </c>
      <c r="J85" s="57">
        <f>(J84-E84)*10000</f>
        <v>0</v>
      </c>
      <c r="K85" s="7"/>
    </row>
    <row r="86">
      <c r="A86" s="1"/>
      <c r="B86" s="18" t="s">
        <v>128</v>
      </c>
      <c r="C86" s="43" t="s">
        <v>38</v>
      </c>
      <c r="D86" s="43">
        <f>(D84-C84)*10000</f>
        <v>0</v>
      </c>
      <c r="E86" s="43">
        <f>(E84-D84)*10000</f>
        <v>0</v>
      </c>
      <c r="F86" s="43">
        <f>(F84-E84)*10000</f>
        <v>0</v>
      </c>
      <c r="G86" s="43" t="s">
        <v>38</v>
      </c>
      <c r="H86" s="43">
        <f>(H84-F84)*10000</f>
        <v>99.99999999999994</v>
      </c>
      <c r="I86" s="43">
        <f>(I84-H84)*10000</f>
        <v>-99.99999999999994</v>
      </c>
      <c r="J86" s="57">
        <f>(J84-I84)*10000</f>
        <v>0</v>
      </c>
      <c r="K86" s="7"/>
    </row>
    <row r="87">
      <c r="A87" s="1"/>
      <c r="B87" s="18" t="s">
        <v>129</v>
      </c>
      <c r="C87" s="3" t="s">
        <v>38</v>
      </c>
      <c r="D87" s="3" t="s">
        <v>38</v>
      </c>
      <c r="E87" s="3" t="s">
        <v>38</v>
      </c>
      <c r="F87" s="3" t="s">
        <v>38</v>
      </c>
      <c r="G87" s="3" t="s">
        <v>38</v>
      </c>
      <c r="H87" s="3">
        <f>H40</f>
        <v>-0.039017573791309657</v>
      </c>
      <c r="I87" s="3">
        <f>I40</f>
        <v>0.01763227849137161</v>
      </c>
      <c r="J87" s="9">
        <f>J40</f>
        <v>0.06985721039520443</v>
      </c>
      <c r="K87" s="7"/>
    </row>
    <row r="88">
      <c r="A88" s="1"/>
      <c r="B88" s="5" t="s">
        <v>111</v>
      </c>
      <c r="C88" s="4" t="s">
        <v>112</v>
      </c>
      <c r="D88" s="4" t="s">
        <v>112</v>
      </c>
      <c r="E88" s="4" t="s">
        <v>112</v>
      </c>
      <c r="F88" s="4" t="s">
        <v>112</v>
      </c>
      <c r="G88" s="4" t="s">
        <v>112</v>
      </c>
      <c r="H88" s="4" t="s">
        <v>112</v>
      </c>
      <c r="I88" s="4" t="s">
        <v>112</v>
      </c>
      <c r="J88" s="24" t="s">
        <v>112</v>
      </c>
      <c r="K88" s="7" t="s">
        <v>113</v>
      </c>
    </row>
    <row r="89">
      <c r="A89" s="1"/>
      <c r="B89" s="5" t="s">
        <v>114</v>
      </c>
      <c r="C89" s="4" t="s">
        <v>112</v>
      </c>
      <c r="D89" s="4" t="s">
        <v>112</v>
      </c>
      <c r="E89" s="4" t="s">
        <v>112</v>
      </c>
      <c r="F89" s="4" t="s">
        <v>112</v>
      </c>
      <c r="G89" s="4" t="s">
        <v>112</v>
      </c>
      <c r="H89" s="4" t="s">
        <v>112</v>
      </c>
      <c r="I89" s="4" t="s">
        <v>112</v>
      </c>
      <c r="J89" s="24" t="s">
        <v>112</v>
      </c>
      <c r="K89" s="7" t="s">
        <v>115</v>
      </c>
    </row>
    <row r="90">
      <c r="A90" s="1"/>
      <c r="B90" s="11" t="s">
        <v>134</v>
      </c>
      <c r="C90" s="14">
        <f>C20*C94</f>
        <v>41962.700000000004</v>
      </c>
      <c r="D90" s="14">
        <f>D20*D94</f>
        <v>46689.600000000006</v>
      </c>
      <c r="E90" s="14">
        <f>E20*E94</f>
        <v>49495.9</v>
      </c>
      <c r="F90" s="14">
        <f>F20*F94</f>
        <v>52304.5</v>
      </c>
      <c r="G90" s="14">
        <f>SUM(C90:F90)</f>
        <v>190452.7</v>
      </c>
      <c r="H90" s="14">
        <f>H20*H94</f>
        <v>45364.12</v>
      </c>
      <c r="I90" s="14">
        <f>I20*I94</f>
        <v>50815.200000000004</v>
      </c>
      <c r="J90" s="70">
        <f>J20*J94</f>
        <v>59769.72</v>
      </c>
      <c r="K90" s="7"/>
    </row>
    <row r="91">
      <c r="A91" s="1"/>
      <c r="B91" s="18" t="s">
        <v>97</v>
      </c>
      <c r="C91" s="3" t="s">
        <v>38</v>
      </c>
      <c r="D91" s="3" t="s">
        <v>38</v>
      </c>
      <c r="E91" s="3" t="s">
        <v>38</v>
      </c>
      <c r="F91" s="3" t="s">
        <v>38</v>
      </c>
      <c r="G91" s="3" t="s">
        <v>38</v>
      </c>
      <c r="H91" s="3">
        <f>H90/C90-1</f>
        <v>0.08105817785795466</v>
      </c>
      <c r="I91" s="3">
        <f>I90/D90-1</f>
        <v>0.08836229053151023</v>
      </c>
      <c r="J91" s="9">
        <f>J90/E90-1</f>
        <v>0.20756911178501647</v>
      </c>
      <c r="K91" s="7"/>
    </row>
    <row r="92">
      <c r="A92" s="1"/>
      <c r="B92" s="18" t="s">
        <v>98</v>
      </c>
      <c r="C92" s="3" t="s">
        <v>38</v>
      </c>
      <c r="D92" s="3">
        <f>D90/C90-1</f>
        <v>0.11264527783007283</v>
      </c>
      <c r="E92" s="3">
        <f>E90/D90-1</f>
        <v>0.060105462458448944</v>
      </c>
      <c r="F92" s="3">
        <f>F90/E90-1</f>
        <v>0.056744093955256814</v>
      </c>
      <c r="G92" s="3" t="s">
        <v>38</v>
      </c>
      <c r="H92" s="3">
        <f>H90/F90-1</f>
        <v>-0.13269183339865587</v>
      </c>
      <c r="I92" s="3">
        <f>I90/H90-1</f>
        <v>0.12016280708189653</v>
      </c>
      <c r="J92" s="9">
        <f>J90/I90-1</f>
        <v>0.17621735228829172</v>
      </c>
      <c r="K92" s="7"/>
    </row>
    <row r="93">
      <c r="A93" s="1"/>
      <c r="B93" s="5" t="s">
        <v>99</v>
      </c>
      <c r="C93" s="12" t="s">
        <v>38</v>
      </c>
      <c r="D93" s="12">
        <f>D90-C90</f>
        <v>4726.9000000000015</v>
      </c>
      <c r="E93" s="12">
        <f>E90-D90</f>
        <v>2806.2999999999956</v>
      </c>
      <c r="F93" s="12">
        <f>F90-E90</f>
        <v>2808.5999999999985</v>
      </c>
      <c r="G93" s="12" t="s">
        <v>38</v>
      </c>
      <c r="H93" s="12">
        <f>H90-F90</f>
        <v>-6940.379999999997</v>
      </c>
      <c r="I93" s="12">
        <f>I90-H90</f>
        <v>5451.080000000002</v>
      </c>
      <c r="J93" s="8">
        <f>J90-I90</f>
        <v>8954.519999999997</v>
      </c>
      <c r="K93" s="7"/>
    </row>
    <row r="94">
      <c r="A94" s="1"/>
      <c r="B94" s="18" t="s">
        <v>125</v>
      </c>
      <c r="C94" s="42">
        <v>0.05</v>
      </c>
      <c r="D94" s="42">
        <v>0.05</v>
      </c>
      <c r="E94" s="42">
        <v>0.05</v>
      </c>
      <c r="F94" s="42">
        <v>0.05</v>
      </c>
      <c r="G94" s="3">
        <f>G90/G20</f>
        <v>0.05</v>
      </c>
      <c r="H94" s="42">
        <v>0.04</v>
      </c>
      <c r="I94" s="42">
        <v>0.04</v>
      </c>
      <c r="J94" s="36">
        <v>0.04</v>
      </c>
      <c r="K94" s="7" t="s">
        <v>133</v>
      </c>
    </row>
    <row r="95">
      <c r="A95" s="1"/>
      <c r="B95" s="18" t="s">
        <v>127</v>
      </c>
      <c r="C95" s="43" t="s">
        <v>38</v>
      </c>
      <c r="D95" s="43" t="s">
        <v>38</v>
      </c>
      <c r="E95" s="43" t="s">
        <v>38</v>
      </c>
      <c r="F95" s="43" t="s">
        <v>38</v>
      </c>
      <c r="G95" s="43" t="s">
        <v>38</v>
      </c>
      <c r="H95" s="43">
        <f>(H94-C94)*10000</f>
        <v>-100.00000000000001</v>
      </c>
      <c r="I95" s="43">
        <f>(I94-D94)*10000</f>
        <v>-100.00000000000001</v>
      </c>
      <c r="J95" s="57">
        <f>(J94-E94)*10000</f>
        <v>-100.00000000000001</v>
      </c>
      <c r="K95" s="7"/>
    </row>
    <row r="96">
      <c r="A96" s="1"/>
      <c r="B96" s="18" t="s">
        <v>128</v>
      </c>
      <c r="C96" s="43" t="s">
        <v>38</v>
      </c>
      <c r="D96" s="43">
        <f>(D94-C94)*10000</f>
        <v>0</v>
      </c>
      <c r="E96" s="43">
        <f>(E94-D94)*10000</f>
        <v>0</v>
      </c>
      <c r="F96" s="43">
        <f>(F94-E94)*10000</f>
        <v>0</v>
      </c>
      <c r="G96" s="43" t="s">
        <v>38</v>
      </c>
      <c r="H96" s="43">
        <f>(H94-F94)*10000</f>
        <v>-100.00000000000001</v>
      </c>
      <c r="I96" s="43">
        <f>(I94-H94)*10000</f>
        <v>0</v>
      </c>
      <c r="J96" s="57">
        <f>(J94-I94)*10000</f>
        <v>0</v>
      </c>
      <c r="K96" s="7"/>
    </row>
    <row r="97">
      <c r="A97" s="1"/>
      <c r="B97" s="18" t="s">
        <v>129</v>
      </c>
      <c r="C97" s="3" t="s">
        <v>38</v>
      </c>
      <c r="D97" s="3" t="s">
        <v>38</v>
      </c>
      <c r="E97" s="3" t="s">
        <v>38</v>
      </c>
      <c r="F97" s="3" t="s">
        <v>38</v>
      </c>
      <c r="G97" s="3" t="s">
        <v>38</v>
      </c>
      <c r="H97" s="3">
        <f>H40</f>
        <v>-0.039017573791309657</v>
      </c>
      <c r="I97" s="3">
        <f>I40</f>
        <v>0.01763227849137161</v>
      </c>
      <c r="J97" s="9">
        <f>J40</f>
        <v>0.06985721039520443</v>
      </c>
      <c r="K97" s="7"/>
    </row>
    <row r="98">
      <c r="A98" s="1"/>
      <c r="B98" s="5" t="s">
        <v>111</v>
      </c>
      <c r="C98" s="4" t="s">
        <v>112</v>
      </c>
      <c r="D98" s="4" t="s">
        <v>112</v>
      </c>
      <c r="E98" s="4" t="s">
        <v>112</v>
      </c>
      <c r="F98" s="4" t="s">
        <v>112</v>
      </c>
      <c r="G98" s="4" t="s">
        <v>112</v>
      </c>
      <c r="H98" s="4" t="s">
        <v>112</v>
      </c>
      <c r="I98" s="4" t="s">
        <v>112</v>
      </c>
      <c r="J98" s="24" t="s">
        <v>112</v>
      </c>
      <c r="K98" s="7" t="s">
        <v>113</v>
      </c>
    </row>
    <row r="99">
      <c r="A99" s="1"/>
      <c r="B99" s="5" t="s">
        <v>114</v>
      </c>
      <c r="C99" s="4" t="s">
        <v>112</v>
      </c>
      <c r="D99" s="4" t="s">
        <v>112</v>
      </c>
      <c r="E99" s="4" t="s">
        <v>112</v>
      </c>
      <c r="F99" s="4" t="s">
        <v>112</v>
      </c>
      <c r="G99" s="4" t="s">
        <v>112</v>
      </c>
      <c r="H99" s="4" t="s">
        <v>112</v>
      </c>
      <c r="I99" s="4" t="s">
        <v>112</v>
      </c>
      <c r="J99" s="24" t="s">
        <v>112</v>
      </c>
      <c r="K99" s="7" t="s">
        <v>115</v>
      </c>
    </row>
    <row r="100">
      <c r="A100" s="1"/>
      <c r="B100" s="11" t="s">
        <v>135</v>
      </c>
      <c r="C100" s="14">
        <f>C20*C104</f>
        <v>8392.54</v>
      </c>
      <c r="D100" s="14">
        <f>D20*D104</f>
        <v>9337.92</v>
      </c>
      <c r="E100" s="14">
        <f>E20*E104</f>
        <v>9899.18</v>
      </c>
      <c r="F100" s="14">
        <f>F20*F104</f>
        <v>10460.9</v>
      </c>
      <c r="G100" s="14">
        <f>SUM(C100:F100)</f>
        <v>38090.54</v>
      </c>
      <c r="H100" s="14">
        <f>H20*H104</f>
        <v>11341.03</v>
      </c>
      <c r="I100" s="14">
        <f>I20*I104</f>
        <v>12703.800000000001</v>
      </c>
      <c r="J100" s="70">
        <f>J20*J104</f>
        <v>14942.43</v>
      </c>
      <c r="K100" s="7"/>
    </row>
    <row r="101">
      <c r="A101" s="1"/>
      <c r="B101" s="18" t="s">
        <v>97</v>
      </c>
      <c r="C101" s="3" t="s">
        <v>38</v>
      </c>
      <c r="D101" s="3" t="s">
        <v>38</v>
      </c>
      <c r="E101" s="3" t="s">
        <v>38</v>
      </c>
      <c r="F101" s="3" t="s">
        <v>38</v>
      </c>
      <c r="G101" s="3" t="s">
        <v>38</v>
      </c>
      <c r="H101" s="3">
        <f>H100/C100-1</f>
        <v>0.35132272232244355</v>
      </c>
      <c r="I101" s="3">
        <f>I100/D100-1</f>
        <v>0.36045286316438796</v>
      </c>
      <c r="J101" s="9">
        <f>J100/E100-1</f>
        <v>0.5094613897312708</v>
      </c>
      <c r="K101" s="7"/>
    </row>
    <row r="102">
      <c r="A102" s="1"/>
      <c r="B102" s="18" t="s">
        <v>98</v>
      </c>
      <c r="C102" s="3" t="s">
        <v>38</v>
      </c>
      <c r="D102" s="3">
        <f>D100/C100-1</f>
        <v>0.11264527783007283</v>
      </c>
      <c r="E102" s="3">
        <f>E100/D100-1</f>
        <v>0.060105462458448944</v>
      </c>
      <c r="F102" s="3">
        <f>F100/E100-1</f>
        <v>0.056744093955256814</v>
      </c>
      <c r="G102" s="3" t="s">
        <v>38</v>
      </c>
      <c r="H102" s="3">
        <f>H100/F100-1</f>
        <v>0.0841352082516802</v>
      </c>
      <c r="I102" s="3">
        <f>I100/H100-1</f>
        <v>0.12016280708189653</v>
      </c>
      <c r="J102" s="9">
        <f>J100/I100-1</f>
        <v>0.17621735228829172</v>
      </c>
      <c r="K102" s="7"/>
    </row>
    <row r="103">
      <c r="A103" s="1"/>
      <c r="B103" s="5" t="s">
        <v>99</v>
      </c>
      <c r="C103" s="12" t="s">
        <v>38</v>
      </c>
      <c r="D103" s="12">
        <f>D100-C100</f>
        <v>945.3799999999992</v>
      </c>
      <c r="E103" s="12">
        <f>E100-D100</f>
        <v>561.2600000000002</v>
      </c>
      <c r="F103" s="12">
        <f>F100-E100</f>
        <v>561.7199999999993</v>
      </c>
      <c r="G103" s="12" t="s">
        <v>38</v>
      </c>
      <c r="H103" s="12">
        <f>H100-F100</f>
        <v>880.130000000001</v>
      </c>
      <c r="I103" s="12">
        <f>I100-H100</f>
        <v>1362.7700000000004</v>
      </c>
      <c r="J103" s="8">
        <f>J100-I100</f>
        <v>2238.629999999999</v>
      </c>
      <c r="K103" s="7"/>
    </row>
    <row r="104">
      <c r="A104" s="1"/>
      <c r="B104" s="18" t="s">
        <v>125</v>
      </c>
      <c r="C104" s="42">
        <v>0.01</v>
      </c>
      <c r="D104" s="42">
        <v>0.01</v>
      </c>
      <c r="E104" s="42">
        <v>0.01</v>
      </c>
      <c r="F104" s="42">
        <v>0.01</v>
      </c>
      <c r="G104" s="3">
        <f>G100/G20</f>
        <v>0.01</v>
      </c>
      <c r="H104" s="42">
        <v>0.01</v>
      </c>
      <c r="I104" s="42">
        <v>0.01</v>
      </c>
      <c r="J104" s="36">
        <v>0.01</v>
      </c>
      <c r="K104" s="7" t="s">
        <v>136</v>
      </c>
    </row>
    <row r="105">
      <c r="A105" s="1"/>
      <c r="B105" s="18" t="s">
        <v>127</v>
      </c>
      <c r="C105" s="43" t="s">
        <v>38</v>
      </c>
      <c r="D105" s="43" t="s">
        <v>38</v>
      </c>
      <c r="E105" s="43" t="s">
        <v>38</v>
      </c>
      <c r="F105" s="43" t="s">
        <v>38</v>
      </c>
      <c r="G105" s="43" t="s">
        <v>38</v>
      </c>
      <c r="H105" s="43">
        <f>(H104-C104)*10000</f>
        <v>0</v>
      </c>
      <c r="I105" s="43">
        <f>(I104-D104)*10000</f>
        <v>0</v>
      </c>
      <c r="J105" s="57">
        <f>(J104-E104)*10000</f>
        <v>0</v>
      </c>
      <c r="K105" s="7"/>
    </row>
    <row r="106">
      <c r="A106" s="1"/>
      <c r="B106" s="18" t="s">
        <v>128</v>
      </c>
      <c r="C106" s="43" t="s">
        <v>38</v>
      </c>
      <c r="D106" s="43">
        <f>(D104-C104)*10000</f>
        <v>0</v>
      </c>
      <c r="E106" s="43">
        <f>(E104-D104)*10000</f>
        <v>0</v>
      </c>
      <c r="F106" s="43">
        <f>(F104-E104)*10000</f>
        <v>0</v>
      </c>
      <c r="G106" s="43" t="s">
        <v>38</v>
      </c>
      <c r="H106" s="43">
        <f>(H104-F104)*10000</f>
        <v>0</v>
      </c>
      <c r="I106" s="43">
        <f>(I104-H104)*10000</f>
        <v>0</v>
      </c>
      <c r="J106" s="57">
        <f>(J104-I104)*10000</f>
        <v>0</v>
      </c>
      <c r="K106" s="7"/>
    </row>
    <row r="107">
      <c r="A107" s="1"/>
      <c r="B107" s="18" t="s">
        <v>129</v>
      </c>
      <c r="C107" s="3" t="s">
        <v>38</v>
      </c>
      <c r="D107" s="3" t="s">
        <v>38</v>
      </c>
      <c r="E107" s="3" t="s">
        <v>38</v>
      </c>
      <c r="F107" s="3" t="s">
        <v>38</v>
      </c>
      <c r="G107" s="3" t="s">
        <v>38</v>
      </c>
      <c r="H107" s="3">
        <f>H40</f>
        <v>-0.039017573791309657</v>
      </c>
      <c r="I107" s="3">
        <f>I40</f>
        <v>0.01763227849137161</v>
      </c>
      <c r="J107" s="9">
        <f>J40</f>
        <v>0.06985721039520443</v>
      </c>
      <c r="K107" s="7"/>
    </row>
    <row r="108">
      <c r="A108" s="1"/>
      <c r="B108" s="5" t="s">
        <v>111</v>
      </c>
      <c r="C108" s="4" t="s">
        <v>112</v>
      </c>
      <c r="D108" s="4" t="s">
        <v>112</v>
      </c>
      <c r="E108" s="4" t="s">
        <v>112</v>
      </c>
      <c r="F108" s="4" t="s">
        <v>112</v>
      </c>
      <c r="G108" s="4" t="s">
        <v>112</v>
      </c>
      <c r="H108" s="4" t="s">
        <v>112</v>
      </c>
      <c r="I108" s="4" t="s">
        <v>112</v>
      </c>
      <c r="J108" s="24" t="s">
        <v>112</v>
      </c>
      <c r="K108" s="7" t="s">
        <v>113</v>
      </c>
    </row>
    <row r="109">
      <c r="A109" s="1"/>
      <c r="B109" s="5" t="s">
        <v>114</v>
      </c>
      <c r="C109" s="4" t="s">
        <v>112</v>
      </c>
      <c r="D109" s="4" t="s">
        <v>112</v>
      </c>
      <c r="E109" s="4" t="s">
        <v>112</v>
      </c>
      <c r="F109" s="4" t="s">
        <v>112</v>
      </c>
      <c r="G109" s="4" t="s">
        <v>112</v>
      </c>
      <c r="H109" s="4" t="s">
        <v>112</v>
      </c>
      <c r="I109" s="4" t="s">
        <v>112</v>
      </c>
      <c r="J109" s="24" t="s">
        <v>112</v>
      </c>
      <c r="K109" s="7" t="s">
        <v>115</v>
      </c>
    </row>
    <row r="110">
      <c r="A110" s="1"/>
      <c r="B110" s="11" t="s">
        <v>137</v>
      </c>
      <c r="C110" s="14">
        <f>C20*C114</f>
        <v>16785.08</v>
      </c>
      <c r="D110" s="14">
        <f>D20*D114</f>
        <v>18675.84</v>
      </c>
      <c r="E110" s="14">
        <f>E20*E114</f>
        <v>19798.36</v>
      </c>
      <c r="F110" s="14">
        <f>F20*F114</f>
        <v>20921.8</v>
      </c>
      <c r="G110" s="14">
        <f>SUM(C110:F110)</f>
        <v>76181.08</v>
      </c>
      <c r="H110" s="14">
        <f>H20*H114</f>
        <v>22682.06</v>
      </c>
      <c r="I110" s="14">
        <f>I20*I114</f>
        <v>25407.600000000002</v>
      </c>
      <c r="J110" s="70">
        <f>J20*J114</f>
        <v>29884.86</v>
      </c>
      <c r="K110" s="7"/>
    </row>
    <row r="111">
      <c r="A111" s="1"/>
      <c r="B111" s="18" t="s">
        <v>97</v>
      </c>
      <c r="C111" s="3" t="s">
        <v>38</v>
      </c>
      <c r="D111" s="3" t="s">
        <v>38</v>
      </c>
      <c r="E111" s="3" t="s">
        <v>38</v>
      </c>
      <c r="F111" s="3" t="s">
        <v>38</v>
      </c>
      <c r="G111" s="3" t="s">
        <v>38</v>
      </c>
      <c r="H111" s="3">
        <f>H110/C110-1</f>
        <v>0.35132272232244355</v>
      </c>
      <c r="I111" s="3">
        <f>I110/D110-1</f>
        <v>0.36045286316438796</v>
      </c>
      <c r="J111" s="9">
        <f>J110/E110-1</f>
        <v>0.5094613897312708</v>
      </c>
      <c r="K111" s="7"/>
    </row>
    <row r="112">
      <c r="A112" s="1"/>
      <c r="B112" s="18" t="s">
        <v>98</v>
      </c>
      <c r="C112" s="3" t="s">
        <v>38</v>
      </c>
      <c r="D112" s="3">
        <f>D110/C110-1</f>
        <v>0.11264527783007283</v>
      </c>
      <c r="E112" s="3">
        <f>E110/D110-1</f>
        <v>0.060105462458448944</v>
      </c>
      <c r="F112" s="3">
        <f>F110/E110-1</f>
        <v>0.056744093955256814</v>
      </c>
      <c r="G112" s="3" t="s">
        <v>38</v>
      </c>
      <c r="H112" s="3">
        <f>H110/F110-1</f>
        <v>0.0841352082516802</v>
      </c>
      <c r="I112" s="3">
        <f>I110/H110-1</f>
        <v>0.12016280708189653</v>
      </c>
      <c r="J112" s="9">
        <f>J110/I110-1</f>
        <v>0.17621735228829172</v>
      </c>
      <c r="K112" s="7"/>
    </row>
    <row r="113">
      <c r="A113" s="1"/>
      <c r="B113" s="5" t="s">
        <v>99</v>
      </c>
      <c r="C113" s="12" t="s">
        <v>38</v>
      </c>
      <c r="D113" s="12">
        <f>D110-C110</f>
        <v>1890.7599999999984</v>
      </c>
      <c r="E113" s="12">
        <f>E110-D110</f>
        <v>1122.5200000000004</v>
      </c>
      <c r="F113" s="12">
        <f>F110-E110</f>
        <v>1123.4399999999987</v>
      </c>
      <c r="G113" s="12" t="s">
        <v>38</v>
      </c>
      <c r="H113" s="12">
        <f>H110-F110</f>
        <v>1760.260000000002</v>
      </c>
      <c r="I113" s="12">
        <f>I110-H110</f>
        <v>2725.540000000001</v>
      </c>
      <c r="J113" s="8">
        <f>J110-I110</f>
        <v>4477.259999999998</v>
      </c>
      <c r="K113" s="7"/>
    </row>
    <row r="114">
      <c r="A114" s="1"/>
      <c r="B114" s="18" t="s">
        <v>125</v>
      </c>
      <c r="C114" s="42">
        <v>0.02</v>
      </c>
      <c r="D114" s="42">
        <v>0.02</v>
      </c>
      <c r="E114" s="42">
        <v>0.02</v>
      </c>
      <c r="F114" s="42">
        <v>0.02</v>
      </c>
      <c r="G114" s="3">
        <f>G110/G20</f>
        <v>0.02</v>
      </c>
      <c r="H114" s="42">
        <v>0.02</v>
      </c>
      <c r="I114" s="42">
        <v>0.02</v>
      </c>
      <c r="J114" s="36">
        <v>0.02</v>
      </c>
      <c r="K114" s="7" t="s">
        <v>138</v>
      </c>
    </row>
    <row r="115">
      <c r="A115" s="1"/>
      <c r="B115" s="18" t="s">
        <v>127</v>
      </c>
      <c r="C115" s="43" t="s">
        <v>38</v>
      </c>
      <c r="D115" s="43" t="s">
        <v>38</v>
      </c>
      <c r="E115" s="43" t="s">
        <v>38</v>
      </c>
      <c r="F115" s="43" t="s">
        <v>38</v>
      </c>
      <c r="G115" s="43" t="s">
        <v>38</v>
      </c>
      <c r="H115" s="43">
        <f>(H114-C114)*10000</f>
        <v>0</v>
      </c>
      <c r="I115" s="43">
        <f>(I114-D114)*10000</f>
        <v>0</v>
      </c>
      <c r="J115" s="57">
        <f>(J114-E114)*10000</f>
        <v>0</v>
      </c>
      <c r="K115" s="7"/>
    </row>
    <row r="116">
      <c r="A116" s="1"/>
      <c r="B116" s="18" t="s">
        <v>128</v>
      </c>
      <c r="C116" s="43" t="s">
        <v>38</v>
      </c>
      <c r="D116" s="43">
        <f>(D114-C114)*10000</f>
        <v>0</v>
      </c>
      <c r="E116" s="43">
        <f>(E114-D114)*10000</f>
        <v>0</v>
      </c>
      <c r="F116" s="43">
        <f>(F114-E114)*10000</f>
        <v>0</v>
      </c>
      <c r="G116" s="43" t="s">
        <v>38</v>
      </c>
      <c r="H116" s="43">
        <f>(H114-F114)*10000</f>
        <v>0</v>
      </c>
      <c r="I116" s="43">
        <f>(I114-H114)*10000</f>
        <v>0</v>
      </c>
      <c r="J116" s="57">
        <f>(J114-I114)*10000</f>
        <v>0</v>
      </c>
      <c r="K116" s="7"/>
    </row>
    <row r="117">
      <c r="A117" s="1"/>
      <c r="B117" s="18" t="s">
        <v>129</v>
      </c>
      <c r="C117" s="3" t="s">
        <v>38</v>
      </c>
      <c r="D117" s="3" t="s">
        <v>38</v>
      </c>
      <c r="E117" s="3" t="s">
        <v>38</v>
      </c>
      <c r="F117" s="3" t="s">
        <v>38</v>
      </c>
      <c r="G117" s="3" t="s">
        <v>38</v>
      </c>
      <c r="H117" s="3">
        <f>H40</f>
        <v>-0.039017573791309657</v>
      </c>
      <c r="I117" s="3">
        <f>I40</f>
        <v>0.01763227849137161</v>
      </c>
      <c r="J117" s="9">
        <f>J40</f>
        <v>0.06985721039520443</v>
      </c>
      <c r="K117" s="7"/>
    </row>
    <row r="118">
      <c r="A118" s="1"/>
      <c r="B118" s="5" t="s">
        <v>111</v>
      </c>
      <c r="C118" s="4" t="s">
        <v>112</v>
      </c>
      <c r="D118" s="4" t="s">
        <v>112</v>
      </c>
      <c r="E118" s="4" t="s">
        <v>112</v>
      </c>
      <c r="F118" s="4" t="s">
        <v>112</v>
      </c>
      <c r="G118" s="4" t="s">
        <v>112</v>
      </c>
      <c r="H118" s="4" t="s">
        <v>112</v>
      </c>
      <c r="I118" s="4" t="s">
        <v>112</v>
      </c>
      <c r="J118" s="24" t="s">
        <v>112</v>
      </c>
      <c r="K118" s="7" t="s">
        <v>113</v>
      </c>
    </row>
    <row r="119">
      <c r="A119" s="1"/>
      <c r="B119" s="5" t="s">
        <v>114</v>
      </c>
      <c r="C119" s="4" t="s">
        <v>112</v>
      </c>
      <c r="D119" s="4" t="s">
        <v>112</v>
      </c>
      <c r="E119" s="4" t="s">
        <v>112</v>
      </c>
      <c r="F119" s="4" t="s">
        <v>112</v>
      </c>
      <c r="G119" s="4" t="s">
        <v>112</v>
      </c>
      <c r="H119" s="4" t="s">
        <v>112</v>
      </c>
      <c r="I119" s="4" t="s">
        <v>112</v>
      </c>
      <c r="J119" s="24" t="s">
        <v>112</v>
      </c>
      <c r="K119" s="7" t="s">
        <v>115</v>
      </c>
    </row>
    <row r="120">
      <c r="A120" s="1"/>
      <c r="B120" s="11" t="s">
        <v>139</v>
      </c>
      <c r="C120" s="14">
        <f>C60+C70+C80+C90+C100+C110</f>
        <v>839253.9999999999</v>
      </c>
      <c r="D120" s="14">
        <f>D60+D70+D80+D90+D100+D110</f>
        <v>933792</v>
      </c>
      <c r="E120" s="14">
        <f>E60+E70+E80+E90+E100+E110</f>
        <v>989918</v>
      </c>
      <c r="F120" s="14">
        <f>F60+F70+F80+F90+F100+F110</f>
        <v>1046090.0000000001</v>
      </c>
      <c r="G120" s="14">
        <f>SUM(C120:F120)</f>
        <v>3809054</v>
      </c>
      <c r="H120" s="14">
        <f>H60+H70+H80+H90+H100+H110</f>
        <v>1134103.0000000002</v>
      </c>
      <c r="I120" s="14">
        <f>I60+I70+I80+I90+I100+I110</f>
        <v>1270380</v>
      </c>
      <c r="J120" s="70">
        <f>J60+J70+J80+J90+J100+J110</f>
        <v>1494243</v>
      </c>
      <c r="K120" s="7"/>
    </row>
    <row r="121">
      <c r="A121" s="1"/>
      <c r="B121" s="18" t="s">
        <v>140</v>
      </c>
      <c r="C121" s="3">
        <f>C64+C74+C84+C94+C104+C114</f>
        <v>1</v>
      </c>
      <c r="D121" s="3">
        <f>D64+D74+D84+D94+D104+D114</f>
        <v>1</v>
      </c>
      <c r="E121" s="3">
        <f>E64+E74+E84+E94+E104+E114</f>
        <v>1</v>
      </c>
      <c r="F121" s="3">
        <f>F64+F74+F84+F94+F104+F114</f>
        <v>1.0000000000000002</v>
      </c>
      <c r="G121" s="3">
        <f>G64+G74+G84+G94+G104+G114</f>
        <v>1</v>
      </c>
      <c r="H121" s="3">
        <f>H64+H74+H84+H94+H104+H114</f>
        <v>1</v>
      </c>
      <c r="I121" s="3">
        <f>I64+I74+I84+I94+I104+I114</f>
        <v>1</v>
      </c>
      <c r="J121" s="9">
        <f>J64+J74+J84+J94+J104+J114</f>
        <v>1</v>
      </c>
      <c r="K121" s="7"/>
    </row>
    <row r="122">
      <c r="A122" s="1"/>
      <c r="B122" s="5" t="s">
        <v>141</v>
      </c>
      <c r="C122" s="12">
        <f>ROUND(C120-C20,6)</f>
        <v>0</v>
      </c>
      <c r="D122" s="12">
        <f>ROUND(D120-D20,6)</f>
        <v>0</v>
      </c>
      <c r="E122" s="12">
        <f>ROUND(E120-E20,6)</f>
        <v>0</v>
      </c>
      <c r="F122" s="12">
        <f>ROUND(F120-F20,6)</f>
        <v>0</v>
      </c>
      <c r="G122" s="12">
        <f>ROUND(G120-G20,6)</f>
        <v>0</v>
      </c>
      <c r="H122" s="12">
        <f>ROUND(H120-H20,6)</f>
        <v>0</v>
      </c>
      <c r="I122" s="12">
        <f>ROUND(I120-I20,6)</f>
        <v>0</v>
      </c>
      <c r="J122" s="8">
        <f>ROUND(J120-J20,6)</f>
        <v>0</v>
      </c>
      <c r="K122" s="112" t="s">
        <v>142</v>
      </c>
    </row>
    <row r="123">
      <c r="A123" s="1"/>
      <c r="B123" s="5"/>
      <c r="C123" s="4"/>
      <c r="D123" s="4"/>
      <c r="E123" s="4"/>
      <c r="F123" s="4"/>
      <c r="G123" s="4"/>
      <c r="H123" s="4"/>
      <c r="I123" s="4"/>
      <c r="J123" s="24"/>
      <c r="K123" s="7"/>
    </row>
    <row r="124">
      <c r="A124" s="1"/>
      <c r="B124" s="11" t="s">
        <v>143</v>
      </c>
      <c r="C124" s="22"/>
      <c r="D124" s="22"/>
      <c r="E124" s="22"/>
      <c r="F124" s="22"/>
      <c r="G124" s="22"/>
      <c r="H124" s="22"/>
      <c r="I124" s="22"/>
      <c r="J124" s="33"/>
      <c r="K124" s="7"/>
    </row>
    <row r="125">
      <c r="A125" s="1"/>
      <c r="B125" s="18" t="s">
        <v>144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0.03</v>
      </c>
      <c r="J125" s="36">
        <v>0.06</v>
      </c>
      <c r="K125" s="7" t="s">
        <v>145</v>
      </c>
    </row>
    <row r="126">
      <c r="A126" s="1"/>
      <c r="B126" s="18" t="s">
        <v>127</v>
      </c>
      <c r="C126" s="43" t="s">
        <v>38</v>
      </c>
      <c r="D126" s="43" t="s">
        <v>38</v>
      </c>
      <c r="E126" s="43" t="s">
        <v>38</v>
      </c>
      <c r="F126" s="43" t="s">
        <v>38</v>
      </c>
      <c r="G126" s="43" t="s">
        <v>38</v>
      </c>
      <c r="H126" s="43">
        <f>(H125-C125)*10000</f>
        <v>0</v>
      </c>
      <c r="I126" s="43">
        <f>(I125-D125)*10000</f>
        <v>300</v>
      </c>
      <c r="J126" s="57">
        <f>(J125-E125)*10000</f>
        <v>600</v>
      </c>
      <c r="K126" s="7"/>
    </row>
    <row r="127">
      <c r="A127" s="1"/>
      <c r="B127" s="18" t="s">
        <v>128</v>
      </c>
      <c r="C127" s="43" t="s">
        <v>38</v>
      </c>
      <c r="D127" s="43">
        <f>(D125-C125)*10000</f>
        <v>0</v>
      </c>
      <c r="E127" s="43">
        <f>(E125-D125)*10000</f>
        <v>0</v>
      </c>
      <c r="F127" s="43">
        <f>(F125-E125)*10000</f>
        <v>0</v>
      </c>
      <c r="G127" s="43" t="s">
        <v>38</v>
      </c>
      <c r="H127" s="43">
        <f>(H125-F125)*10000</f>
        <v>0</v>
      </c>
      <c r="I127" s="43">
        <f>(I125-H125)*10000</f>
        <v>300</v>
      </c>
      <c r="J127" s="57">
        <f>(J125-I125)*10000</f>
        <v>300</v>
      </c>
      <c r="K127" s="7"/>
    </row>
    <row r="128">
      <c r="A128" s="1"/>
      <c r="B128" s="18" t="s">
        <v>146</v>
      </c>
      <c r="C128" s="42">
        <v>0.22</v>
      </c>
      <c r="D128" s="42">
        <v>0.24</v>
      </c>
      <c r="E128" s="42">
        <v>0.23</v>
      </c>
      <c r="F128" s="42">
        <v>0.28</v>
      </c>
      <c r="G128" s="42">
        <v>0.24</v>
      </c>
      <c r="H128" s="42">
        <v>0.25</v>
      </c>
      <c r="I128" s="42">
        <v>0.3</v>
      </c>
      <c r="J128" s="36">
        <v>0.3</v>
      </c>
      <c r="K128" s="7"/>
    </row>
    <row r="129">
      <c r="A129" s="1"/>
      <c r="B129" s="18" t="s">
        <v>127</v>
      </c>
      <c r="C129" s="43" t="s">
        <v>38</v>
      </c>
      <c r="D129" s="43" t="s">
        <v>38</v>
      </c>
      <c r="E129" s="43" t="s">
        <v>38</v>
      </c>
      <c r="F129" s="43" t="s">
        <v>38</v>
      </c>
      <c r="G129" s="43" t="s">
        <v>38</v>
      </c>
      <c r="H129" s="43">
        <f>(H128-C128)*10000</f>
        <v>300</v>
      </c>
      <c r="I129" s="43">
        <f>(I128-D128)*10000</f>
        <v>600</v>
      </c>
      <c r="J129" s="57">
        <f>(J128-E128)*10000</f>
        <v>699.9999999999998</v>
      </c>
      <c r="K129" s="7"/>
    </row>
    <row r="130">
      <c r="A130" s="1"/>
      <c r="B130" s="18" t="s">
        <v>128</v>
      </c>
      <c r="C130" s="43" t="s">
        <v>38</v>
      </c>
      <c r="D130" s="43">
        <f>(D128-C128)*10000</f>
        <v>199.9999999999999</v>
      </c>
      <c r="E130" s="43">
        <f>(E128-D128)*10000</f>
        <v>-99.99999999999982</v>
      </c>
      <c r="F130" s="43">
        <f>(F128-E128)*10000</f>
        <v>500.00000000000017</v>
      </c>
      <c r="G130" s="43" t="s">
        <v>38</v>
      </c>
      <c r="H130" s="43">
        <f>(H128-F128)*10000</f>
        <v>-300.0000000000003</v>
      </c>
      <c r="I130" s="43">
        <f>(I128-H128)*10000</f>
        <v>499.9999999999999</v>
      </c>
      <c r="J130" s="57">
        <f>(J128-I128)*10000</f>
        <v>0</v>
      </c>
      <c r="K130" s="7"/>
    </row>
    <row r="131">
      <c r="A131" s="1"/>
      <c r="B131" s="18" t="s">
        <v>147</v>
      </c>
      <c r="C131" s="42">
        <v>0.36</v>
      </c>
      <c r="D131" s="42">
        <v>0.36</v>
      </c>
      <c r="E131" s="42">
        <v>0.37</v>
      </c>
      <c r="F131" s="42">
        <v>0.35</v>
      </c>
      <c r="G131" s="42">
        <v>0.36</v>
      </c>
      <c r="H131" s="42">
        <v>0.36</v>
      </c>
      <c r="I131" s="42">
        <v>0.33</v>
      </c>
      <c r="J131" s="36">
        <v>0.32</v>
      </c>
      <c r="K131" s="7"/>
    </row>
    <row r="132">
      <c r="A132" s="1"/>
      <c r="B132" s="18" t="s">
        <v>127</v>
      </c>
      <c r="C132" s="43" t="s">
        <v>38</v>
      </c>
      <c r="D132" s="43" t="s">
        <v>38</v>
      </c>
      <c r="E132" s="43" t="s">
        <v>38</v>
      </c>
      <c r="F132" s="43" t="s">
        <v>38</v>
      </c>
      <c r="G132" s="43" t="s">
        <v>38</v>
      </c>
      <c r="H132" s="43">
        <f>(H131-C131)*10000</f>
        <v>0</v>
      </c>
      <c r="I132" s="43">
        <f>(I131-D131)*10000</f>
        <v>-299.9999999999997</v>
      </c>
      <c r="J132" s="57">
        <f>(J131-E131)*10000</f>
        <v>-499.9999999999999</v>
      </c>
      <c r="K132" s="7"/>
    </row>
    <row r="133">
      <c r="A133" s="1"/>
      <c r="B133" s="18" t="s">
        <v>128</v>
      </c>
      <c r="C133" s="43" t="s">
        <v>38</v>
      </c>
      <c r="D133" s="43">
        <f>(D131-C131)*10000</f>
        <v>0</v>
      </c>
      <c r="E133" s="43">
        <f>(E131-D131)*10000</f>
        <v>100.00000000000009</v>
      </c>
      <c r="F133" s="43">
        <f>(F131-E131)*10000</f>
        <v>-200.00000000000017</v>
      </c>
      <c r="G133" s="43" t="s">
        <v>38</v>
      </c>
      <c r="H133" s="43">
        <f>(H131-F131)*10000</f>
        <v>100.00000000000009</v>
      </c>
      <c r="I133" s="43">
        <f>(I131-H131)*10000</f>
        <v>-299.9999999999997</v>
      </c>
      <c r="J133" s="57">
        <f>(J131-I131)*10000</f>
        <v>-100.00000000000009</v>
      </c>
      <c r="K133" s="7"/>
    </row>
    <row r="134">
      <c r="A134" s="1"/>
      <c r="B134" s="18" t="s">
        <v>148</v>
      </c>
      <c r="C134" s="42">
        <v>0.15</v>
      </c>
      <c r="D134" s="42">
        <v>0.14</v>
      </c>
      <c r="E134" s="42">
        <v>0.14</v>
      </c>
      <c r="F134" s="42">
        <v>0.14</v>
      </c>
      <c r="G134" s="42">
        <v>0.14</v>
      </c>
      <c r="H134" s="42">
        <v>0.13</v>
      </c>
      <c r="I134" s="42">
        <v>0.11</v>
      </c>
      <c r="J134" s="36">
        <v>0.1</v>
      </c>
      <c r="K134" s="7"/>
    </row>
    <row r="135">
      <c r="A135" s="1"/>
      <c r="B135" s="18" t="s">
        <v>127</v>
      </c>
      <c r="C135" s="43" t="s">
        <v>38</v>
      </c>
      <c r="D135" s="43" t="s">
        <v>38</v>
      </c>
      <c r="E135" s="43" t="s">
        <v>38</v>
      </c>
      <c r="F135" s="43" t="s">
        <v>38</v>
      </c>
      <c r="G135" s="43" t="s">
        <v>38</v>
      </c>
      <c r="H135" s="43">
        <f>(H134-C134)*10000</f>
        <v>-199.9999999999999</v>
      </c>
      <c r="I135" s="43">
        <f>(I134-D134)*10000</f>
        <v>-300.0000000000001</v>
      </c>
      <c r="J135" s="57">
        <f>(J134-E134)*10000</f>
        <v>-400.00000000000006</v>
      </c>
      <c r="K135" s="7"/>
    </row>
    <row r="136">
      <c r="A136" s="1"/>
      <c r="B136" s="18" t="s">
        <v>128</v>
      </c>
      <c r="C136" s="43" t="s">
        <v>38</v>
      </c>
      <c r="D136" s="43">
        <f>(D134-C134)*10000</f>
        <v>-99.99999999999982</v>
      </c>
      <c r="E136" s="43">
        <f>(E134-D134)*10000</f>
        <v>0</v>
      </c>
      <c r="F136" s="43">
        <f>(F134-E134)*10000</f>
        <v>0</v>
      </c>
      <c r="G136" s="43" t="s">
        <v>38</v>
      </c>
      <c r="H136" s="43">
        <f>(H134-F134)*10000</f>
        <v>-100.00000000000009</v>
      </c>
      <c r="I136" s="43">
        <f>(I134-H134)*10000</f>
        <v>-200.00000000000003</v>
      </c>
      <c r="J136" s="57">
        <f>(J134-I134)*10000</f>
        <v>-99.99999999999994</v>
      </c>
      <c r="K136" s="7"/>
    </row>
    <row r="137">
      <c r="A137" s="1"/>
      <c r="B137" s="78" t="s">
        <v>149</v>
      </c>
      <c r="C137" s="99">
        <f>C125+C128+C131+C134</f>
        <v>0.73</v>
      </c>
      <c r="D137" s="99">
        <f>D125+D128+D131+D134</f>
        <v>0.74</v>
      </c>
      <c r="E137" s="99">
        <f>E125+E128+E131+E134</f>
        <v>0.74</v>
      </c>
      <c r="F137" s="99">
        <f>F125+F128+F131+F134</f>
        <v>0.77</v>
      </c>
      <c r="G137" s="99">
        <f>G125+G128+G131+G134</f>
        <v>0.74</v>
      </c>
      <c r="H137" s="99">
        <f>H125+H128+H131+H134</f>
        <v>0.74</v>
      </c>
      <c r="I137" s="99">
        <f>I125+I128+I131+I134</f>
        <v>0.7699999999999999</v>
      </c>
      <c r="J137" s="105">
        <f>J125+J128+J131+J134</f>
        <v>0.7799999999999999</v>
      </c>
      <c r="K137" s="7" t="s">
        <v>150</v>
      </c>
    </row>
    <row r="138">
      <c r="A138" s="1"/>
      <c r="B138" s="18" t="s">
        <v>127</v>
      </c>
      <c r="C138" s="43" t="s">
        <v>38</v>
      </c>
      <c r="D138" s="43" t="s">
        <v>38</v>
      </c>
      <c r="E138" s="43" t="s">
        <v>38</v>
      </c>
      <c r="F138" s="43" t="s">
        <v>38</v>
      </c>
      <c r="G138" s="43" t="s">
        <v>38</v>
      </c>
      <c r="H138" s="43">
        <f>(H137-C137)*10000</f>
        <v>100.00000000000009</v>
      </c>
      <c r="I138" s="43">
        <f>(I137-D137)*10000</f>
        <v>299.99999999999915</v>
      </c>
      <c r="J138" s="57">
        <f>(J137-E137)*10000</f>
        <v>399.99999999999926</v>
      </c>
      <c r="K138" s="7"/>
    </row>
    <row r="139">
      <c r="A139" s="1"/>
      <c r="B139" s="18" t="s">
        <v>128</v>
      </c>
      <c r="C139" s="43" t="s">
        <v>38</v>
      </c>
      <c r="D139" s="43">
        <f>(D137-C137)*10000</f>
        <v>100.00000000000009</v>
      </c>
      <c r="E139" s="43">
        <f>(E137-D137)*10000</f>
        <v>0</v>
      </c>
      <c r="F139" s="43">
        <f>(F137-E137)*10000</f>
        <v>300.0000000000003</v>
      </c>
      <c r="G139" s="43" t="s">
        <v>38</v>
      </c>
      <c r="H139" s="43">
        <f>(H137-F137)*10000</f>
        <v>-300.0000000000003</v>
      </c>
      <c r="I139" s="43">
        <f>(I137-H137)*10000</f>
        <v>299.99999999999915</v>
      </c>
      <c r="J139" s="57">
        <f>(J137-I137)*10000</f>
        <v>100.00000000000009</v>
      </c>
      <c r="K139" s="7"/>
    </row>
    <row r="140">
      <c r="A140" s="1"/>
      <c r="B140" s="18" t="s">
        <v>151</v>
      </c>
      <c r="C140" s="42">
        <v>0.07</v>
      </c>
      <c r="D140" s="42">
        <v>0.07</v>
      </c>
      <c r="E140" s="42">
        <v>0.07</v>
      </c>
      <c r="F140" s="42">
        <v>0.06</v>
      </c>
      <c r="G140" s="42">
        <v>0.07</v>
      </c>
      <c r="H140" s="42">
        <v>0.07</v>
      </c>
      <c r="I140" s="42">
        <v>0.06</v>
      </c>
      <c r="J140" s="36">
        <v>0.06</v>
      </c>
      <c r="K140" s="7"/>
    </row>
    <row r="141">
      <c r="A141" s="1"/>
      <c r="B141" s="18" t="s">
        <v>127</v>
      </c>
      <c r="C141" s="43" t="s">
        <v>38</v>
      </c>
      <c r="D141" s="43" t="s">
        <v>38</v>
      </c>
      <c r="E141" s="43" t="s">
        <v>38</v>
      </c>
      <c r="F141" s="43" t="s">
        <v>38</v>
      </c>
      <c r="G141" s="43" t="s">
        <v>38</v>
      </c>
      <c r="H141" s="43">
        <f>(H140-C140)*10000</f>
        <v>0</v>
      </c>
      <c r="I141" s="43">
        <f>(I140-D140)*10000</f>
        <v>-100.00000000000009</v>
      </c>
      <c r="J141" s="57">
        <f>(J140-E140)*10000</f>
        <v>-100.00000000000009</v>
      </c>
      <c r="K141" s="7"/>
    </row>
    <row r="142">
      <c r="A142" s="1"/>
      <c r="B142" s="18" t="s">
        <v>128</v>
      </c>
      <c r="C142" s="43" t="s">
        <v>38</v>
      </c>
      <c r="D142" s="43">
        <f>(D140-C140)*10000</f>
        <v>0</v>
      </c>
      <c r="E142" s="43">
        <f>(E140-D140)*10000</f>
        <v>0</v>
      </c>
      <c r="F142" s="43">
        <f>(F140-E140)*10000</f>
        <v>-100.00000000000009</v>
      </c>
      <c r="G142" s="43" t="s">
        <v>38</v>
      </c>
      <c r="H142" s="43">
        <f>(H140-F140)*10000</f>
        <v>100.00000000000009</v>
      </c>
      <c r="I142" s="43">
        <f>(I140-H140)*10000</f>
        <v>-100.00000000000009</v>
      </c>
      <c r="J142" s="57">
        <f>(J140-I140)*10000</f>
        <v>0</v>
      </c>
      <c r="K142" s="7"/>
    </row>
    <row r="143">
      <c r="A143" s="1"/>
      <c r="B143" s="18" t="s">
        <v>152</v>
      </c>
      <c r="C143" s="42">
        <v>0.07</v>
      </c>
      <c r="D143" s="42">
        <v>0.07</v>
      </c>
      <c r="E143" s="42">
        <v>0.07</v>
      </c>
      <c r="F143" s="42">
        <v>0.06</v>
      </c>
      <c r="G143" s="42">
        <v>0.07</v>
      </c>
      <c r="H143" s="42">
        <v>0.07</v>
      </c>
      <c r="I143" s="42">
        <v>0.06</v>
      </c>
      <c r="J143" s="36">
        <v>0.05</v>
      </c>
      <c r="K143" s="7"/>
    </row>
    <row r="144">
      <c r="A144" s="1"/>
      <c r="B144" s="18" t="s">
        <v>127</v>
      </c>
      <c r="C144" s="43" t="s">
        <v>38</v>
      </c>
      <c r="D144" s="43" t="s">
        <v>38</v>
      </c>
      <c r="E144" s="43" t="s">
        <v>38</v>
      </c>
      <c r="F144" s="43" t="s">
        <v>38</v>
      </c>
      <c r="G144" s="43" t="s">
        <v>38</v>
      </c>
      <c r="H144" s="43">
        <f>(H143-C143)*10000</f>
        <v>0</v>
      </c>
      <c r="I144" s="43">
        <f>(I143-D143)*10000</f>
        <v>-100.00000000000009</v>
      </c>
      <c r="J144" s="57">
        <f>(J143-E143)*10000</f>
        <v>-200.00000000000003</v>
      </c>
      <c r="K144" s="7"/>
    </row>
    <row r="145">
      <c r="A145" s="1"/>
      <c r="B145" s="18" t="s">
        <v>128</v>
      </c>
      <c r="C145" s="43" t="s">
        <v>38</v>
      </c>
      <c r="D145" s="43">
        <f>(D143-C143)*10000</f>
        <v>0</v>
      </c>
      <c r="E145" s="43">
        <f>(E143-D143)*10000</f>
        <v>0</v>
      </c>
      <c r="F145" s="43">
        <f>(F143-E143)*10000</f>
        <v>-100.00000000000009</v>
      </c>
      <c r="G145" s="43" t="s">
        <v>38</v>
      </c>
      <c r="H145" s="43">
        <f>(H143-F143)*10000</f>
        <v>100.00000000000009</v>
      </c>
      <c r="I145" s="43">
        <f>(I143-H143)*10000</f>
        <v>-100.00000000000009</v>
      </c>
      <c r="J145" s="57">
        <f>(J143-I143)*10000</f>
        <v>-99.99999999999994</v>
      </c>
      <c r="K145" s="7"/>
    </row>
    <row r="146">
      <c r="A146" s="1"/>
      <c r="B146" s="18" t="s">
        <v>153</v>
      </c>
      <c r="C146" s="42">
        <v>0.03</v>
      </c>
      <c r="D146" s="42">
        <v>0.03</v>
      </c>
      <c r="E146" s="42">
        <v>0.03</v>
      </c>
      <c r="F146" s="42">
        <v>0.03</v>
      </c>
      <c r="G146" s="42">
        <v>0.03</v>
      </c>
      <c r="H146" s="42">
        <v>0.03</v>
      </c>
      <c r="I146" s="42">
        <v>0.02</v>
      </c>
      <c r="J146" s="36">
        <v>0.02</v>
      </c>
      <c r="K146" s="7"/>
    </row>
    <row r="147">
      <c r="A147" s="1"/>
      <c r="B147" s="18" t="s">
        <v>127</v>
      </c>
      <c r="C147" s="43" t="s">
        <v>38</v>
      </c>
      <c r="D147" s="43" t="s">
        <v>38</v>
      </c>
      <c r="E147" s="43" t="s">
        <v>38</v>
      </c>
      <c r="F147" s="43" t="s">
        <v>38</v>
      </c>
      <c r="G147" s="43" t="s">
        <v>38</v>
      </c>
      <c r="H147" s="43">
        <f>(H146-C146)*10000</f>
        <v>0</v>
      </c>
      <c r="I147" s="43">
        <f>(I146-D146)*10000</f>
        <v>-99.99999999999999</v>
      </c>
      <c r="J147" s="57">
        <f>(J146-E146)*10000</f>
        <v>-99.99999999999999</v>
      </c>
      <c r="K147" s="7"/>
    </row>
    <row r="148">
      <c r="A148" s="1"/>
      <c r="B148" s="18" t="s">
        <v>128</v>
      </c>
      <c r="C148" s="43" t="s">
        <v>38</v>
      </c>
      <c r="D148" s="43">
        <f>(D146-C146)*10000</f>
        <v>0</v>
      </c>
      <c r="E148" s="43">
        <f>(E146-D146)*10000</f>
        <v>0</v>
      </c>
      <c r="F148" s="43">
        <f>(F146-E146)*10000</f>
        <v>0</v>
      </c>
      <c r="G148" s="43" t="s">
        <v>38</v>
      </c>
      <c r="H148" s="43">
        <f>(H146-F146)*10000</f>
        <v>0</v>
      </c>
      <c r="I148" s="43">
        <f>(I146-H146)*10000</f>
        <v>-99.99999999999999</v>
      </c>
      <c r="J148" s="57">
        <f>(J146-I146)*10000</f>
        <v>0</v>
      </c>
      <c r="K148" s="7"/>
    </row>
    <row r="149">
      <c r="A149" s="1"/>
      <c r="B149" s="18" t="s">
        <v>154</v>
      </c>
      <c r="C149" s="42">
        <v>0.04</v>
      </c>
      <c r="D149" s="42">
        <v>0.03</v>
      </c>
      <c r="E149" s="42">
        <v>0.04</v>
      </c>
      <c r="F149" s="42">
        <v>0.04</v>
      </c>
      <c r="G149" s="42">
        <v>0.04</v>
      </c>
      <c r="H149" s="42">
        <v>0.04</v>
      </c>
      <c r="I149" s="42">
        <v>0.04</v>
      </c>
      <c r="J149" s="36">
        <v>0.04</v>
      </c>
      <c r="K149" s="7"/>
    </row>
    <row r="150">
      <c r="A150" s="1"/>
      <c r="B150" s="18" t="s">
        <v>127</v>
      </c>
      <c r="C150" s="43" t="s">
        <v>38</v>
      </c>
      <c r="D150" s="43" t="s">
        <v>38</v>
      </c>
      <c r="E150" s="43" t="s">
        <v>38</v>
      </c>
      <c r="F150" s="43" t="s">
        <v>38</v>
      </c>
      <c r="G150" s="43" t="s">
        <v>38</v>
      </c>
      <c r="H150" s="43">
        <f>(H149-C149)*10000</f>
        <v>0</v>
      </c>
      <c r="I150" s="43">
        <f>(I149-D149)*10000</f>
        <v>100.00000000000001</v>
      </c>
      <c r="J150" s="57">
        <f>(J149-E149)*10000</f>
        <v>0</v>
      </c>
      <c r="K150" s="7"/>
    </row>
    <row r="151">
      <c r="A151" s="1"/>
      <c r="B151" s="18" t="s">
        <v>128</v>
      </c>
      <c r="C151" s="43" t="s">
        <v>38</v>
      </c>
      <c r="D151" s="43">
        <f>(D149-C149)*10000</f>
        <v>-100.00000000000001</v>
      </c>
      <c r="E151" s="43">
        <f>(E149-D149)*10000</f>
        <v>100.00000000000001</v>
      </c>
      <c r="F151" s="43">
        <f>(F149-E149)*10000</f>
        <v>0</v>
      </c>
      <c r="G151" s="43" t="s">
        <v>38</v>
      </c>
      <c r="H151" s="43">
        <f>(H149-F149)*10000</f>
        <v>0</v>
      </c>
      <c r="I151" s="43">
        <f>(I149-H149)*10000</f>
        <v>0</v>
      </c>
      <c r="J151" s="57">
        <f>(J149-I149)*10000</f>
        <v>0</v>
      </c>
      <c r="K151" s="7"/>
    </row>
    <row r="152">
      <c r="A152" s="1"/>
      <c r="B152" s="18" t="s">
        <v>155</v>
      </c>
      <c r="C152" s="42">
        <v>0.01</v>
      </c>
      <c r="D152" s="42">
        <v>0.01</v>
      </c>
      <c r="E152" s="42">
        <v>0.01</v>
      </c>
      <c r="F152" s="42">
        <v>0.01</v>
      </c>
      <c r="G152" s="42">
        <v>0.01</v>
      </c>
      <c r="H152" s="42">
        <v>0.01</v>
      </c>
      <c r="I152" s="3" t="s">
        <v>38</v>
      </c>
      <c r="J152" s="9" t="s">
        <v>38</v>
      </c>
      <c r="K152" s="7" t="s">
        <v>156</v>
      </c>
    </row>
    <row r="153">
      <c r="A153" s="1"/>
      <c r="B153" s="18" t="s">
        <v>157</v>
      </c>
      <c r="C153" s="42">
        <v>0.02</v>
      </c>
      <c r="D153" s="42">
        <v>0.02</v>
      </c>
      <c r="E153" s="42">
        <v>0.01</v>
      </c>
      <c r="F153" s="42">
        <v>0.01</v>
      </c>
      <c r="G153" s="42">
        <v>0.01</v>
      </c>
      <c r="H153" s="42">
        <v>0.01</v>
      </c>
      <c r="I153" s="3" t="s">
        <v>38</v>
      </c>
      <c r="J153" s="9" t="s">
        <v>38</v>
      </c>
      <c r="K153" s="7"/>
    </row>
    <row r="154">
      <c r="A154" s="1"/>
      <c r="B154" s="78" t="s">
        <v>158</v>
      </c>
      <c r="C154" s="99">
        <f>C152+C153</f>
        <v>0.03</v>
      </c>
      <c r="D154" s="99">
        <f>D152+D153</f>
        <v>0.03</v>
      </c>
      <c r="E154" s="99">
        <f>E152+E153</f>
        <v>0.02</v>
      </c>
      <c r="F154" s="99">
        <f>F152+F153</f>
        <v>0.02</v>
      </c>
      <c r="G154" s="99">
        <f>G152+G153</f>
        <v>0.02</v>
      </c>
      <c r="H154" s="99">
        <f>H152+H153</f>
        <v>0.02</v>
      </c>
      <c r="I154" s="104">
        <v>0.02</v>
      </c>
      <c r="J154" s="103">
        <v>0.02</v>
      </c>
      <c r="K154" s="7"/>
    </row>
    <row r="155">
      <c r="A155" s="1"/>
      <c r="B155" s="18" t="s">
        <v>127</v>
      </c>
      <c r="C155" s="43" t="s">
        <v>38</v>
      </c>
      <c r="D155" s="43" t="s">
        <v>38</v>
      </c>
      <c r="E155" s="43" t="s">
        <v>38</v>
      </c>
      <c r="F155" s="43" t="s">
        <v>38</v>
      </c>
      <c r="G155" s="43" t="s">
        <v>38</v>
      </c>
      <c r="H155" s="43">
        <f>(H154-C154)*10000</f>
        <v>-99.99999999999999</v>
      </c>
      <c r="I155" s="43">
        <f>(I154-D154)*10000</f>
        <v>-99.99999999999999</v>
      </c>
      <c r="J155" s="57">
        <f>(J154-E154)*10000</f>
        <v>0</v>
      </c>
      <c r="K155" s="7"/>
    </row>
    <row r="156">
      <c r="A156" s="1"/>
      <c r="B156" s="18" t="s">
        <v>128</v>
      </c>
      <c r="C156" s="43" t="s">
        <v>38</v>
      </c>
      <c r="D156" s="43">
        <f>(D154-C154)*10000</f>
        <v>0</v>
      </c>
      <c r="E156" s="43">
        <f>(E154-D154)*10000</f>
        <v>-99.99999999999999</v>
      </c>
      <c r="F156" s="43">
        <f>(F154-E154)*10000</f>
        <v>0</v>
      </c>
      <c r="G156" s="43" t="s">
        <v>38</v>
      </c>
      <c r="H156" s="43">
        <f>(H154-F154)*10000</f>
        <v>0</v>
      </c>
      <c r="I156" s="43">
        <f>(I154-H154)*10000</f>
        <v>0</v>
      </c>
      <c r="J156" s="57">
        <f>(J154-I154)*10000</f>
        <v>0</v>
      </c>
      <c r="K156" s="7"/>
    </row>
    <row r="157">
      <c r="A157" s="1"/>
      <c r="B157" s="18" t="s">
        <v>159</v>
      </c>
      <c r="C157" s="42">
        <v>0.03</v>
      </c>
      <c r="D157" s="42">
        <v>0.03</v>
      </c>
      <c r="E157" s="42">
        <v>0.03</v>
      </c>
      <c r="F157" s="42">
        <v>0.02</v>
      </c>
      <c r="G157" s="42">
        <v>0.03</v>
      </c>
      <c r="H157" s="42">
        <v>0.02</v>
      </c>
      <c r="I157" s="3" t="s">
        <v>38</v>
      </c>
      <c r="J157" s="9" t="s">
        <v>38</v>
      </c>
      <c r="K157" s="7" t="s">
        <v>160</v>
      </c>
    </row>
    <row r="158">
      <c r="A158" s="1"/>
      <c r="B158" s="18" t="s">
        <v>161</v>
      </c>
      <c r="C158" s="42">
        <v>0</v>
      </c>
      <c r="D158" s="42">
        <v>0</v>
      </c>
      <c r="E158" s="42">
        <v>0</v>
      </c>
      <c r="F158" s="42">
        <v>0</v>
      </c>
      <c r="G158" s="42">
        <v>0</v>
      </c>
      <c r="H158" s="42">
        <v>0.01</v>
      </c>
      <c r="I158" s="3" t="s">
        <v>38</v>
      </c>
      <c r="J158" s="9" t="s">
        <v>38</v>
      </c>
      <c r="K158" s="7"/>
    </row>
    <row r="159">
      <c r="A159" s="1"/>
      <c r="B159" s="78" t="s">
        <v>162</v>
      </c>
      <c r="C159" s="99">
        <f>C157+C158</f>
        <v>0.03</v>
      </c>
      <c r="D159" s="99">
        <f>D157+D158</f>
        <v>0.03</v>
      </c>
      <c r="E159" s="99">
        <f>E157+E158</f>
        <v>0.03</v>
      </c>
      <c r="F159" s="99">
        <f>F157+F158</f>
        <v>0.02</v>
      </c>
      <c r="G159" s="99">
        <f>G157+G158</f>
        <v>0.03</v>
      </c>
      <c r="H159" s="99">
        <f>H157+H158</f>
        <v>0.03</v>
      </c>
      <c r="I159" s="104">
        <v>0.03</v>
      </c>
      <c r="J159" s="103">
        <v>0.03</v>
      </c>
      <c r="K159" s="7"/>
    </row>
    <row r="160">
      <c r="A160" s="1"/>
      <c r="B160" s="18" t="s">
        <v>127</v>
      </c>
      <c r="C160" s="43" t="s">
        <v>38</v>
      </c>
      <c r="D160" s="43" t="s">
        <v>38</v>
      </c>
      <c r="E160" s="43" t="s">
        <v>38</v>
      </c>
      <c r="F160" s="43" t="s">
        <v>38</v>
      </c>
      <c r="G160" s="43" t="s">
        <v>38</v>
      </c>
      <c r="H160" s="43">
        <f>(H159-C159)*10000</f>
        <v>0</v>
      </c>
      <c r="I160" s="43">
        <f>(I159-D159)*10000</f>
        <v>0</v>
      </c>
      <c r="J160" s="57">
        <f>(J159-E159)*10000</f>
        <v>0</v>
      </c>
      <c r="K160" s="7"/>
    </row>
    <row r="161">
      <c r="A161" s="1"/>
      <c r="B161" s="18" t="s">
        <v>128</v>
      </c>
      <c r="C161" s="43" t="s">
        <v>38</v>
      </c>
      <c r="D161" s="43">
        <f>(D159-C159)*10000</f>
        <v>0</v>
      </c>
      <c r="E161" s="43">
        <f>(E159-D159)*10000</f>
        <v>0</v>
      </c>
      <c r="F161" s="43">
        <f>(F159-E159)*10000</f>
        <v>-99.99999999999999</v>
      </c>
      <c r="G161" s="43" t="s">
        <v>38</v>
      </c>
      <c r="H161" s="43">
        <f>(H159-F159)*10000</f>
        <v>99.99999999999999</v>
      </c>
      <c r="I161" s="43">
        <f>(I159-H159)*10000</f>
        <v>0</v>
      </c>
      <c r="J161" s="57">
        <f>(J159-I159)*10000</f>
        <v>0</v>
      </c>
      <c r="K161" s="7"/>
    </row>
    <row r="162">
      <c r="A162" s="1"/>
      <c r="B162" s="78" t="s">
        <v>163</v>
      </c>
      <c r="C162" s="99">
        <f>C140+C143+C146+C149+C154+C159</f>
        <v>0.27</v>
      </c>
      <c r="D162" s="99">
        <f>D140+D143+D146+D149+D154+D159</f>
        <v>0.26</v>
      </c>
      <c r="E162" s="99">
        <f>E140+E143+E146+E149+E154+E159</f>
        <v>0.26</v>
      </c>
      <c r="F162" s="99">
        <f>F140+F143+F146+F149+F154+F159</f>
        <v>0.22999999999999998</v>
      </c>
      <c r="G162" s="99">
        <f>G140+G143+G146+G149+G154+G159</f>
        <v>0.26</v>
      </c>
      <c r="H162" s="99">
        <f>H140+H143+H146+H149+H154+H159</f>
        <v>0.26</v>
      </c>
      <c r="I162" s="99">
        <f>I140+I143+I146+I149+I154+I159</f>
        <v>0.22999999999999998</v>
      </c>
      <c r="J162" s="105">
        <f>J140+J143+J146+J149+J154+J159</f>
        <v>0.22</v>
      </c>
      <c r="K162" s="7"/>
    </row>
    <row r="163">
      <c r="A163" s="1"/>
      <c r="B163" s="18" t="s">
        <v>127</v>
      </c>
      <c r="C163" s="43" t="s">
        <v>38</v>
      </c>
      <c r="D163" s="43" t="s">
        <v>38</v>
      </c>
      <c r="E163" s="43" t="s">
        <v>38</v>
      </c>
      <c r="F163" s="43" t="s">
        <v>38</v>
      </c>
      <c r="G163" s="43" t="s">
        <v>38</v>
      </c>
      <c r="H163" s="43">
        <f>(H162-C162)*10000</f>
        <v>-100.00000000000009</v>
      </c>
      <c r="I163" s="43">
        <f>(I162-D162)*10000</f>
        <v>-300.0000000000003</v>
      </c>
      <c r="J163" s="57">
        <f>(J162-E162)*10000</f>
        <v>-400.00000000000006</v>
      </c>
      <c r="K163" s="7"/>
    </row>
    <row r="164">
      <c r="A164" s="1"/>
      <c r="B164" s="18" t="s">
        <v>128</v>
      </c>
      <c r="C164" s="43" t="s">
        <v>38</v>
      </c>
      <c r="D164" s="43">
        <f>(D162-C162)*10000</f>
        <v>-100.00000000000009</v>
      </c>
      <c r="E164" s="43">
        <f>(E162-D162)*10000</f>
        <v>0</v>
      </c>
      <c r="F164" s="43">
        <f>(F162-E162)*10000</f>
        <v>-300.0000000000003</v>
      </c>
      <c r="G164" s="43" t="s">
        <v>38</v>
      </c>
      <c r="H164" s="43">
        <f>(H162-F162)*10000</f>
        <v>300.0000000000003</v>
      </c>
      <c r="I164" s="43">
        <f>(I162-H162)*10000</f>
        <v>-300.0000000000003</v>
      </c>
      <c r="J164" s="57">
        <f>(J162-I162)*10000</f>
        <v>-99.99999999999982</v>
      </c>
      <c r="K164" s="7"/>
    </row>
    <row r="165">
      <c r="A165" s="1"/>
      <c r="B165" s="78" t="s">
        <v>164</v>
      </c>
      <c r="C165" s="99">
        <f>C137+C162</f>
        <v>1</v>
      </c>
      <c r="D165" s="99">
        <f>D137+D162</f>
        <v>1</v>
      </c>
      <c r="E165" s="99">
        <f>E137+E162</f>
        <v>1</v>
      </c>
      <c r="F165" s="99">
        <f>F137+F162</f>
        <v>1</v>
      </c>
      <c r="G165" s="99">
        <f>G137+G162</f>
        <v>1</v>
      </c>
      <c r="H165" s="99">
        <f>H137+H162</f>
        <v>1</v>
      </c>
      <c r="I165" s="99">
        <f>I137+I162</f>
        <v>0.9999999999999999</v>
      </c>
      <c r="J165" s="105">
        <f>J137+J162</f>
        <v>0.9999999999999999</v>
      </c>
      <c r="K165" s="7"/>
    </row>
    <row r="166">
      <c r="A166" s="1"/>
      <c r="B166" s="5" t="s">
        <v>165</v>
      </c>
      <c r="C166" s="4" t="b">
        <f>ROUND(C165,6)=1</f>
        <v>1</v>
      </c>
      <c r="D166" s="4" t="b">
        <f>ROUND(D165,6)=1</f>
        <v>1</v>
      </c>
      <c r="E166" s="4" t="b">
        <f>ROUND(E165,6)=1</f>
        <v>1</v>
      </c>
      <c r="F166" s="4" t="b">
        <f>ROUND(F165,6)=1</f>
        <v>1</v>
      </c>
      <c r="G166" s="4" t="b">
        <f>ROUND(G165,6)=1</f>
        <v>1</v>
      </c>
      <c r="H166" s="4" t="b">
        <f>ROUND(H165,6)=1</f>
        <v>1</v>
      </c>
      <c r="I166" s="4" t="b">
        <f>ROUND(I165,6)=1</f>
        <v>1</v>
      </c>
      <c r="J166" s="24" t="b">
        <f>ROUND(J165,6)=1</f>
        <v>1</v>
      </c>
      <c r="K166" s="7"/>
    </row>
    <row r="167">
      <c r="A167" s="1"/>
      <c r="B167" s="5" t="s">
        <v>166</v>
      </c>
      <c r="C167" s="4" t="s">
        <v>112</v>
      </c>
      <c r="D167" s="4" t="s">
        <v>112</v>
      </c>
      <c r="E167" s="4" t="s">
        <v>112</v>
      </c>
      <c r="F167" s="4" t="s">
        <v>112</v>
      </c>
      <c r="G167" s="4" t="s">
        <v>112</v>
      </c>
      <c r="H167" s="4" t="s">
        <v>112</v>
      </c>
      <c r="I167" s="4" t="s">
        <v>112</v>
      </c>
      <c r="J167" s="24" t="s">
        <v>112</v>
      </c>
      <c r="K167" s="7" t="s">
        <v>167</v>
      </c>
    </row>
    <row r="168">
      <c r="A168" s="1"/>
      <c r="B168" s="5"/>
      <c r="C168" s="4"/>
      <c r="D168" s="4"/>
      <c r="E168" s="4"/>
      <c r="F168" s="4"/>
      <c r="G168" s="4"/>
      <c r="H168" s="4"/>
      <c r="I168" s="4"/>
      <c r="J168" s="24"/>
      <c r="K168" s="7"/>
    </row>
    <row r="169">
      <c r="A169" s="1"/>
      <c r="B169" s="11" t="s">
        <v>168</v>
      </c>
      <c r="C169" s="22"/>
      <c r="D169" s="22"/>
      <c r="E169" s="22"/>
      <c r="F169" s="22"/>
      <c r="G169" s="22"/>
      <c r="H169" s="22"/>
      <c r="I169" s="22"/>
      <c r="J169" s="33"/>
      <c r="K169" s="7"/>
    </row>
    <row r="170">
      <c r="A170" s="1"/>
      <c r="B170" s="5" t="s">
        <v>169</v>
      </c>
      <c r="C170" s="4"/>
      <c r="D170" s="4"/>
      <c r="E170" s="4"/>
      <c r="F170" s="4"/>
      <c r="G170" s="4"/>
      <c r="H170" s="4"/>
      <c r="I170" s="4"/>
      <c r="J170" s="24"/>
      <c r="K170" s="7"/>
    </row>
    <row r="171">
      <c r="A171" s="1"/>
      <c r="B171" s="5" t="s">
        <v>170</v>
      </c>
      <c r="C171" s="4"/>
      <c r="D171" s="4"/>
      <c r="E171" s="4"/>
      <c r="F171" s="4"/>
      <c r="G171" s="4"/>
      <c r="H171" s="4"/>
      <c r="I171" s="4"/>
      <c r="J171" s="24"/>
      <c r="K171" s="7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171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36</v>
      </c>
      <c r="C9" s="47">
        <f>'Revenue summary'!C20</f>
        <v>839254</v>
      </c>
      <c r="D9" s="47">
        <f>'Revenue summary'!D20</f>
        <v>933792</v>
      </c>
      <c r="E9" s="47">
        <f>'Revenue summary'!E20</f>
        <v>989918</v>
      </c>
      <c r="F9" s="47">
        <f>'Revenue summary'!F20</f>
        <v>1046090</v>
      </c>
      <c r="G9" s="47">
        <f>'Revenue summary'!G20</f>
        <v>3809054</v>
      </c>
      <c r="H9" s="47">
        <f>'Revenue summary'!H20</f>
        <v>1134103</v>
      </c>
      <c r="I9" s="47">
        <f>'Revenue summary'!I20</f>
        <v>1270380</v>
      </c>
      <c r="J9" s="74">
        <f>'Revenue summary'!J20</f>
        <v>1494243</v>
      </c>
      <c r="K9" s="7"/>
    </row>
    <row r="10">
      <c r="A10" s="1"/>
      <c r="B10" s="18" t="s">
        <v>97</v>
      </c>
      <c r="C10" s="3" t="s">
        <v>38</v>
      </c>
      <c r="D10" s="3" t="s">
        <v>38</v>
      </c>
      <c r="E10" s="3" t="s">
        <v>38</v>
      </c>
      <c r="F10" s="3" t="s">
        <v>38</v>
      </c>
      <c r="G10" s="3" t="s">
        <v>38</v>
      </c>
      <c r="H10" s="3">
        <f>H9/C9-1</f>
        <v>0.35132272232244355</v>
      </c>
      <c r="I10" s="3">
        <f>I9/D9-1</f>
        <v>0.36045286316438774</v>
      </c>
      <c r="J10" s="9">
        <f>J9/E9-1</f>
        <v>0.5094613897312708</v>
      </c>
      <c r="K10" s="7"/>
    </row>
    <row r="11">
      <c r="A11" s="1"/>
      <c r="B11" s="18" t="s">
        <v>98</v>
      </c>
      <c r="C11" s="3" t="s">
        <v>38</v>
      </c>
      <c r="D11" s="3">
        <f>D9/C9-1</f>
        <v>0.11264527783007283</v>
      </c>
      <c r="E11" s="3">
        <f>E9/D9-1</f>
        <v>0.060105462458448944</v>
      </c>
      <c r="F11" s="3">
        <f>F9/E9-1</f>
        <v>0.056744093955256814</v>
      </c>
      <c r="G11" s="3" t="s">
        <v>38</v>
      </c>
      <c r="H11" s="3">
        <f>H9/F9-1</f>
        <v>0.08413520825167997</v>
      </c>
      <c r="I11" s="3">
        <f>I9/H9-1</f>
        <v>0.12016280708189653</v>
      </c>
      <c r="J11" s="9">
        <f>J9/I9-1</f>
        <v>0.17621735228829172</v>
      </c>
      <c r="K11" s="7"/>
    </row>
    <row r="12">
      <c r="A12" s="1"/>
      <c r="B12" s="18" t="s">
        <v>172</v>
      </c>
      <c r="C12" s="3"/>
      <c r="D12" s="3"/>
      <c r="E12" s="3"/>
      <c r="F12" s="3"/>
      <c r="G12" s="3"/>
      <c r="H12" s="3"/>
      <c r="I12" s="3"/>
      <c r="J12" s="36">
        <v>0.672</v>
      </c>
      <c r="K12" s="7" t="s">
        <v>173</v>
      </c>
    </row>
    <row r="13">
      <c r="A13" s="1"/>
      <c r="B13" s="5" t="s">
        <v>174</v>
      </c>
      <c r="C13" s="46">
        <v>-345850</v>
      </c>
      <c r="D13" s="46">
        <v>-386420</v>
      </c>
      <c r="E13" s="46">
        <v>-401380</v>
      </c>
      <c r="F13" s="46">
        <v>-394100</v>
      </c>
      <c r="G13" s="12">
        <f>SUM(C13:F13)</f>
        <v>-1527750</v>
      </c>
      <c r="H13" s="46">
        <v>-382800</v>
      </c>
      <c r="I13" s="46">
        <v>-410070</v>
      </c>
      <c r="J13" s="8">
        <f>-J9*(1-J12)</f>
        <v>-490111.7039999999</v>
      </c>
      <c r="K13" s="7"/>
    </row>
    <row r="14">
      <c r="A14" s="1"/>
      <c r="B14" s="18" t="s">
        <v>97</v>
      </c>
      <c r="C14" s="3" t="s">
        <v>38</v>
      </c>
      <c r="D14" s="3" t="s">
        <v>38</v>
      </c>
      <c r="E14" s="3" t="s">
        <v>38</v>
      </c>
      <c r="F14" s="3" t="s">
        <v>38</v>
      </c>
      <c r="G14" s="3" t="s">
        <v>38</v>
      </c>
      <c r="H14" s="3">
        <f>H13/C13-1</f>
        <v>0.10683822466387172</v>
      </c>
      <c r="I14" s="3">
        <f>I13/D13-1</f>
        <v>0.06120283629211731</v>
      </c>
      <c r="J14" s="9">
        <f>J13/E13-1</f>
        <v>0.22106658029797188</v>
      </c>
      <c r="K14" s="7"/>
    </row>
    <row r="15">
      <c r="A15" s="1"/>
      <c r="B15" s="5" t="s">
        <v>99</v>
      </c>
      <c r="C15" s="12" t="s">
        <v>38</v>
      </c>
      <c r="D15" s="12">
        <f>D13-C13</f>
        <v>-40570</v>
      </c>
      <c r="E15" s="12">
        <f>E13-D13</f>
        <v>-14960</v>
      </c>
      <c r="F15" s="12">
        <f>F13-E13</f>
        <v>7280</v>
      </c>
      <c r="G15" s="12" t="s">
        <v>38</v>
      </c>
      <c r="H15" s="12">
        <f>H13-F13</f>
        <v>11300</v>
      </c>
      <c r="I15" s="12">
        <f>I13-H13</f>
        <v>-27270</v>
      </c>
      <c r="J15" s="8">
        <f>J13-I13</f>
        <v>-80041.70399999991</v>
      </c>
      <c r="K15" s="7"/>
    </row>
    <row r="16">
      <c r="A16" s="1"/>
      <c r="B16" s="11" t="s">
        <v>175</v>
      </c>
      <c r="C16" s="14">
        <f>C9+C13</f>
        <v>493404</v>
      </c>
      <c r="D16" s="14">
        <f>D9+D13</f>
        <v>547372</v>
      </c>
      <c r="E16" s="14">
        <f>E9+E13</f>
        <v>588538</v>
      </c>
      <c r="F16" s="14">
        <f>F9+F13</f>
        <v>651990</v>
      </c>
      <c r="G16" s="14">
        <f>G9+G13</f>
        <v>2281304</v>
      </c>
      <c r="H16" s="14">
        <f>H9+H13</f>
        <v>751303</v>
      </c>
      <c r="I16" s="14">
        <f>I9+I13</f>
        <v>860310</v>
      </c>
      <c r="J16" s="70">
        <f>J9+J13</f>
        <v>1004131.2960000001</v>
      </c>
      <c r="K16" s="7"/>
    </row>
    <row r="17">
      <c r="A17" s="1"/>
      <c r="B17" s="18" t="s">
        <v>97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>
        <f>H16/C16-1</f>
        <v>0.5226933709495667</v>
      </c>
      <c r="I17" s="3">
        <f>I16/D16-1</f>
        <v>0.5717099157428587</v>
      </c>
      <c r="J17" s="9">
        <f>J16/E16-1</f>
        <v>0.7061452208693408</v>
      </c>
      <c r="K17" s="7"/>
    </row>
    <row r="18">
      <c r="A18" s="1"/>
      <c r="B18" s="18" t="s">
        <v>98</v>
      </c>
      <c r="C18" s="3" t="s">
        <v>38</v>
      </c>
      <c r="D18" s="3">
        <f>D16/C16-1</f>
        <v>0.10937892680237704</v>
      </c>
      <c r="E18" s="3">
        <f>E16/D16-1</f>
        <v>0.07520662364899922</v>
      </c>
      <c r="F18" s="3">
        <f>F16/E16-1</f>
        <v>0.10781291947163996</v>
      </c>
      <c r="G18" s="3" t="s">
        <v>38</v>
      </c>
      <c r="H18" s="3">
        <f>H16/F16-1</f>
        <v>0.15232288838785868</v>
      </c>
      <c r="I18" s="3">
        <f>I16/H16-1</f>
        <v>0.14509059593799045</v>
      </c>
      <c r="J18" s="9">
        <f>J16/I16-1</f>
        <v>0.1671738047912963</v>
      </c>
      <c r="K18" s="7"/>
    </row>
    <row r="19">
      <c r="A19" s="1"/>
      <c r="B19" s="18" t="s">
        <v>176</v>
      </c>
      <c r="C19" s="3">
        <f>C16/C9</f>
        <v>0.5879078324321362</v>
      </c>
      <c r="D19" s="3">
        <f>D16/D9</f>
        <v>0.5861819334498475</v>
      </c>
      <c r="E19" s="3">
        <f>E16/E9</f>
        <v>0.5945320723534676</v>
      </c>
      <c r="F19" s="3">
        <f>F16/F9</f>
        <v>0.6232637727155407</v>
      </c>
      <c r="G19" s="3">
        <f>G16/G9</f>
        <v>0.5989161613355967</v>
      </c>
      <c r="H19" s="3">
        <f>H16/H9</f>
        <v>0.6624645204183395</v>
      </c>
      <c r="I19" s="3">
        <f>I16/I9</f>
        <v>0.6772068200066121</v>
      </c>
      <c r="J19" s="9">
        <f>J16/J9</f>
        <v>0.672</v>
      </c>
      <c r="K19" s="7"/>
    </row>
    <row r="20">
      <c r="A20" s="1"/>
      <c r="B20" s="18" t="s">
        <v>127</v>
      </c>
      <c r="C20" s="43" t="s">
        <v>38</v>
      </c>
      <c r="D20" s="43" t="s">
        <v>38</v>
      </c>
      <c r="E20" s="43" t="s">
        <v>38</v>
      </c>
      <c r="F20" s="43" t="s">
        <v>38</v>
      </c>
      <c r="G20" s="43" t="s">
        <v>38</v>
      </c>
      <c r="H20" s="43">
        <f>(H19-C19)*10000</f>
        <v>745.5668798620329</v>
      </c>
      <c r="I20" s="43">
        <f>(I19-D19)*10000</f>
        <v>910.2488655676466</v>
      </c>
      <c r="J20" s="57">
        <f>(J19-E19)*10000</f>
        <v>774.6792764653243</v>
      </c>
      <c r="K20" s="7"/>
    </row>
    <row r="21">
      <c r="A21" s="1"/>
      <c r="B21" s="18" t="s">
        <v>128</v>
      </c>
      <c r="C21" s="43" t="s">
        <v>38</v>
      </c>
      <c r="D21" s="43">
        <f>(D19-C19)*10000</f>
        <v>-17.25898982288698</v>
      </c>
      <c r="E21" s="43">
        <f>(E19-D19)*10000</f>
        <v>83.5013890362013</v>
      </c>
      <c r="F21" s="43">
        <f>(F19-E19)*10000</f>
        <v>287.31700362073065</v>
      </c>
      <c r="G21" s="43" t="s">
        <v>38</v>
      </c>
      <c r="H21" s="43">
        <f>(H19-F19)*10000</f>
        <v>392.007477027988</v>
      </c>
      <c r="I21" s="43">
        <f>(I19-H19)*10000</f>
        <v>147.42299588272667</v>
      </c>
      <c r="J21" s="57">
        <f>(J19-I19)*10000</f>
        <v>-52.06820006612101</v>
      </c>
      <c r="K21" s="7"/>
    </row>
    <row r="22">
      <c r="A22" s="1"/>
      <c r="B22" s="5" t="s">
        <v>177</v>
      </c>
      <c r="C22" s="46">
        <v>-56550</v>
      </c>
      <c r="D22" s="46">
        <v>-61280</v>
      </c>
      <c r="E22" s="46">
        <v>-63740</v>
      </c>
      <c r="F22" s="46">
        <v>-64860</v>
      </c>
      <c r="G22" s="12">
        <f>SUM(C22:F22)</f>
        <v>-246430</v>
      </c>
      <c r="H22" s="46">
        <v>-67760</v>
      </c>
      <c r="I22" s="46">
        <v>-73140</v>
      </c>
      <c r="J22" s="8">
        <f>I22*(1+J23)</f>
        <v>-77528.40000000001</v>
      </c>
      <c r="K22" s="7"/>
    </row>
    <row r="23">
      <c r="A23" s="1"/>
      <c r="B23" s="18" t="s">
        <v>178</v>
      </c>
      <c r="C23" s="3" t="s">
        <v>38</v>
      </c>
      <c r="D23" s="3">
        <f>D22/C22-1</f>
        <v>0.08364279398762164</v>
      </c>
      <c r="E23" s="3">
        <f>E22/D22-1</f>
        <v>0.040143603133159234</v>
      </c>
      <c r="F23" s="3">
        <f>F22/E22-1</f>
        <v>0.017571383746469937</v>
      </c>
      <c r="G23" s="3" t="s">
        <v>38</v>
      </c>
      <c r="H23" s="3">
        <f>H22/F22-1</f>
        <v>0.044711686709836496</v>
      </c>
      <c r="I23" s="3">
        <f>I22/H22-1</f>
        <v>0.07939787485242022</v>
      </c>
      <c r="J23" s="36">
        <v>0.06</v>
      </c>
      <c r="K23" s="7" t="s">
        <v>179</v>
      </c>
    </row>
    <row r="24">
      <c r="A24" s="1"/>
      <c r="B24" s="18" t="s">
        <v>97</v>
      </c>
      <c r="C24" s="3" t="s">
        <v>38</v>
      </c>
      <c r="D24" s="3" t="s">
        <v>38</v>
      </c>
      <c r="E24" s="3" t="s">
        <v>38</v>
      </c>
      <c r="F24" s="3" t="s">
        <v>38</v>
      </c>
      <c r="G24" s="3" t="s">
        <v>38</v>
      </c>
      <c r="H24" s="3">
        <f>H22/C22-1</f>
        <v>0.19823165340406712</v>
      </c>
      <c r="I24" s="3">
        <f>I22/D22-1</f>
        <v>0.19353785900783294</v>
      </c>
      <c r="J24" s="9">
        <f>J22/E22-1</f>
        <v>0.21632256040163167</v>
      </c>
      <c r="K24" s="7"/>
    </row>
    <row r="25">
      <c r="A25" s="1"/>
      <c r="B25" s="5" t="s">
        <v>99</v>
      </c>
      <c r="C25" s="12" t="s">
        <v>38</v>
      </c>
      <c r="D25" s="12">
        <f>D22-C22</f>
        <v>-4730</v>
      </c>
      <c r="E25" s="12">
        <f>E22-D22</f>
        <v>-2460</v>
      </c>
      <c r="F25" s="12">
        <f>F22-E22</f>
        <v>-1120</v>
      </c>
      <c r="G25" s="12" t="s">
        <v>38</v>
      </c>
      <c r="H25" s="12">
        <f>H22-F22</f>
        <v>-2900</v>
      </c>
      <c r="I25" s="12">
        <f>I22-H22</f>
        <v>-5380</v>
      </c>
      <c r="J25" s="8">
        <f>J22-I22</f>
        <v>-4388.400000000009</v>
      </c>
      <c r="K25" s="7"/>
    </row>
    <row r="26">
      <c r="A26" s="1"/>
      <c r="B26" s="18" t="s">
        <v>180</v>
      </c>
      <c r="C26" s="3">
        <f>-C22/C9</f>
        <v>0.06738126955605812</v>
      </c>
      <c r="D26" s="3">
        <f>-D22/D9</f>
        <v>0.06562489290977006</v>
      </c>
      <c r="E26" s="3">
        <f>-E22/E9</f>
        <v>0.0643891716283571</v>
      </c>
      <c r="F26" s="3">
        <f>-F22/F9</f>
        <v>0.06200231337647812</v>
      </c>
      <c r="G26" s="3">
        <f>-G22/G9</f>
        <v>0.06469585361614721</v>
      </c>
      <c r="H26" s="3">
        <f>-H22/H9</f>
        <v>0.059747659604110034</v>
      </c>
      <c r="I26" s="3">
        <f>-I22/I9</f>
        <v>0.05757332451707363</v>
      </c>
      <c r="J26" s="9">
        <f>-J22/J9</f>
        <v>0.05188473360758592</v>
      </c>
      <c r="K26" s="7"/>
    </row>
    <row r="27">
      <c r="A27" s="1"/>
      <c r="B27" s="18" t="s">
        <v>127</v>
      </c>
      <c r="C27" s="43" t="s">
        <v>38</v>
      </c>
      <c r="D27" s="43" t="s">
        <v>38</v>
      </c>
      <c r="E27" s="43" t="s">
        <v>38</v>
      </c>
      <c r="F27" s="43" t="s">
        <v>38</v>
      </c>
      <c r="G27" s="43" t="s">
        <v>38</v>
      </c>
      <c r="H27" s="43">
        <f>(H26-C26)*10000</f>
        <v>-76.3360995194809</v>
      </c>
      <c r="I27" s="43">
        <f>(I26-D26)*10000</f>
        <v>-80.51568392696426</v>
      </c>
      <c r="J27" s="57">
        <f>(J26-E26)*10000</f>
        <v>-125.04438020771177</v>
      </c>
      <c r="K27" s="7"/>
    </row>
    <row r="28">
      <c r="A28" s="1"/>
      <c r="B28" s="18" t="s">
        <v>128</v>
      </c>
      <c r="C28" s="43" t="s">
        <v>38</v>
      </c>
      <c r="D28" s="43">
        <f>(D26-C26)*10000</f>
        <v>-17.563766462880686</v>
      </c>
      <c r="E28" s="43">
        <f>(E26-D26)*10000</f>
        <v>-12.357212814129575</v>
      </c>
      <c r="F28" s="43">
        <f>(F26-E26)*10000</f>
        <v>-23.868582518789747</v>
      </c>
      <c r="G28" s="43" t="s">
        <v>38</v>
      </c>
      <c r="H28" s="43">
        <f>(H26-F26)*10000</f>
        <v>-22.546537723680885</v>
      </c>
      <c r="I28" s="43">
        <f>(I26-H26)*10000</f>
        <v>-21.743350870364054</v>
      </c>
      <c r="J28" s="57">
        <f>(J26-I26)*10000</f>
        <v>-56.88590909487708</v>
      </c>
      <c r="K28" s="7"/>
    </row>
    <row r="29">
      <c r="A29" s="1"/>
      <c r="B29" s="5" t="s">
        <v>181</v>
      </c>
      <c r="C29" s="46">
        <v>-28640</v>
      </c>
      <c r="D29" s="46">
        <v>-23230</v>
      </c>
      <c r="E29" s="46">
        <v>-24020</v>
      </c>
      <c r="F29" s="46">
        <v>-23330</v>
      </c>
      <c r="G29" s="12">
        <f>SUM(C29:F29)</f>
        <v>-99220</v>
      </c>
      <c r="H29" s="46">
        <v>-26250</v>
      </c>
      <c r="I29" s="46">
        <v>-25840</v>
      </c>
      <c r="J29" s="8">
        <f>I29*(1+J30)</f>
        <v>-27390.4</v>
      </c>
      <c r="K29" s="7"/>
    </row>
    <row r="30">
      <c r="A30" s="1"/>
      <c r="B30" s="18" t="s">
        <v>178</v>
      </c>
      <c r="C30" s="3" t="s">
        <v>38</v>
      </c>
      <c r="D30" s="3">
        <f>D29/C29-1</f>
        <v>-0.18889664804469275</v>
      </c>
      <c r="E30" s="3">
        <f>E29/D29-1</f>
        <v>0.03400774860094713</v>
      </c>
      <c r="F30" s="3">
        <f>F29/E29-1</f>
        <v>-0.02872606161532054</v>
      </c>
      <c r="G30" s="3" t="s">
        <v>38</v>
      </c>
      <c r="H30" s="3">
        <f>H29/F29-1</f>
        <v>0.12516073724817822</v>
      </c>
      <c r="I30" s="3">
        <f>I29/H29-1</f>
        <v>-0.015619047619047643</v>
      </c>
      <c r="J30" s="36">
        <v>0.06</v>
      </c>
      <c r="K30" s="7" t="s">
        <v>182</v>
      </c>
    </row>
    <row r="31">
      <c r="A31" s="1"/>
      <c r="B31" s="18" t="s">
        <v>97</v>
      </c>
      <c r="C31" s="3" t="s">
        <v>38</v>
      </c>
      <c r="D31" s="3" t="s">
        <v>38</v>
      </c>
      <c r="E31" s="3" t="s">
        <v>38</v>
      </c>
      <c r="F31" s="3" t="s">
        <v>38</v>
      </c>
      <c r="G31" s="3" t="s">
        <v>38</v>
      </c>
      <c r="H31" s="3">
        <f>H29/C29-1</f>
        <v>-0.08344972067039103</v>
      </c>
      <c r="I31" s="3">
        <f>I29/D29-1</f>
        <v>0.1123547137322427</v>
      </c>
      <c r="J31" s="9">
        <f>J29/E29-1</f>
        <v>0.14031640299750214</v>
      </c>
      <c r="K31" s="7"/>
    </row>
    <row r="32">
      <c r="A32" s="1"/>
      <c r="B32" s="5" t="s">
        <v>99</v>
      </c>
      <c r="C32" s="12" t="s">
        <v>38</v>
      </c>
      <c r="D32" s="12">
        <f>D29-C29</f>
        <v>5410</v>
      </c>
      <c r="E32" s="12">
        <f>E29-D29</f>
        <v>-790</v>
      </c>
      <c r="F32" s="12">
        <f>F29-E29</f>
        <v>690</v>
      </c>
      <c r="G32" s="12" t="s">
        <v>38</v>
      </c>
      <c r="H32" s="12">
        <f>H29-F29</f>
        <v>-2920</v>
      </c>
      <c r="I32" s="12">
        <f>I29-H29</f>
        <v>410</v>
      </c>
      <c r="J32" s="8">
        <f>J29-I29</f>
        <v>-1550.4000000000015</v>
      </c>
      <c r="K32" s="7"/>
    </row>
    <row r="33">
      <c r="A33" s="1"/>
      <c r="B33" s="18" t="s">
        <v>180</v>
      </c>
      <c r="C33" s="3">
        <f>-C29/C9</f>
        <v>0.03412554482909822</v>
      </c>
      <c r="D33" s="3">
        <f>-D29/D9</f>
        <v>0.024877060416024124</v>
      </c>
      <c r="E33" s="3">
        <f>-E29/E9</f>
        <v>0.02426463606076463</v>
      </c>
      <c r="F33" s="3">
        <f>-F29/F9</f>
        <v>0.022302096377940714</v>
      </c>
      <c r="G33" s="3">
        <f>-G29/G9</f>
        <v>0.026048462426628765</v>
      </c>
      <c r="H33" s="3">
        <f>-H29/H9</f>
        <v>0.023146045817707916</v>
      </c>
      <c r="I33" s="3">
        <f>-I29/I9</f>
        <v>0.020340370597773893</v>
      </c>
      <c r="J33" s="9">
        <f>-J29/J9</f>
        <v>0.018330619584632488</v>
      </c>
      <c r="K33" s="7"/>
    </row>
    <row r="34">
      <c r="A34" s="1"/>
      <c r="B34" s="18" t="s">
        <v>127</v>
      </c>
      <c r="C34" s="43" t="s">
        <v>38</v>
      </c>
      <c r="D34" s="43" t="s">
        <v>38</v>
      </c>
      <c r="E34" s="43" t="s">
        <v>38</v>
      </c>
      <c r="F34" s="43" t="s">
        <v>38</v>
      </c>
      <c r="G34" s="43" t="s">
        <v>38</v>
      </c>
      <c r="H34" s="43">
        <f>(H33-C33)*10000</f>
        <v>-109.79499011390305</v>
      </c>
      <c r="I34" s="43">
        <f>(I33-D33)*10000</f>
        <v>-45.36689818250232</v>
      </c>
      <c r="J34" s="57">
        <f>(J33-E33)*10000</f>
        <v>-59.34016476132141</v>
      </c>
      <c r="K34" s="7"/>
    </row>
    <row r="35">
      <c r="A35" s="1"/>
      <c r="B35" s="18" t="s">
        <v>128</v>
      </c>
      <c r="C35" s="43" t="s">
        <v>38</v>
      </c>
      <c r="D35" s="43">
        <f>(D33-C33)*10000</f>
        <v>-92.48484413074097</v>
      </c>
      <c r="E35" s="43">
        <f>(E33-D33)*10000</f>
        <v>-6.124243552594957</v>
      </c>
      <c r="F35" s="43">
        <f>(F33-E33)*10000</f>
        <v>-19.625396828239147</v>
      </c>
      <c r="G35" s="43" t="s">
        <v>38</v>
      </c>
      <c r="H35" s="43">
        <f>(H33-F33)*10000</f>
        <v>8.43949439767202</v>
      </c>
      <c r="I35" s="43">
        <f>(I33-H33)*10000</f>
        <v>-28.05675219934023</v>
      </c>
      <c r="J35" s="57">
        <f>(J33-I33)*10000</f>
        <v>-20.09751013141405</v>
      </c>
      <c r="K35" s="7"/>
    </row>
    <row r="36">
      <c r="A36" s="1"/>
      <c r="B36" s="11" t="s">
        <v>183</v>
      </c>
      <c r="C36" s="14">
        <f>C22+C29</f>
        <v>-85190</v>
      </c>
      <c r="D36" s="14">
        <f>D22+D29</f>
        <v>-84510</v>
      </c>
      <c r="E36" s="14">
        <f>E22+E29</f>
        <v>-87760</v>
      </c>
      <c r="F36" s="14">
        <f>F22+F29</f>
        <v>-88190</v>
      </c>
      <c r="G36" s="14">
        <f>G22+G29</f>
        <v>-345650</v>
      </c>
      <c r="H36" s="14">
        <f>H22+H29</f>
        <v>-94010</v>
      </c>
      <c r="I36" s="14">
        <f>I22+I29</f>
        <v>-98980</v>
      </c>
      <c r="J36" s="70">
        <f>J22+J29</f>
        <v>-104918.80000000002</v>
      </c>
      <c r="K36" s="7"/>
    </row>
    <row r="37">
      <c r="A37" s="1"/>
      <c r="B37" s="18" t="s">
        <v>97</v>
      </c>
      <c r="C37" s="3" t="s">
        <v>38</v>
      </c>
      <c r="D37" s="3" t="s">
        <v>38</v>
      </c>
      <c r="E37" s="3" t="s">
        <v>38</v>
      </c>
      <c r="F37" s="3" t="s">
        <v>38</v>
      </c>
      <c r="G37" s="3" t="s">
        <v>38</v>
      </c>
      <c r="H37" s="3">
        <f>H36/C36-1</f>
        <v>0.10353327855382077</v>
      </c>
      <c r="I37" s="3">
        <f>I36/D36-1</f>
        <v>0.17122234055141394</v>
      </c>
      <c r="J37" s="9">
        <f>J36/E36-1</f>
        <v>0.19551959890610782</v>
      </c>
      <c r="K37" s="7"/>
    </row>
    <row r="38">
      <c r="A38" s="1"/>
      <c r="B38" s="18" t="s">
        <v>98</v>
      </c>
      <c r="C38" s="3" t="s">
        <v>38</v>
      </c>
      <c r="D38" s="3">
        <f>D36/C36-1</f>
        <v>-0.007982157530226575</v>
      </c>
      <c r="E38" s="3">
        <f>E36/D36-1</f>
        <v>0.03845698733877656</v>
      </c>
      <c r="F38" s="3">
        <f>F36/E36-1</f>
        <v>0.0048997265268915235</v>
      </c>
      <c r="G38" s="3" t="s">
        <v>38</v>
      </c>
      <c r="H38" s="3">
        <f>H36/F36-1</f>
        <v>0.06599387685678648</v>
      </c>
      <c r="I38" s="3">
        <f>I36/H36-1</f>
        <v>0.052866716306775974</v>
      </c>
      <c r="J38" s="9">
        <f>J36/I36-1</f>
        <v>0.060000000000000275</v>
      </c>
      <c r="K38" s="7"/>
    </row>
    <row r="39">
      <c r="A39" s="1"/>
      <c r="B39" s="5" t="s">
        <v>99</v>
      </c>
      <c r="C39" s="12" t="s">
        <v>38</v>
      </c>
      <c r="D39" s="12">
        <f>D36-C36</f>
        <v>680</v>
      </c>
      <c r="E39" s="12">
        <f>E36-D36</f>
        <v>-3250</v>
      </c>
      <c r="F39" s="12">
        <f>F36-E36</f>
        <v>-430</v>
      </c>
      <c r="G39" s="12" t="s">
        <v>38</v>
      </c>
      <c r="H39" s="12">
        <f>H36-F36</f>
        <v>-5820</v>
      </c>
      <c r="I39" s="12">
        <f>I36-H36</f>
        <v>-4970</v>
      </c>
      <c r="J39" s="8">
        <f>J36-I36</f>
        <v>-5938.8000000000175</v>
      </c>
      <c r="K39" s="7"/>
    </row>
    <row r="40">
      <c r="A40" s="1"/>
      <c r="B40" s="18" t="s">
        <v>180</v>
      </c>
      <c r="C40" s="3">
        <f>-C36/C9</f>
        <v>0.10150681438515634</v>
      </c>
      <c r="D40" s="3">
        <f>-D36/D9</f>
        <v>0.09050195332579418</v>
      </c>
      <c r="E40" s="3">
        <f>-E36/E9</f>
        <v>0.08865380768912172</v>
      </c>
      <c r="F40" s="3">
        <f>-F36/F9</f>
        <v>0.08430440975441883</v>
      </c>
      <c r="G40" s="3">
        <f>-G36/G9</f>
        <v>0.09074431604277597</v>
      </c>
      <c r="H40" s="3">
        <f>-H36/H9</f>
        <v>0.08289370542181795</v>
      </c>
      <c r="I40" s="3">
        <f>-I36/I9</f>
        <v>0.07791369511484753</v>
      </c>
      <c r="J40" s="9">
        <f>-J36/J9</f>
        <v>0.07021535319221842</v>
      </c>
      <c r="K40" s="7"/>
    </row>
    <row r="41">
      <c r="A41" s="1"/>
      <c r="B41" s="18" t="s">
        <v>127</v>
      </c>
      <c r="C41" s="43" t="s">
        <v>38</v>
      </c>
      <c r="D41" s="43" t="s">
        <v>38</v>
      </c>
      <c r="E41" s="43" t="s">
        <v>38</v>
      </c>
      <c r="F41" s="43" t="s">
        <v>38</v>
      </c>
      <c r="G41" s="43" t="s">
        <v>38</v>
      </c>
      <c r="H41" s="43">
        <f>(H40-C40)*10000</f>
        <v>-186.13108963338385</v>
      </c>
      <c r="I41" s="43">
        <f>(I40-D40)*10000</f>
        <v>-125.88258210946654</v>
      </c>
      <c r="J41" s="57">
        <f>(J40-E40)*10000</f>
        <v>-184.38454496903304</v>
      </c>
      <c r="K41" s="7"/>
    </row>
    <row r="42">
      <c r="A42" s="1"/>
      <c r="B42" s="18" t="s">
        <v>128</v>
      </c>
      <c r="C42" s="43" t="s">
        <v>38</v>
      </c>
      <c r="D42" s="43">
        <f>(D40-C40)*10000</f>
        <v>-110.04861059362159</v>
      </c>
      <c r="E42" s="43">
        <f>(E40-D40)*10000</f>
        <v>-18.4814563667246</v>
      </c>
      <c r="F42" s="43">
        <f>(F40-E40)*10000</f>
        <v>-43.49397934702889</v>
      </c>
      <c r="G42" s="43" t="s">
        <v>38</v>
      </c>
      <c r="H42" s="43">
        <f>(H40-F40)*10000</f>
        <v>-14.10704332600876</v>
      </c>
      <c r="I42" s="43">
        <f>(I40-H40)*10000</f>
        <v>-49.800103069704285</v>
      </c>
      <c r="J42" s="57">
        <f>(J40-I40)*10000</f>
        <v>-76.98341922629109</v>
      </c>
      <c r="K42" s="7"/>
    </row>
    <row r="43">
      <c r="A43" s="1"/>
      <c r="B43" s="5" t="s">
        <v>184</v>
      </c>
      <c r="C43" s="46">
        <v>-1130</v>
      </c>
      <c r="D43" s="46">
        <v>560</v>
      </c>
      <c r="E43" s="46">
        <v>-90</v>
      </c>
      <c r="F43" s="46">
        <v>1100</v>
      </c>
      <c r="G43" s="12">
        <f>SUM(C43:F43)</f>
        <v>440</v>
      </c>
      <c r="H43" s="46">
        <v>1680</v>
      </c>
      <c r="I43" s="46">
        <v>5270</v>
      </c>
      <c r="J43" s="83">
        <v>500</v>
      </c>
      <c r="K43" s="7" t="s">
        <v>185</v>
      </c>
    </row>
    <row r="44">
      <c r="A44" s="1"/>
      <c r="B44" s="5" t="s">
        <v>99</v>
      </c>
      <c r="C44" s="12" t="s">
        <v>38</v>
      </c>
      <c r="D44" s="12">
        <f>D43-C43</f>
        <v>1690</v>
      </c>
      <c r="E44" s="12">
        <f>E43-D43</f>
        <v>-650</v>
      </c>
      <c r="F44" s="12">
        <f>F43-E43</f>
        <v>1190</v>
      </c>
      <c r="G44" s="12" t="s">
        <v>38</v>
      </c>
      <c r="H44" s="12">
        <f>H43-F43</f>
        <v>580</v>
      </c>
      <c r="I44" s="12">
        <f>I43-H43</f>
        <v>3590</v>
      </c>
      <c r="J44" s="8">
        <f>J43-I43</f>
        <v>-4770</v>
      </c>
      <c r="K44" s="7"/>
    </row>
    <row r="45">
      <c r="A45" s="1"/>
      <c r="B45" s="5" t="s">
        <v>186</v>
      </c>
      <c r="C45" s="12" t="s">
        <v>38</v>
      </c>
      <c r="D45" s="12" t="s">
        <v>38</v>
      </c>
      <c r="E45" s="12" t="s">
        <v>38</v>
      </c>
      <c r="F45" s="12" t="s">
        <v>38</v>
      </c>
      <c r="G45" s="12" t="s">
        <v>38</v>
      </c>
      <c r="H45" s="12">
        <f>H43-C43</f>
        <v>2810</v>
      </c>
      <c r="I45" s="12">
        <f>I43-D43</f>
        <v>4710</v>
      </c>
      <c r="J45" s="8">
        <f>J43-E43</f>
        <v>590</v>
      </c>
      <c r="K45" s="7" t="s">
        <v>187</v>
      </c>
    </row>
    <row r="46">
      <c r="A46" s="1"/>
      <c r="B46" s="11" t="s">
        <v>41</v>
      </c>
      <c r="C46" s="14">
        <f>C16+C36+C43</f>
        <v>407084</v>
      </c>
      <c r="D46" s="14">
        <f>D16+D36+D43</f>
        <v>463422</v>
      </c>
      <c r="E46" s="14">
        <f>E16+E36+E43</f>
        <v>500688</v>
      </c>
      <c r="F46" s="14">
        <f>F16+F36+F43</f>
        <v>564900</v>
      </c>
      <c r="G46" s="14">
        <f>G16+G36+G43</f>
        <v>1936094</v>
      </c>
      <c r="H46" s="14">
        <f>H16+H36+H43</f>
        <v>658973</v>
      </c>
      <c r="I46" s="14">
        <f>I16+I36+I43</f>
        <v>766600</v>
      </c>
      <c r="J46" s="70">
        <f>J16+J36+J43</f>
        <v>899712.496</v>
      </c>
      <c r="K46" s="7"/>
    </row>
    <row r="47">
      <c r="A47" s="1"/>
      <c r="B47" s="18" t="s">
        <v>97</v>
      </c>
      <c r="C47" s="3" t="s">
        <v>38</v>
      </c>
      <c r="D47" s="3" t="s">
        <v>38</v>
      </c>
      <c r="E47" s="3" t="s">
        <v>38</v>
      </c>
      <c r="F47" s="3" t="s">
        <v>38</v>
      </c>
      <c r="G47" s="3" t="s">
        <v>38</v>
      </c>
      <c r="H47" s="3">
        <f>H46/C46-1</f>
        <v>0.6187641862613122</v>
      </c>
      <c r="I47" s="3">
        <f>I46/D46-1</f>
        <v>0.6542158119381472</v>
      </c>
      <c r="J47" s="9">
        <f>J46/E46-1</f>
        <v>0.796952385517528</v>
      </c>
      <c r="K47" s="7"/>
    </row>
    <row r="48">
      <c r="A48" s="1"/>
      <c r="B48" s="18" t="s">
        <v>98</v>
      </c>
      <c r="C48" s="3" t="s">
        <v>38</v>
      </c>
      <c r="D48" s="3">
        <f>D46/C46-1</f>
        <v>0.13839404152459944</v>
      </c>
      <c r="E48" s="3">
        <f>E46/D46-1</f>
        <v>0.08041482709064307</v>
      </c>
      <c r="F48" s="3">
        <f>F46/E46-1</f>
        <v>0.1282475313967979</v>
      </c>
      <c r="G48" s="3" t="s">
        <v>38</v>
      </c>
      <c r="H48" s="3">
        <f>H46/F46-1</f>
        <v>0.1665303593556382</v>
      </c>
      <c r="I48" s="3">
        <f>I46/H46-1</f>
        <v>0.16332535627408107</v>
      </c>
      <c r="J48" s="9">
        <f>J46/I46-1</f>
        <v>0.1736400939212106</v>
      </c>
      <c r="K48" s="7"/>
    </row>
    <row r="49">
      <c r="A49" s="1"/>
      <c r="B49" s="18" t="s">
        <v>188</v>
      </c>
      <c r="C49" s="3">
        <f>C46/C9</f>
        <v>0.48505458419024516</v>
      </c>
      <c r="D49" s="3">
        <f>D46/D9</f>
        <v>0.4962796854117405</v>
      </c>
      <c r="E49" s="3">
        <f>E46/E9</f>
        <v>0.5057873480429692</v>
      </c>
      <c r="F49" s="3">
        <f>F46/F9</f>
        <v>0.5400108977239052</v>
      </c>
      <c r="G49" s="3">
        <f>G46/G9</f>
        <v>0.5082873595386151</v>
      </c>
      <c r="H49" s="3">
        <f>H46/H9</f>
        <v>0.5810521619288548</v>
      </c>
      <c r="I49" s="3">
        <f>I46/I9</f>
        <v>0.6034414899478896</v>
      </c>
      <c r="J49" s="9">
        <f>J46/J9</f>
        <v>0.6021192644034471</v>
      </c>
      <c r="K49" s="7"/>
    </row>
    <row r="50">
      <c r="A50" s="1"/>
      <c r="B50" s="18" t="s">
        <v>127</v>
      </c>
      <c r="C50" s="43" t="s">
        <v>38</v>
      </c>
      <c r="D50" s="43" t="s">
        <v>38</v>
      </c>
      <c r="E50" s="43" t="s">
        <v>38</v>
      </c>
      <c r="F50" s="43" t="s">
        <v>38</v>
      </c>
      <c r="G50" s="43" t="s">
        <v>38</v>
      </c>
      <c r="H50" s="43">
        <f>(H49-C49)*10000</f>
        <v>959.9757773860962</v>
      </c>
      <c r="I50" s="43">
        <f>(I49-D49)*10000</f>
        <v>1071.6180453614909</v>
      </c>
      <c r="J50" s="57">
        <f>(J49-E49)*10000</f>
        <v>963.3191636047789</v>
      </c>
      <c r="K50" s="7"/>
    </row>
    <row r="51">
      <c r="A51" s="1"/>
      <c r="B51" s="18" t="s">
        <v>128</v>
      </c>
      <c r="C51" s="43" t="s">
        <v>38</v>
      </c>
      <c r="D51" s="43">
        <f>(D49-C49)*10000</f>
        <v>112.25101221495338</v>
      </c>
      <c r="E51" s="43">
        <f>(E49-D49)*10000</f>
        <v>95.07662631228709</v>
      </c>
      <c r="F51" s="43">
        <f>(F49-E49)*10000</f>
        <v>342.2354968093599</v>
      </c>
      <c r="G51" s="43" t="s">
        <v>38</v>
      </c>
      <c r="H51" s="43">
        <f>(H49-F49)*10000</f>
        <v>410.4126420494958</v>
      </c>
      <c r="I51" s="43">
        <f>(I49-H49)*10000</f>
        <v>223.89328019034815</v>
      </c>
      <c r="J51" s="57">
        <f>(J49-I49)*10000</f>
        <v>-13.222255444425013</v>
      </c>
      <c r="K51" s="7"/>
    </row>
    <row r="52">
      <c r="A52" s="1"/>
      <c r="B52" s="5" t="s">
        <v>189</v>
      </c>
      <c r="C52" s="46">
        <v>1370</v>
      </c>
      <c r="D52" s="46">
        <v>1220</v>
      </c>
      <c r="E52" s="46">
        <v>1420</v>
      </c>
      <c r="F52" s="46">
        <v>1480</v>
      </c>
      <c r="G52" s="12">
        <f>SUM(C52:F52)</f>
        <v>5490</v>
      </c>
      <c r="H52" s="46">
        <v>1690</v>
      </c>
      <c r="I52" s="46">
        <v>1440</v>
      </c>
      <c r="J52" s="83">
        <v>900</v>
      </c>
      <c r="K52" s="7" t="s">
        <v>190</v>
      </c>
    </row>
    <row r="53">
      <c r="A53" s="1"/>
      <c r="B53" s="18" t="s">
        <v>88</v>
      </c>
      <c r="C53" s="3" t="s">
        <v>38</v>
      </c>
      <c r="D53" s="3" t="s">
        <v>38</v>
      </c>
      <c r="E53" s="3" t="s">
        <v>38</v>
      </c>
      <c r="F53" s="3" t="s">
        <v>38</v>
      </c>
      <c r="G53" s="3" t="s">
        <v>38</v>
      </c>
      <c r="H53" s="3">
        <f>H52/C52-1</f>
        <v>0.23357664233576636</v>
      </c>
      <c r="I53" s="3">
        <f>I52/D52-1</f>
        <v>0.180327868852459</v>
      </c>
      <c r="J53" s="9">
        <f>J52/E52-1</f>
        <v>-0.3661971830985915</v>
      </c>
      <c r="K53" s="7"/>
    </row>
    <row r="54">
      <c r="A54" s="1"/>
      <c r="B54" s="5" t="s">
        <v>89</v>
      </c>
      <c r="C54" s="12" t="s">
        <v>38</v>
      </c>
      <c r="D54" s="12">
        <f>D52-C52</f>
        <v>-150</v>
      </c>
      <c r="E54" s="12">
        <f>E52-D52</f>
        <v>200</v>
      </c>
      <c r="F54" s="12">
        <f>F52-E52</f>
        <v>60</v>
      </c>
      <c r="G54" s="12" t="s">
        <v>38</v>
      </c>
      <c r="H54" s="12">
        <f>H52-F52</f>
        <v>210</v>
      </c>
      <c r="I54" s="12">
        <f>I52-H52</f>
        <v>-250</v>
      </c>
      <c r="J54" s="8">
        <f>J52-I52</f>
        <v>-540</v>
      </c>
      <c r="K54" s="7"/>
    </row>
    <row r="55">
      <c r="A55" s="1"/>
      <c r="B55" s="5" t="s">
        <v>191</v>
      </c>
      <c r="C55" s="46">
        <v>22180</v>
      </c>
      <c r="D55" s="46">
        <v>21500</v>
      </c>
      <c r="E55" s="46">
        <v>23220</v>
      </c>
      <c r="F55" s="46">
        <v>26460</v>
      </c>
      <c r="G55" s="12">
        <f>SUM(C55:F55)</f>
        <v>93360</v>
      </c>
      <c r="H55" s="46">
        <v>26140</v>
      </c>
      <c r="I55" s="46">
        <v>26960</v>
      </c>
      <c r="J55" s="83">
        <v>27500</v>
      </c>
      <c r="K55" s="7" t="s">
        <v>192</v>
      </c>
    </row>
    <row r="56">
      <c r="A56" s="1"/>
      <c r="B56" s="18" t="s">
        <v>88</v>
      </c>
      <c r="C56" s="3" t="s">
        <v>38</v>
      </c>
      <c r="D56" s="3" t="s">
        <v>38</v>
      </c>
      <c r="E56" s="3" t="s">
        <v>38</v>
      </c>
      <c r="F56" s="3" t="s">
        <v>38</v>
      </c>
      <c r="G56" s="3" t="s">
        <v>38</v>
      </c>
      <c r="H56" s="3">
        <f>H55/C55-1</f>
        <v>0.17853922452660065</v>
      </c>
      <c r="I56" s="3">
        <f>I55/D55-1</f>
        <v>0.2539534883720931</v>
      </c>
      <c r="J56" s="9">
        <f>J55/E55-1</f>
        <v>0.18432385874246338</v>
      </c>
      <c r="K56" s="7"/>
    </row>
    <row r="57">
      <c r="A57" s="1"/>
      <c r="B57" s="5" t="s">
        <v>89</v>
      </c>
      <c r="C57" s="12" t="s">
        <v>38</v>
      </c>
      <c r="D57" s="12">
        <f>D55-C55</f>
        <v>-680</v>
      </c>
      <c r="E57" s="12">
        <f>E55-D55</f>
        <v>1720</v>
      </c>
      <c r="F57" s="12">
        <f>F55-E55</f>
        <v>3240</v>
      </c>
      <c r="G57" s="12" t="s">
        <v>38</v>
      </c>
      <c r="H57" s="12">
        <f>H55-F55</f>
        <v>-320</v>
      </c>
      <c r="I57" s="12">
        <f>I55-H55</f>
        <v>820</v>
      </c>
      <c r="J57" s="8">
        <f>J55-I55</f>
        <v>540</v>
      </c>
      <c r="K57" s="7"/>
    </row>
    <row r="58">
      <c r="A58" s="1"/>
      <c r="B58" s="5" t="s">
        <v>193</v>
      </c>
      <c r="C58" s="46">
        <v>270</v>
      </c>
      <c r="D58" s="46">
        <v>6890</v>
      </c>
      <c r="E58" s="46">
        <v>40</v>
      </c>
      <c r="F58" s="46">
        <v>-480</v>
      </c>
      <c r="G58" s="12">
        <f>SUM(C58:F58)</f>
        <v>6720</v>
      </c>
      <c r="H58" s="46">
        <v>1000</v>
      </c>
      <c r="I58" s="46">
        <v>67430</v>
      </c>
      <c r="J58" s="83">
        <v>1000</v>
      </c>
      <c r="K58" s="7" t="s">
        <v>194</v>
      </c>
    </row>
    <row r="59">
      <c r="A59" s="1"/>
      <c r="B59" s="18" t="s">
        <v>88</v>
      </c>
      <c r="C59" s="3" t="s">
        <v>38</v>
      </c>
      <c r="D59" s="3" t="s">
        <v>38</v>
      </c>
      <c r="E59" s="3" t="s">
        <v>38</v>
      </c>
      <c r="F59" s="3" t="s">
        <v>38</v>
      </c>
      <c r="G59" s="3" t="s">
        <v>38</v>
      </c>
      <c r="H59" s="117">
        <f>IF(OR(C58=0,SIGN(H58)&lt;&gt;SIGN(C58),ABS(C58)&lt;0.1*ABS(H58)),"n/m",H58/C58-1)</f>
        <v>2.7037037037037037</v>
      </c>
      <c r="I59" s="117">
        <f>IF(OR(D58=0,SIGN(I58)&lt;&gt;SIGN(D58),ABS(D58)&lt;0.1*ABS(I58)),"n/m",I58/D58-1)</f>
        <v>8.786647314949201</v>
      </c>
      <c r="J59" s="118" t="str">
        <f>IF(OR(E58=0,SIGN(J58)&lt;&gt;SIGN(E58),ABS(E58)&lt;0.1*ABS(J58)),"n/m",J58/E58-1)</f>
        <v>n/m</v>
      </c>
      <c r="K59" s="7" t="s">
        <v>195</v>
      </c>
    </row>
    <row r="60">
      <c r="A60" s="1"/>
      <c r="B60" s="5" t="s">
        <v>89</v>
      </c>
      <c r="C60" s="12" t="s">
        <v>38</v>
      </c>
      <c r="D60" s="12">
        <f>D58-C58</f>
        <v>6620</v>
      </c>
      <c r="E60" s="12">
        <f>E58-D58</f>
        <v>-6850</v>
      </c>
      <c r="F60" s="12">
        <f>F58-E58</f>
        <v>-520</v>
      </c>
      <c r="G60" s="12" t="s">
        <v>38</v>
      </c>
      <c r="H60" s="12">
        <f>H58-F58</f>
        <v>1480</v>
      </c>
      <c r="I60" s="12">
        <f>I58-H58</f>
        <v>66430</v>
      </c>
      <c r="J60" s="8">
        <f>J58-I58</f>
        <v>-66430</v>
      </c>
      <c r="K60" s="7"/>
    </row>
    <row r="61">
      <c r="A61" s="1"/>
      <c r="B61" s="5" t="s">
        <v>196</v>
      </c>
      <c r="C61" s="46">
        <v>0</v>
      </c>
      <c r="D61" s="46">
        <v>0</v>
      </c>
      <c r="E61" s="46">
        <v>0</v>
      </c>
      <c r="F61" s="46">
        <v>0</v>
      </c>
      <c r="G61" s="12">
        <f>SUM(C61:F61)</f>
        <v>0</v>
      </c>
      <c r="H61" s="46">
        <v>0</v>
      </c>
      <c r="I61" s="46">
        <v>63202</v>
      </c>
      <c r="J61" s="83">
        <v>0</v>
      </c>
      <c r="K61" s="7" t="s">
        <v>197</v>
      </c>
    </row>
    <row r="62">
      <c r="A62" s="1"/>
      <c r="B62" s="11" t="s">
        <v>198</v>
      </c>
      <c r="C62" s="14">
        <f>C52+C55+C58</f>
        <v>23820</v>
      </c>
      <c r="D62" s="14">
        <f>D52+D55+D58</f>
        <v>29610</v>
      </c>
      <c r="E62" s="14">
        <f>E52+E55+E58</f>
        <v>24680</v>
      </c>
      <c r="F62" s="14">
        <f>F52+F55+F58</f>
        <v>27460</v>
      </c>
      <c r="G62" s="14">
        <f>G52+G55+G58</f>
        <v>105570</v>
      </c>
      <c r="H62" s="14">
        <f>H52+H55+H58</f>
        <v>28830</v>
      </c>
      <c r="I62" s="14">
        <f>I52+I55+I58</f>
        <v>95830</v>
      </c>
      <c r="J62" s="70">
        <f>J52+J55+J58</f>
        <v>29400</v>
      </c>
      <c r="K62" s="7"/>
    </row>
    <row r="63">
      <c r="A63" s="1"/>
      <c r="B63" s="18" t="s">
        <v>97</v>
      </c>
      <c r="C63" s="3" t="s">
        <v>38</v>
      </c>
      <c r="D63" s="3" t="s">
        <v>38</v>
      </c>
      <c r="E63" s="3" t="s">
        <v>38</v>
      </c>
      <c r="F63" s="3" t="s">
        <v>38</v>
      </c>
      <c r="G63" s="3" t="s">
        <v>38</v>
      </c>
      <c r="H63" s="3">
        <f>H62/C62-1</f>
        <v>0.2103274559193955</v>
      </c>
      <c r="I63" s="3">
        <f>I62/D62-1</f>
        <v>2.2364066193853427</v>
      </c>
      <c r="J63" s="9">
        <f>J62/E62-1</f>
        <v>0.19124797406807126</v>
      </c>
      <c r="K63" s="7"/>
    </row>
    <row r="64">
      <c r="A64" s="1"/>
      <c r="B64" s="5" t="s">
        <v>99</v>
      </c>
      <c r="C64" s="12" t="s">
        <v>38</v>
      </c>
      <c r="D64" s="12">
        <f>D62-C62</f>
        <v>5790</v>
      </c>
      <c r="E64" s="12">
        <f>E62-D62</f>
        <v>-4930</v>
      </c>
      <c r="F64" s="12">
        <f>F62-E62</f>
        <v>2780</v>
      </c>
      <c r="G64" s="12" t="s">
        <v>38</v>
      </c>
      <c r="H64" s="12">
        <f>H62-F62</f>
        <v>1370</v>
      </c>
      <c r="I64" s="12">
        <f>I62-H62</f>
        <v>67000</v>
      </c>
      <c r="J64" s="8">
        <f>J62-I62</f>
        <v>-66430</v>
      </c>
      <c r="K64" s="7"/>
    </row>
    <row r="65">
      <c r="A65" s="1"/>
      <c r="B65" s="11" t="s">
        <v>199</v>
      </c>
      <c r="C65" s="14">
        <f>C46+C62</f>
        <v>430904</v>
      </c>
      <c r="D65" s="14">
        <f>D46+D62</f>
        <v>493032</v>
      </c>
      <c r="E65" s="14">
        <f>E46+E62</f>
        <v>525368</v>
      </c>
      <c r="F65" s="14">
        <f>F46+F62</f>
        <v>592360</v>
      </c>
      <c r="G65" s="14">
        <f>G46+G62</f>
        <v>2041664</v>
      </c>
      <c r="H65" s="14">
        <f>H46+H62</f>
        <v>687803</v>
      </c>
      <c r="I65" s="14">
        <f>I46+I62</f>
        <v>862430</v>
      </c>
      <c r="J65" s="70">
        <f>J46+J62</f>
        <v>929112.496</v>
      </c>
      <c r="K65" s="7"/>
    </row>
    <row r="66">
      <c r="A66" s="1"/>
      <c r="B66" s="18" t="s">
        <v>97</v>
      </c>
      <c r="C66" s="3" t="s">
        <v>38</v>
      </c>
      <c r="D66" s="3" t="s">
        <v>38</v>
      </c>
      <c r="E66" s="3" t="s">
        <v>38</v>
      </c>
      <c r="F66" s="3" t="s">
        <v>38</v>
      </c>
      <c r="G66" s="3" t="s">
        <v>38</v>
      </c>
      <c r="H66" s="3">
        <f>H65/C65-1</f>
        <v>0.5961861574735905</v>
      </c>
      <c r="I66" s="3">
        <f>I65/D65-1</f>
        <v>0.7492373720164209</v>
      </c>
      <c r="J66" s="9">
        <f>J65/E65-1</f>
        <v>0.7684984544167137</v>
      </c>
      <c r="K66" s="7"/>
    </row>
    <row r="67">
      <c r="A67" s="1"/>
      <c r="B67" s="18" t="s">
        <v>98</v>
      </c>
      <c r="C67" s="3" t="s">
        <v>38</v>
      </c>
      <c r="D67" s="3">
        <f>D65/C65-1</f>
        <v>0.14418060635315522</v>
      </c>
      <c r="E67" s="3">
        <f>E65/D65-1</f>
        <v>0.06558600658780778</v>
      </c>
      <c r="F67" s="3">
        <f>F65/E65-1</f>
        <v>0.12751442798190982</v>
      </c>
      <c r="G67" s="3" t="s">
        <v>38</v>
      </c>
      <c r="H67" s="3">
        <f>H65/F65-1</f>
        <v>0.1611233033965831</v>
      </c>
      <c r="I67" s="3">
        <f>I65/H65-1</f>
        <v>0.25389101239744516</v>
      </c>
      <c r="J67" s="9">
        <f>J65/I65-1</f>
        <v>0.07731931403128378</v>
      </c>
      <c r="K67" s="7"/>
    </row>
    <row r="68">
      <c r="A68" s="1"/>
      <c r="B68" s="18" t="s">
        <v>200</v>
      </c>
      <c r="C68" s="3">
        <f>C65/C9</f>
        <v>0.5134369332764575</v>
      </c>
      <c r="D68" s="3">
        <f>D65/D9</f>
        <v>0.5279891024982009</v>
      </c>
      <c r="E68" s="3">
        <f>E65/E9</f>
        <v>0.5307187059938298</v>
      </c>
      <c r="F68" s="3">
        <f>F65/F9</f>
        <v>0.5662610291657506</v>
      </c>
      <c r="G68" s="3">
        <f>G65/G9</f>
        <v>0.5360029025579579</v>
      </c>
      <c r="H68" s="3">
        <f>H65/H9</f>
        <v>0.606473133392646</v>
      </c>
      <c r="I68" s="3">
        <f>I65/I9</f>
        <v>0.6788756120215999</v>
      </c>
      <c r="J68" s="9">
        <f>J65/J9</f>
        <v>0.6217947790285784</v>
      </c>
      <c r="K68" s="7"/>
    </row>
    <row r="69">
      <c r="A69" s="1"/>
      <c r="B69" s="18" t="s">
        <v>127</v>
      </c>
      <c r="C69" s="43" t="s">
        <v>38</v>
      </c>
      <c r="D69" s="43" t="s">
        <v>38</v>
      </c>
      <c r="E69" s="43" t="s">
        <v>38</v>
      </c>
      <c r="F69" s="43" t="s">
        <v>38</v>
      </c>
      <c r="G69" s="43" t="s">
        <v>38</v>
      </c>
      <c r="H69" s="43">
        <f>(H68-C68)*10000</f>
        <v>930.3620011618851</v>
      </c>
      <c r="I69" s="43">
        <f>(I68-D68)*10000</f>
        <v>1508.86509523399</v>
      </c>
      <c r="J69" s="57">
        <f>(J68-E68)*10000</f>
        <v>910.7607303474863</v>
      </c>
      <c r="K69" s="7"/>
    </row>
    <row r="70">
      <c r="A70" s="1"/>
      <c r="B70" s="18" t="s">
        <v>128</v>
      </c>
      <c r="C70" s="43" t="s">
        <v>38</v>
      </c>
      <c r="D70" s="43">
        <f>(D68-C68)*10000</f>
        <v>145.52169221743407</v>
      </c>
      <c r="E70" s="43">
        <f>(E68-D68)*10000</f>
        <v>27.296034956288963</v>
      </c>
      <c r="F70" s="43">
        <f>(F68-E68)*10000</f>
        <v>355.42323171920856</v>
      </c>
      <c r="G70" s="43" t="s">
        <v>38</v>
      </c>
      <c r="H70" s="43">
        <f>(H68-F68)*10000</f>
        <v>402.1210422689536</v>
      </c>
      <c r="I70" s="43">
        <f>(I68-H68)*10000</f>
        <v>724.0247862895388</v>
      </c>
      <c r="J70" s="57">
        <f>(J68-I68)*10000</f>
        <v>-570.8083299302147</v>
      </c>
      <c r="K70" s="7"/>
    </row>
    <row r="71">
      <c r="A71" s="1"/>
      <c r="B71" s="5" t="s">
        <v>201</v>
      </c>
      <c r="C71" s="46">
        <v>-70170</v>
      </c>
      <c r="D71" s="46">
        <v>-95550</v>
      </c>
      <c r="E71" s="46">
        <v>-73610</v>
      </c>
      <c r="F71" s="46">
        <v>-86940</v>
      </c>
      <c r="G71" s="12">
        <f>SUM(C71:F71)</f>
        <v>-326270</v>
      </c>
      <c r="H71" s="46">
        <v>-115000</v>
      </c>
      <c r="I71" s="46">
        <v>-155650</v>
      </c>
      <c r="J71" s="8">
        <f>-J65*J74</f>
        <v>-144012.43688</v>
      </c>
      <c r="K71" s="7"/>
    </row>
    <row r="72">
      <c r="A72" s="1"/>
      <c r="B72" s="18" t="s">
        <v>97</v>
      </c>
      <c r="C72" s="3" t="s">
        <v>38</v>
      </c>
      <c r="D72" s="3" t="s">
        <v>38</v>
      </c>
      <c r="E72" s="3" t="s">
        <v>38</v>
      </c>
      <c r="F72" s="3" t="s">
        <v>38</v>
      </c>
      <c r="G72" s="3" t="s">
        <v>38</v>
      </c>
      <c r="H72" s="3">
        <f>H71/C71-1</f>
        <v>0.6388770129685051</v>
      </c>
      <c r="I72" s="3">
        <f>I71/D71-1</f>
        <v>0.6289900575614862</v>
      </c>
      <c r="J72" s="9">
        <f>J71/E71-1</f>
        <v>0.9564248998777338</v>
      </c>
      <c r="K72" s="7"/>
    </row>
    <row r="73">
      <c r="A73" s="1"/>
      <c r="B73" s="5" t="s">
        <v>99</v>
      </c>
      <c r="C73" s="12" t="s">
        <v>38</v>
      </c>
      <c r="D73" s="12">
        <f>D71-C71</f>
        <v>-25380</v>
      </c>
      <c r="E73" s="12">
        <f>E71-D71</f>
        <v>21940</v>
      </c>
      <c r="F73" s="12">
        <f>F71-E71</f>
        <v>-13330</v>
      </c>
      <c r="G73" s="12" t="s">
        <v>38</v>
      </c>
      <c r="H73" s="12">
        <f>H71-F71</f>
        <v>-28060</v>
      </c>
      <c r="I73" s="12">
        <f>I71-H71</f>
        <v>-40650</v>
      </c>
      <c r="J73" s="8">
        <f>J71-I71</f>
        <v>11637.563120000006</v>
      </c>
      <c r="K73" s="7"/>
    </row>
    <row r="74">
      <c r="A74" s="1"/>
      <c r="B74" s="18" t="s">
        <v>202</v>
      </c>
      <c r="C74" s="3">
        <f>-C71/C65</f>
        <v>0.16284369604366633</v>
      </c>
      <c r="D74" s="3">
        <f>-D71/D65</f>
        <v>0.19380080806114006</v>
      </c>
      <c r="E74" s="3">
        <f>-E71/E65</f>
        <v>0.1401113124514626</v>
      </c>
      <c r="F74" s="3">
        <f>-F71/F65</f>
        <v>0.14676885677628468</v>
      </c>
      <c r="G74" s="3">
        <f>-G71/G65</f>
        <v>0.1598059230118178</v>
      </c>
      <c r="H74" s="3">
        <f>-H71/H65</f>
        <v>0.1671990380966643</v>
      </c>
      <c r="I74" s="3">
        <f>-I71/I65</f>
        <v>0.18047841563953015</v>
      </c>
      <c r="J74" s="36">
        <v>0.155</v>
      </c>
      <c r="K74" s="7" t="s">
        <v>203</v>
      </c>
    </row>
    <row r="75">
      <c r="A75" s="1"/>
      <c r="B75" s="18" t="s">
        <v>127</v>
      </c>
      <c r="C75" s="43" t="s">
        <v>38</v>
      </c>
      <c r="D75" s="43" t="s">
        <v>38</v>
      </c>
      <c r="E75" s="43" t="s">
        <v>38</v>
      </c>
      <c r="F75" s="43" t="s">
        <v>38</v>
      </c>
      <c r="G75" s="43" t="s">
        <v>38</v>
      </c>
      <c r="H75" s="43">
        <f>(H74-C74)*10000</f>
        <v>43.55342052997979</v>
      </c>
      <c r="I75" s="43">
        <f>(I74-D74)*10000</f>
        <v>-133.22392421609902</v>
      </c>
      <c r="J75" s="57">
        <f>(J74-E74)*10000</f>
        <v>148.88687548537393</v>
      </c>
      <c r="K75" s="7"/>
    </row>
    <row r="76">
      <c r="A76" s="1"/>
      <c r="B76" s="18" t="s">
        <v>128</v>
      </c>
      <c r="C76" s="43" t="s">
        <v>38</v>
      </c>
      <c r="D76" s="43">
        <f>(D74-C74)*10000</f>
        <v>309.57112017473725</v>
      </c>
      <c r="E76" s="43">
        <f>(E74-D74)*10000</f>
        <v>-536.8949560967745</v>
      </c>
      <c r="F76" s="43">
        <f>(F74-E74)*10000</f>
        <v>66.57544324822074</v>
      </c>
      <c r="G76" s="43" t="s">
        <v>38</v>
      </c>
      <c r="H76" s="43">
        <f>(H74-F74)*10000</f>
        <v>204.3018132037963</v>
      </c>
      <c r="I76" s="43">
        <f>(I74-H74)*10000</f>
        <v>132.79377542865845</v>
      </c>
      <c r="J76" s="57">
        <f>(J74-I74)*10000</f>
        <v>-254.78415639530155</v>
      </c>
      <c r="K76" s="7"/>
    </row>
    <row r="77">
      <c r="A77" s="1"/>
      <c r="B77" s="11" t="s">
        <v>204</v>
      </c>
      <c r="C77" s="14">
        <f>C65+C71</f>
        <v>360734</v>
      </c>
      <c r="D77" s="14">
        <f>D65+D71</f>
        <v>397482</v>
      </c>
      <c r="E77" s="14">
        <f>E65+E71</f>
        <v>451758</v>
      </c>
      <c r="F77" s="14">
        <f>F65+F71</f>
        <v>505420</v>
      </c>
      <c r="G77" s="14">
        <f>G65+G71</f>
        <v>1715394</v>
      </c>
      <c r="H77" s="14">
        <f>H65+H71</f>
        <v>572803</v>
      </c>
      <c r="I77" s="14">
        <f>I65+I71</f>
        <v>706780</v>
      </c>
      <c r="J77" s="70">
        <f>J65+J71</f>
        <v>785100.0591200001</v>
      </c>
      <c r="K77" s="7"/>
    </row>
    <row r="78">
      <c r="A78" s="1"/>
      <c r="B78" s="5" t="s">
        <v>205</v>
      </c>
      <c r="C78" s="12">
        <f>C77-C81</f>
        <v>-826</v>
      </c>
      <c r="D78" s="12">
        <f>D77-D81</f>
        <v>-788</v>
      </c>
      <c r="E78" s="12">
        <f>E77-E81</f>
        <v>-542</v>
      </c>
      <c r="F78" s="12">
        <f>F77-F81</f>
        <v>-320</v>
      </c>
      <c r="G78" s="12">
        <f>G77-G81</f>
        <v>-2476</v>
      </c>
      <c r="H78" s="12">
        <f>H77-H81</f>
        <v>323</v>
      </c>
      <c r="I78" s="12">
        <f>I77-I81</f>
        <v>220</v>
      </c>
      <c r="J78" s="8">
        <f>AVERAGE(H78:I78)</f>
        <v>271.5</v>
      </c>
      <c r="K78" s="7" t="s">
        <v>206</v>
      </c>
    </row>
    <row r="79">
      <c r="A79" s="1"/>
      <c r="B79" s="5" t="s">
        <v>89</v>
      </c>
      <c r="C79" s="12" t="s">
        <v>38</v>
      </c>
      <c r="D79" s="12">
        <f>IF(AND(ISNUMBER(D78),ISNUMBER(C78)),D78-C78,"n/a")</f>
        <v>38</v>
      </c>
      <c r="E79" s="12">
        <f>IF(AND(ISNUMBER(E78),ISNUMBER(D78)),E78-D78,"n/a")</f>
        <v>246</v>
      </c>
      <c r="F79" s="12">
        <f>IF(AND(ISNUMBER(F78),ISNUMBER(E78)),F78-E78,"n/a")</f>
        <v>222</v>
      </c>
      <c r="G79" s="12" t="s">
        <v>38</v>
      </c>
      <c r="H79" s="12">
        <f>IF(AND(ISNUMBER(H78),ISNUMBER(F78)),H78-F78,"n/a")</f>
        <v>643</v>
      </c>
      <c r="I79" s="12">
        <f>IF(AND(ISNUMBER(I78),ISNUMBER(H78)),I78-H78,"n/a")</f>
        <v>-103</v>
      </c>
      <c r="J79" s="8">
        <f>IF(AND(ISNUMBER(J78),ISNUMBER(I78)),J78-I78,"n/a")</f>
        <v>51.5</v>
      </c>
      <c r="K79" s="7"/>
    </row>
    <row r="80">
      <c r="A80" s="1"/>
      <c r="B80" s="5" t="s">
        <v>207</v>
      </c>
      <c r="C80" s="12" t="s">
        <v>38</v>
      </c>
      <c r="D80" s="12" t="s">
        <v>38</v>
      </c>
      <c r="E80" s="12" t="s">
        <v>38</v>
      </c>
      <c r="F80" s="12" t="s">
        <v>38</v>
      </c>
      <c r="G80" s="12" t="s">
        <v>38</v>
      </c>
      <c r="H80" s="12">
        <f>H78-C78</f>
        <v>1149</v>
      </c>
      <c r="I80" s="12">
        <f>I78-D78</f>
        <v>1008</v>
      </c>
      <c r="J80" s="8">
        <f>J78-E78</f>
        <v>813.5</v>
      </c>
      <c r="K80" s="7"/>
    </row>
    <row r="81">
      <c r="A81" s="1"/>
      <c r="B81" s="11" t="s">
        <v>208</v>
      </c>
      <c r="C81" s="26">
        <v>361560</v>
      </c>
      <c r="D81" s="26">
        <v>398270</v>
      </c>
      <c r="E81" s="26">
        <v>452300</v>
      </c>
      <c r="F81" s="26">
        <v>505740</v>
      </c>
      <c r="G81" s="14">
        <f>SUM(C81:F81)</f>
        <v>1717870</v>
      </c>
      <c r="H81" s="26">
        <v>572480</v>
      </c>
      <c r="I81" s="26">
        <v>706560</v>
      </c>
      <c r="J81" s="70">
        <f>J77-J78</f>
        <v>784828.5591200001</v>
      </c>
      <c r="K81" s="7"/>
    </row>
    <row r="82">
      <c r="A82" s="1"/>
      <c r="B82" s="18" t="s">
        <v>97</v>
      </c>
      <c r="C82" s="3" t="s">
        <v>38</v>
      </c>
      <c r="D82" s="3" t="s">
        <v>38</v>
      </c>
      <c r="E82" s="3" t="s">
        <v>38</v>
      </c>
      <c r="F82" s="3" t="s">
        <v>38</v>
      </c>
      <c r="G82" s="3" t="s">
        <v>38</v>
      </c>
      <c r="H82" s="3">
        <f>H81/C81-1</f>
        <v>0.5833609912600952</v>
      </c>
      <c r="I82" s="3">
        <f>I81/D81-1</f>
        <v>0.7740728651417381</v>
      </c>
      <c r="J82" s="9">
        <f>J81/E81-1</f>
        <v>0.7351946918416983</v>
      </c>
      <c r="K82" s="7"/>
    </row>
    <row r="83">
      <c r="A83" s="1"/>
      <c r="B83" s="18" t="s">
        <v>98</v>
      </c>
      <c r="C83" s="3" t="s">
        <v>38</v>
      </c>
      <c r="D83" s="3">
        <f>D81/C81-1</f>
        <v>0.10153224914260428</v>
      </c>
      <c r="E83" s="3">
        <f>E81/D81-1</f>
        <v>0.13566173701257944</v>
      </c>
      <c r="F83" s="3">
        <f>F81/E81-1</f>
        <v>0.11815166924607556</v>
      </c>
      <c r="G83" s="3" t="s">
        <v>38</v>
      </c>
      <c r="H83" s="3">
        <f>H81/F81-1</f>
        <v>0.1319650413255824</v>
      </c>
      <c r="I83" s="3">
        <f>I81/H81-1</f>
        <v>0.2342090553381777</v>
      </c>
      <c r="J83" s="9">
        <f>J81/I81-1</f>
        <v>0.11077411560235517</v>
      </c>
      <c r="K83" s="7"/>
    </row>
    <row r="84">
      <c r="A84" s="1"/>
      <c r="B84" s="18" t="s">
        <v>209</v>
      </c>
      <c r="C84" s="3">
        <f>C81/C9</f>
        <v>0.43081117277963527</v>
      </c>
      <c r="D84" s="3">
        <f>D81/D9</f>
        <v>0.42650825879853327</v>
      </c>
      <c r="E84" s="3">
        <f>E81/E9</f>
        <v>0.45690653165211664</v>
      </c>
      <c r="F84" s="3">
        <f>F81/F9</f>
        <v>0.48345744630003157</v>
      </c>
      <c r="G84" s="3">
        <f>G81/G9</f>
        <v>0.45099649414264015</v>
      </c>
      <c r="H84" s="3">
        <f>H81/H9</f>
        <v>0.504786602275102</v>
      </c>
      <c r="I84" s="3">
        <f>I81/I9</f>
        <v>0.5561800406177679</v>
      </c>
      <c r="J84" s="9">
        <f>J81/J9</f>
        <v>0.5252348909247024</v>
      </c>
      <c r="K84" s="7"/>
    </row>
    <row r="85">
      <c r="A85" s="1"/>
      <c r="B85" s="18" t="s">
        <v>127</v>
      </c>
      <c r="C85" s="43" t="s">
        <v>38</v>
      </c>
      <c r="D85" s="43" t="s">
        <v>38</v>
      </c>
      <c r="E85" s="43" t="s">
        <v>38</v>
      </c>
      <c r="F85" s="43" t="s">
        <v>38</v>
      </c>
      <c r="G85" s="43" t="s">
        <v>38</v>
      </c>
      <c r="H85" s="43">
        <f>(H84-C84)*10000</f>
        <v>739.7542949546671</v>
      </c>
      <c r="I85" s="43">
        <f>(I84-D84)*10000</f>
        <v>1296.7178181923466</v>
      </c>
      <c r="J85" s="57">
        <f>(J84-E84)*10000</f>
        <v>683.2835927258579</v>
      </c>
      <c r="K85" s="7"/>
    </row>
    <row r="86">
      <c r="A86" s="1"/>
      <c r="B86" s="18" t="s">
        <v>128</v>
      </c>
      <c r="C86" s="43" t="s">
        <v>38</v>
      </c>
      <c r="D86" s="43">
        <f>(D84-C84)*10000</f>
        <v>-43.02913981101997</v>
      </c>
      <c r="E86" s="43">
        <f>(E84-D84)*10000</f>
        <v>303.98272853583376</v>
      </c>
      <c r="F86" s="43">
        <f>(F84-E84)*10000</f>
        <v>265.50914647914925</v>
      </c>
      <c r="G86" s="43" t="s">
        <v>38</v>
      </c>
      <c r="H86" s="43">
        <f>(H84-F84)*10000</f>
        <v>213.291559750704</v>
      </c>
      <c r="I86" s="43">
        <f>(I84-H84)*10000</f>
        <v>513.9343834266597</v>
      </c>
      <c r="J86" s="57">
        <f>(J84-I84)*10000</f>
        <v>-309.45149693065497</v>
      </c>
      <c r="K86" s="7"/>
    </row>
    <row r="87">
      <c r="A87" s="1"/>
      <c r="B87" s="5"/>
      <c r="C87" s="4"/>
      <c r="D87" s="4"/>
      <c r="E87" s="4"/>
      <c r="F87" s="4"/>
      <c r="G87" s="4"/>
      <c r="H87" s="4"/>
      <c r="I87" s="4"/>
      <c r="J87" s="24"/>
      <c r="K87" s="7"/>
    </row>
    <row r="88">
      <c r="A88" s="1"/>
      <c r="B88" s="11" t="s">
        <v>210</v>
      </c>
      <c r="C88" s="22"/>
      <c r="D88" s="22"/>
      <c r="E88" s="22"/>
      <c r="F88" s="22"/>
      <c r="G88" s="22"/>
      <c r="H88" s="22"/>
      <c r="I88" s="22"/>
      <c r="J88" s="33"/>
      <c r="K88" s="7"/>
    </row>
    <row r="89">
      <c r="A89" s="1"/>
      <c r="B89" s="5" t="s">
        <v>211</v>
      </c>
      <c r="C89" s="41">
        <f>'Share Count'!C14</f>
        <v>25926.788900000003</v>
      </c>
      <c r="D89" s="41">
        <f>'Share Count'!D14</f>
        <v>25928.255</v>
      </c>
      <c r="E89" s="41" t="str">
        <f>'Share Count'!E14</f>
        <v>n/a</v>
      </c>
      <c r="F89" s="41" t="str">
        <f>'Share Count'!F14</f>
        <v>n/a</v>
      </c>
      <c r="G89" s="41">
        <f>'Share Count'!G14</f>
        <v>25928.262</v>
      </c>
      <c r="H89" s="41">
        <f>'Share Count'!H14</f>
        <v>25929.76667777778</v>
      </c>
      <c r="I89" s="41">
        <f>'Share Count'!I14</f>
        <v>25930.549</v>
      </c>
      <c r="J89" s="72">
        <f>'Share Count'!J14</f>
        <v>25930.549</v>
      </c>
      <c r="K89" s="7"/>
    </row>
    <row r="90">
      <c r="A90" s="1"/>
      <c r="B90" s="5" t="s">
        <v>212</v>
      </c>
      <c r="C90" s="41">
        <f>'Share Count'!C17</f>
        <v>25928.66382222222</v>
      </c>
      <c r="D90" s="41">
        <f>'Share Count'!D17</f>
        <v>25928.877</v>
      </c>
      <c r="E90" s="41">
        <f>'Share Count'!E17</f>
        <v>25930</v>
      </c>
      <c r="F90" s="41">
        <f>'Share Count'!F17</f>
        <v>25931</v>
      </c>
      <c r="G90" s="41">
        <f>'Share Count'!G17</f>
        <v>25930.557</v>
      </c>
      <c r="H90" s="41">
        <f>'Share Count'!H17</f>
        <v>25931.314477777785</v>
      </c>
      <c r="I90" s="41">
        <f>'Share Count'!I17</f>
        <v>25931.771</v>
      </c>
      <c r="J90" s="72">
        <f>'Share Count'!J17</f>
        <v>25931.771</v>
      </c>
      <c r="K90" s="7"/>
    </row>
    <row r="91">
      <c r="A91" s="1"/>
      <c r="B91" s="18" t="s">
        <v>97</v>
      </c>
      <c r="C91" s="3" t="s">
        <v>38</v>
      </c>
      <c r="D91" s="3" t="s">
        <v>38</v>
      </c>
      <c r="E91" s="3" t="s">
        <v>38</v>
      </c>
      <c r="F91" s="3" t="s">
        <v>38</v>
      </c>
      <c r="G91" s="3" t="s">
        <v>38</v>
      </c>
      <c r="H91" s="3">
        <f>IF(AND(ISNUMBER(H90),ISNUMBER(C90)),IF(C90=0,"n/a",H90/C90-1),"n/a")</f>
        <v>0.00010222877560295274</v>
      </c>
      <c r="I91" s="3">
        <f>IF(AND(ISNUMBER(I90),ISNUMBER(D90)),IF(D90=0,"n/a",I90/D90-1),"n/a")</f>
        <v>0.00011161300969564358</v>
      </c>
      <c r="J91" s="9">
        <f>IF(AND(ISNUMBER(J90),ISNUMBER(E90)),IF(E90=0,"n/a",J90/E90-1),"n/a")</f>
        <v>0.00006829926725804292</v>
      </c>
      <c r="K91" s="7"/>
    </row>
    <row r="92">
      <c r="A92" s="1"/>
      <c r="B92" s="5" t="s">
        <v>99</v>
      </c>
      <c r="C92" s="12" t="s">
        <v>38</v>
      </c>
      <c r="D92" s="12">
        <f>IF(AND(ISNUMBER(D90),ISNUMBER(C90)),D90-C90,"n/a")</f>
        <v>0.21317777777949232</v>
      </c>
      <c r="E92" s="12">
        <f>IF(AND(ISNUMBER(E90),ISNUMBER(D90)),E90-D90,"n/a")</f>
        <v>1.1229999999995925</v>
      </c>
      <c r="F92" s="12">
        <f>IF(AND(ISNUMBER(F90),ISNUMBER(E90)),F90-E90,"n/a")</f>
        <v>1</v>
      </c>
      <c r="G92" s="12" t="s">
        <v>38</v>
      </c>
      <c r="H92" s="12">
        <f>IF(AND(ISNUMBER(H90),ISNUMBER(F90)),H90-F90,"n/a")</f>
        <v>0.31447777778521413</v>
      </c>
      <c r="I92" s="12">
        <f>IF(AND(ISNUMBER(I90),ISNUMBER(H90)),I90-H90,"n/a")</f>
        <v>0.45652222221542615</v>
      </c>
      <c r="J92" s="8">
        <f>IF(AND(ISNUMBER(J90),ISNUMBER(I90)),J90-I90,"n/a")</f>
        <v>0</v>
      </c>
      <c r="K92" s="7"/>
    </row>
    <row r="93">
      <c r="A93" s="1"/>
      <c r="B93" s="5" t="s">
        <v>213</v>
      </c>
      <c r="C93" s="16">
        <f>IF(ISNUMBER(C89),C81/C89,"n/a")</f>
        <v>13.945421524992629</v>
      </c>
      <c r="D93" s="16">
        <f>IF(ISNUMBER(D89),D81/D89,"n/a")</f>
        <v>15.360462938982973</v>
      </c>
      <c r="E93" s="16" t="str">
        <f>IF(ISNUMBER(E89),E81/E89,"n/a")</f>
        <v>n/a</v>
      </c>
      <c r="F93" s="16" t="str">
        <f>IF(ISNUMBER(F89),F81/F89,"n/a")</f>
        <v>n/a</v>
      </c>
      <c r="G93" s="16">
        <f>G81/G89</f>
        <v>66.25473007022222</v>
      </c>
      <c r="H93" s="16">
        <f>IF(ISNUMBER(H89),H81/H89,"n/a")</f>
        <v>22.07810070619048</v>
      </c>
      <c r="I93" s="16">
        <f>IF(ISNUMBER(I89),I81/I89,"n/a")</f>
        <v>27.24816971673064</v>
      </c>
      <c r="J93" s="20">
        <f>IF(ISNUMBER(J89),J81/J89,"n/a")</f>
        <v>30.266561618884356</v>
      </c>
      <c r="K93" s="7"/>
    </row>
    <row r="94">
      <c r="A94" s="1"/>
      <c r="B94" s="11" t="s">
        <v>214</v>
      </c>
      <c r="C94" s="84">
        <f>C81/C90</f>
        <v>13.9444131205143</v>
      </c>
      <c r="D94" s="84">
        <f>D81/D90</f>
        <v>15.360094461476292</v>
      </c>
      <c r="E94" s="84">
        <f>E81/E90</f>
        <v>17.443116081758582</v>
      </c>
      <c r="F94" s="84">
        <f>F81/F90</f>
        <v>19.5032972118314</v>
      </c>
      <c r="G94" s="84">
        <f>G81/G90</f>
        <v>66.24886615432132</v>
      </c>
      <c r="H94" s="84">
        <f>H81/H90</f>
        <v>22.07678289855283</v>
      </c>
      <c r="I94" s="84">
        <f>I81/I90</f>
        <v>27.246885683203047</v>
      </c>
      <c r="J94" s="101">
        <f>J81/J90</f>
        <v>30.26513534767834</v>
      </c>
      <c r="K94" s="7"/>
    </row>
    <row r="95">
      <c r="A95" s="1"/>
      <c r="B95" s="18" t="s">
        <v>97</v>
      </c>
      <c r="C95" s="3" t="s">
        <v>38</v>
      </c>
      <c r="D95" s="3" t="s">
        <v>38</v>
      </c>
      <c r="E95" s="3" t="s">
        <v>38</v>
      </c>
      <c r="F95" s="3" t="s">
        <v>38</v>
      </c>
      <c r="G95" s="3" t="s">
        <v>38</v>
      </c>
      <c r="H95" s="3">
        <f>H94/C94-1</f>
        <v>0.5831991427501961</v>
      </c>
      <c r="I95" s="3">
        <f>I94/D94-1</f>
        <v>0.7738748776278221</v>
      </c>
      <c r="J95" s="9">
        <f>J94/E94-1</f>
        <v>0.7350761874094611</v>
      </c>
      <c r="K95" s="7"/>
    </row>
    <row r="96">
      <c r="A96" s="1"/>
      <c r="B96" s="18" t="s">
        <v>98</v>
      </c>
      <c r="C96" s="3" t="s">
        <v>38</v>
      </c>
      <c r="D96" s="3">
        <f>D94/C94-1</f>
        <v>0.10152319274586863</v>
      </c>
      <c r="E96" s="3">
        <f>E94/D94-1</f>
        <v>0.1356125527422105</v>
      </c>
      <c r="F96" s="3">
        <f>F94/E94-1</f>
        <v>0.11810854897808554</v>
      </c>
      <c r="G96" s="3" t="s">
        <v>38</v>
      </c>
      <c r="H96" s="3">
        <f>H94/F94-1</f>
        <v>0.13195131360456647</v>
      </c>
      <c r="I96" s="3">
        <f>I94/H94-1</f>
        <v>0.23418732740217907</v>
      </c>
      <c r="J96" s="9">
        <f>J94/I94-1</f>
        <v>0.11077411560235517</v>
      </c>
      <c r="K96" s="7"/>
    </row>
    <row r="97">
      <c r="A97" s="1"/>
      <c r="B97" s="5" t="s">
        <v>215</v>
      </c>
      <c r="C97" s="29">
        <v>13.94</v>
      </c>
      <c r="D97" s="29">
        <v>15.36</v>
      </c>
      <c r="E97" s="29">
        <v>17.44</v>
      </c>
      <c r="F97" s="29">
        <v>19.5</v>
      </c>
      <c r="G97" s="29">
        <v>66.25</v>
      </c>
      <c r="H97" s="29">
        <v>22.08</v>
      </c>
      <c r="I97" s="29">
        <v>27.25</v>
      </c>
      <c r="J97" s="20" t="s">
        <v>38</v>
      </c>
      <c r="K97" s="7"/>
    </row>
    <row r="98">
      <c r="A98" s="1"/>
      <c r="B98" s="5" t="s">
        <v>216</v>
      </c>
      <c r="C98" s="16">
        <f>C94-C97</f>
        <v>0.004413120514300317</v>
      </c>
      <c r="D98" s="16">
        <f>D94-D97</f>
        <v>0.00009446147629255108</v>
      </c>
      <c r="E98" s="16">
        <f>E94-E97</f>
        <v>0.003116081758580691</v>
      </c>
      <c r="F98" s="16">
        <f>F94-F97</f>
        <v>0.0032972118313985277</v>
      </c>
      <c r="G98" s="16">
        <f>G94-G97</f>
        <v>-0.0011338456786802453</v>
      </c>
      <c r="H98" s="16">
        <f>H94-H97</f>
        <v>-0.0032171014471700232</v>
      </c>
      <c r="I98" s="16">
        <f>I94-I97</f>
        <v>-0.003114316796953176</v>
      </c>
      <c r="J98" s="20"/>
      <c r="K98" s="7"/>
    </row>
    <row r="99">
      <c r="A99" s="1"/>
      <c r="B99" s="5" t="s">
        <v>217</v>
      </c>
      <c r="C99" s="88">
        <f>'Share Count'!C26</f>
        <v>5</v>
      </c>
      <c r="D99" s="88">
        <f>'Share Count'!D26</f>
        <v>5</v>
      </c>
      <c r="E99" s="88">
        <f>'Share Count'!E26</f>
        <v>5</v>
      </c>
      <c r="F99" s="88">
        <f>'Share Count'!F26</f>
        <v>5</v>
      </c>
      <c r="G99" s="88">
        <f>'Share Count'!G26</f>
        <v>5</v>
      </c>
      <c r="H99" s="88">
        <f>'Share Count'!H26</f>
        <v>5</v>
      </c>
      <c r="I99" s="88">
        <f>'Share Count'!I26</f>
        <v>5</v>
      </c>
      <c r="J99" s="102">
        <f>'Share Count'!J26</f>
        <v>5</v>
      </c>
      <c r="K99" s="7"/>
    </row>
    <row r="100">
      <c r="A100" s="1"/>
      <c r="B100" s="5" t="s">
        <v>101</v>
      </c>
      <c r="C100" s="52">
        <f>'Revenue summary'!C27</f>
        <v>32.88</v>
      </c>
      <c r="D100" s="52">
        <f>'Revenue summary'!D27</f>
        <v>31.05</v>
      </c>
      <c r="E100" s="52">
        <f>'Revenue summary'!E27</f>
        <v>29.91</v>
      </c>
      <c r="F100" s="52">
        <f>'Revenue summary'!F27</f>
        <v>31.01</v>
      </c>
      <c r="G100" s="52">
        <f>'Revenue summary'!G27</f>
        <v>31.112096708323122</v>
      </c>
      <c r="H100" s="52">
        <f>'Revenue summary'!H27</f>
        <v>31.59</v>
      </c>
      <c r="I100" s="52">
        <f>'Revenue summary'!I27</f>
        <v>31.6</v>
      </c>
      <c r="J100" s="141">
        <f>'Revenue summary'!J27</f>
        <v>31.9961</v>
      </c>
      <c r="K100" s="7" t="s">
        <v>218</v>
      </c>
    </row>
    <row r="101">
      <c r="A101" s="1"/>
      <c r="B101" s="11" t="s">
        <v>46</v>
      </c>
      <c r="C101" s="71">
        <f>C94*C99/C100</f>
        <v>2.1205007786670165</v>
      </c>
      <c r="D101" s="71">
        <f>D94*D99/D100</f>
        <v>2.4734451628786296</v>
      </c>
      <c r="E101" s="71">
        <f>E94*E99/E100</f>
        <v>2.915933815071645</v>
      </c>
      <c r="F101" s="71">
        <f>F94*F99/F100</f>
        <v>3.144678686203063</v>
      </c>
      <c r="G101" s="71">
        <f>G94*G99/G100</f>
        <v>10.646801913642546</v>
      </c>
      <c r="H101" s="71">
        <f>H94*H99/H100</f>
        <v>3.4942676319330217</v>
      </c>
      <c r="I101" s="71">
        <f>I94*I99/I100</f>
        <v>4.3112160891144065</v>
      </c>
      <c r="J101" s="95">
        <f>J94*J99/J100</f>
        <v>4.729503806351139</v>
      </c>
      <c r="K101" s="7"/>
    </row>
    <row r="102">
      <c r="A102" s="1"/>
      <c r="B102" s="18" t="s">
        <v>97</v>
      </c>
      <c r="C102" s="3" t="s">
        <v>38</v>
      </c>
      <c r="D102" s="3" t="s">
        <v>38</v>
      </c>
      <c r="E102" s="3" t="s">
        <v>38</v>
      </c>
      <c r="F102" s="3" t="s">
        <v>38</v>
      </c>
      <c r="G102" s="3" t="s">
        <v>38</v>
      </c>
      <c r="H102" s="3">
        <f>H101/C101-1</f>
        <v>0.6478501998615529</v>
      </c>
      <c r="I102" s="3">
        <f>I101/D101-1</f>
        <v>0.7430004731121485</v>
      </c>
      <c r="J102" s="9">
        <f>J101/E101-1</f>
        <v>0.6219516992826306</v>
      </c>
      <c r="K102" s="7"/>
    </row>
    <row r="103">
      <c r="A103" s="1"/>
      <c r="B103" s="18" t="s">
        <v>98</v>
      </c>
      <c r="C103" s="3" t="s">
        <v>38</v>
      </c>
      <c r="D103" s="3">
        <f>D101/C101-1</f>
        <v>0.166443883332823</v>
      </c>
      <c r="E103" s="3">
        <f>E101/D101-1</f>
        <v>0.1788956791255647</v>
      </c>
      <c r="F103" s="3">
        <f>F101/E101-1</f>
        <v>0.07844652369992078</v>
      </c>
      <c r="G103" s="3" t="s">
        <v>38</v>
      </c>
      <c r="H103" s="3">
        <f>H101/F101-1</f>
        <v>0.11116841515915188</v>
      </c>
      <c r="I103" s="3">
        <f>I101/H101-1</f>
        <v>0.23379676179224163</v>
      </c>
      <c r="J103" s="9">
        <f>J101/I101-1</f>
        <v>0.09702313885237324</v>
      </c>
      <c r="K103" s="7"/>
    </row>
    <row r="104">
      <c r="A104" s="1"/>
      <c r="B104" s="5" t="s">
        <v>219</v>
      </c>
      <c r="C104" s="81">
        <f>Inputs!G101</f>
        <v>2.12</v>
      </c>
      <c r="D104" s="81">
        <f>Inputs!G102</f>
        <v>2.47</v>
      </c>
      <c r="E104" s="81">
        <f>Inputs!G103</f>
        <v>2.92</v>
      </c>
      <c r="F104" s="81">
        <f>Inputs!G104</f>
        <v>3.14</v>
      </c>
      <c r="G104" s="85">
        <v>10.65</v>
      </c>
      <c r="H104" s="81">
        <f>Inputs!G105</f>
        <v>3.49</v>
      </c>
      <c r="I104" s="81">
        <f>Inputs!G106</f>
        <v>4.31</v>
      </c>
      <c r="J104" s="92" t="s">
        <v>38</v>
      </c>
      <c r="K104" s="7" t="s">
        <v>220</v>
      </c>
    </row>
    <row r="105">
      <c r="A105" s="1"/>
      <c r="B105" s="5" t="s">
        <v>221</v>
      </c>
      <c r="C105" s="4" t="b">
        <f>ABS(ROUND(C101,2)-C104)&lt;=0.01</f>
        <v>1</v>
      </c>
      <c r="D105" s="4" t="b">
        <f>ABS(ROUND(D101,2)-D104)&lt;=0.01</f>
        <v>1</v>
      </c>
      <c r="E105" s="4" t="b">
        <f>ABS(ROUND(E101,2)-E104)&lt;=0.01</f>
        <v>1</v>
      </c>
      <c r="F105" s="4" t="b">
        <f>ABS(ROUND(F101,2)-F104)&lt;=0.01</f>
        <v>1</v>
      </c>
      <c r="G105" s="4" t="b">
        <f>ABS(ROUND(G101,2)-G104)&lt;=0.01</f>
        <v>1</v>
      </c>
      <c r="H105" s="4" t="b">
        <f>ABS(ROUND(H101,2)-H104)&lt;=0.01</f>
        <v>1</v>
      </c>
      <c r="I105" s="4" t="b">
        <f>ABS(ROUND(I101,2)-I104)&lt;=0.01</f>
        <v>1</v>
      </c>
      <c r="J105" s="100" t="b">
        <f>ABS(J101-J81/'Share Count'!J17*'Share Count'!J26/'Revenue summary'!J27)&lt;0.000001</f>
        <v>1</v>
      </c>
      <c r="K105" s="7" t="s">
        <v>222</v>
      </c>
    </row>
    <row r="106">
      <c r="A106" s="1"/>
      <c r="B106" s="5"/>
      <c r="C106" s="4"/>
      <c r="D106" s="4"/>
      <c r="E106" s="4"/>
      <c r="F106" s="4"/>
      <c r="G106" s="4"/>
      <c r="H106" s="4"/>
      <c r="I106" s="4"/>
      <c r="J106" s="24"/>
      <c r="K106" s="7"/>
    </row>
    <row r="107">
      <c r="A107" s="1"/>
      <c r="B107" s="11" t="s">
        <v>223</v>
      </c>
      <c r="C107" s="22"/>
      <c r="D107" s="22"/>
      <c r="E107" s="22"/>
      <c r="F107" s="22"/>
      <c r="G107" s="22"/>
      <c r="H107" s="22"/>
      <c r="I107" s="22"/>
      <c r="J107" s="33"/>
      <c r="K107" s="7"/>
    </row>
    <row r="108">
      <c r="A108" s="1"/>
      <c r="B108" s="5" t="s">
        <v>224</v>
      </c>
      <c r="C108" s="12">
        <f>C81</f>
        <v>361560</v>
      </c>
      <c r="D108" s="12">
        <f>D81</f>
        <v>398270</v>
      </c>
      <c r="E108" s="12">
        <f>E81</f>
        <v>452300</v>
      </c>
      <c r="F108" s="12">
        <f>F81</f>
        <v>505740</v>
      </c>
      <c r="G108" s="12">
        <f>G81</f>
        <v>1717870</v>
      </c>
      <c r="H108" s="12">
        <f>H81</f>
        <v>572480</v>
      </c>
      <c r="I108" s="12">
        <f>I81</f>
        <v>706560</v>
      </c>
      <c r="J108" s="8">
        <f>J81</f>
        <v>784828.5591200001</v>
      </c>
      <c r="K108" s="7"/>
    </row>
    <row r="109">
      <c r="A109" s="1"/>
      <c r="B109" s="5" t="s">
        <v>225</v>
      </c>
      <c r="C109" s="12">
        <f>C61</f>
        <v>0</v>
      </c>
      <c r="D109" s="12">
        <f>D61</f>
        <v>0</v>
      </c>
      <c r="E109" s="12">
        <f>E61</f>
        <v>0</v>
      </c>
      <c r="F109" s="12">
        <f>F61</f>
        <v>0</v>
      </c>
      <c r="G109" s="12">
        <f>G61</f>
        <v>0</v>
      </c>
      <c r="H109" s="12">
        <f>H61</f>
        <v>0</v>
      </c>
      <c r="I109" s="12">
        <f>I61</f>
        <v>63202</v>
      </c>
      <c r="J109" s="8">
        <f>J61</f>
        <v>0</v>
      </c>
      <c r="K109" s="7"/>
    </row>
    <row r="110">
      <c r="A110" s="1"/>
      <c r="B110" s="5" t="s">
        <v>226</v>
      </c>
      <c r="C110" s="46">
        <v>0</v>
      </c>
      <c r="D110" s="46">
        <v>0</v>
      </c>
      <c r="E110" s="46">
        <v>0</v>
      </c>
      <c r="F110" s="46">
        <v>0</v>
      </c>
      <c r="G110" s="12">
        <f>SUM(C110:F110)</f>
        <v>0</v>
      </c>
      <c r="H110" s="46">
        <v>0</v>
      </c>
      <c r="I110" s="46">
        <v>0</v>
      </c>
      <c r="J110" s="83">
        <v>0</v>
      </c>
      <c r="K110" s="7" t="s">
        <v>227</v>
      </c>
    </row>
    <row r="111">
      <c r="A111" s="1"/>
      <c r="B111" s="5" t="s">
        <v>228</v>
      </c>
      <c r="C111" s="46">
        <v>0</v>
      </c>
      <c r="D111" s="46">
        <v>0</v>
      </c>
      <c r="E111" s="46">
        <v>0</v>
      </c>
      <c r="F111" s="46">
        <v>0</v>
      </c>
      <c r="G111" s="12">
        <f>SUM(C111:F111)</f>
        <v>0</v>
      </c>
      <c r="H111" s="46">
        <v>0</v>
      </c>
      <c r="I111" s="46">
        <v>0</v>
      </c>
      <c r="J111" s="83">
        <v>0</v>
      </c>
      <c r="K111" s="7" t="s">
        <v>229</v>
      </c>
    </row>
    <row r="112">
      <c r="A112" s="1"/>
      <c r="B112" s="11" t="s">
        <v>230</v>
      </c>
      <c r="C112" s="14">
        <f>C108+C110+C111</f>
        <v>361560</v>
      </c>
      <c r="D112" s="14">
        <f>D108+D110+D111</f>
        <v>398270</v>
      </c>
      <c r="E112" s="14">
        <f>E108+E110+E111</f>
        <v>452300</v>
      </c>
      <c r="F112" s="14">
        <f>F108+F110+F111</f>
        <v>505740</v>
      </c>
      <c r="G112" s="14">
        <f>SUM(C112:F112)</f>
        <v>1717870</v>
      </c>
      <c r="H112" s="14">
        <f>H108+H110+H111</f>
        <v>572480</v>
      </c>
      <c r="I112" s="14">
        <f>I108+I110+I111</f>
        <v>706560</v>
      </c>
      <c r="J112" s="70">
        <f>J108+J110+J111</f>
        <v>784828.5591200001</v>
      </c>
      <c r="K112" s="7"/>
    </row>
    <row r="113">
      <c r="A113" s="1"/>
      <c r="B113" s="5" t="s">
        <v>231</v>
      </c>
      <c r="C113" s="16">
        <f>C112/C90</f>
        <v>13.9444131205143</v>
      </c>
      <c r="D113" s="16">
        <f>D112/D90</f>
        <v>15.360094461476292</v>
      </c>
      <c r="E113" s="16">
        <f>E112/E90</f>
        <v>17.443116081758582</v>
      </c>
      <c r="F113" s="16">
        <f>F112/F90</f>
        <v>19.5032972118314</v>
      </c>
      <c r="G113" s="16">
        <f>G112/G90</f>
        <v>66.24886615432132</v>
      </c>
      <c r="H113" s="16">
        <f>H112/H90</f>
        <v>22.07678289855283</v>
      </c>
      <c r="I113" s="16">
        <f>I112/I90</f>
        <v>27.246885683203047</v>
      </c>
      <c r="J113" s="20">
        <f>J112/J90</f>
        <v>30.26513534767834</v>
      </c>
      <c r="K113" s="7"/>
    </row>
    <row r="114">
      <c r="A114" s="1"/>
      <c r="B114" s="11" t="s">
        <v>232</v>
      </c>
      <c r="C114" s="71">
        <f>C113*C99/C100</f>
        <v>2.1205007786670165</v>
      </c>
      <c r="D114" s="71">
        <f>D113*D99/D100</f>
        <v>2.4734451628786296</v>
      </c>
      <c r="E114" s="71">
        <f>E113*E99/E100</f>
        <v>2.915933815071645</v>
      </c>
      <c r="F114" s="71">
        <f>F113*F99/F100</f>
        <v>3.144678686203063</v>
      </c>
      <c r="G114" s="71">
        <f>G113*G99/G100</f>
        <v>10.646801913642546</v>
      </c>
      <c r="H114" s="71">
        <f>H113*H99/H100</f>
        <v>3.4942676319330217</v>
      </c>
      <c r="I114" s="71">
        <f>I113*I99/I100</f>
        <v>4.3112160891144065</v>
      </c>
      <c r="J114" s="95">
        <f>J113*J99/J100</f>
        <v>4.729503806351139</v>
      </c>
      <c r="K114" s="7"/>
    </row>
    <row r="115">
      <c r="A115" s="1"/>
      <c r="B115" s="18" t="s">
        <v>97</v>
      </c>
      <c r="C115" s="3" t="s">
        <v>38</v>
      </c>
      <c r="D115" s="3" t="s">
        <v>38</v>
      </c>
      <c r="E115" s="3" t="s">
        <v>38</v>
      </c>
      <c r="F115" s="3" t="s">
        <v>38</v>
      </c>
      <c r="G115" s="3" t="s">
        <v>38</v>
      </c>
      <c r="H115" s="3">
        <f>H114/C114-1</f>
        <v>0.6478501998615529</v>
      </c>
      <c r="I115" s="3">
        <f>I114/D114-1</f>
        <v>0.7430004731121485</v>
      </c>
      <c r="J115" s="9">
        <f>J114/E114-1</f>
        <v>0.6219516992826306</v>
      </c>
      <c r="K115" s="7"/>
    </row>
    <row r="116">
      <c r="A116" s="1"/>
      <c r="B116" s="18" t="s">
        <v>98</v>
      </c>
      <c r="C116" s="3" t="s">
        <v>38</v>
      </c>
      <c r="D116" s="3">
        <f>D114/C114-1</f>
        <v>0.166443883332823</v>
      </c>
      <c r="E116" s="3">
        <f>E114/D114-1</f>
        <v>0.1788956791255647</v>
      </c>
      <c r="F116" s="3">
        <f>F114/E114-1</f>
        <v>0.07844652369992078</v>
      </c>
      <c r="G116" s="3" t="s">
        <v>38</v>
      </c>
      <c r="H116" s="3">
        <f>H114/F114-1</f>
        <v>0.11116841515915188</v>
      </c>
      <c r="I116" s="3">
        <f>I114/H114-1</f>
        <v>0.23379676179224163</v>
      </c>
      <c r="J116" s="9">
        <f>J114/I114-1</f>
        <v>0.09702313885237324</v>
      </c>
      <c r="K116" s="7"/>
    </row>
    <row r="117">
      <c r="A117" s="1"/>
      <c r="B117" s="5" t="s">
        <v>233</v>
      </c>
      <c r="C117" s="81">
        <f>Inputs!E101</f>
        <v>2.12</v>
      </c>
      <c r="D117" s="81">
        <f>Inputs!E102</f>
        <v>2.47</v>
      </c>
      <c r="E117" s="81">
        <f>Inputs!E103</f>
        <v>2.92</v>
      </c>
      <c r="F117" s="81">
        <f>Inputs!E104</f>
        <v>3.14</v>
      </c>
      <c r="G117" s="73" t="s">
        <v>38</v>
      </c>
      <c r="H117" s="81">
        <f>Inputs!E105</f>
        <v>3.49</v>
      </c>
      <c r="I117" s="81">
        <f>Inputs!E106</f>
        <v>4.31</v>
      </c>
      <c r="J117" s="69">
        <f>Inputs!C39</f>
        <v>4.46</v>
      </c>
      <c r="K117" s="7"/>
    </row>
    <row r="118">
      <c r="A118" s="1"/>
      <c r="B118" s="5" t="s">
        <v>234</v>
      </c>
      <c r="C118" s="73">
        <f>C114-C117</f>
        <v>0.0005007786670163661</v>
      </c>
      <c r="D118" s="73">
        <f>D114-D117</f>
        <v>0.003445162878629393</v>
      </c>
      <c r="E118" s="73">
        <f>E114-E117</f>
        <v>-0.004066184928354755</v>
      </c>
      <c r="F118" s="73">
        <f>F114-F117</f>
        <v>0.004678686203062998</v>
      </c>
      <c r="G118" s="73"/>
      <c r="H118" s="73">
        <f>H114-H117</f>
        <v>0.004267631933021487</v>
      </c>
      <c r="I118" s="73">
        <f>I114-I117</f>
        <v>0.0012160891144068486</v>
      </c>
      <c r="J118" s="92">
        <f>J114-J117</f>
        <v>0.269503806351139</v>
      </c>
      <c r="K118" s="7"/>
    </row>
    <row r="119">
      <c r="A119" s="1"/>
      <c r="B119" s="5" t="s">
        <v>235</v>
      </c>
      <c r="C119" s="16"/>
      <c r="D119" s="16"/>
      <c r="E119" s="16"/>
      <c r="F119" s="16"/>
      <c r="G119" s="16"/>
      <c r="H119" s="16"/>
      <c r="I119" s="29">
        <v>2.24</v>
      </c>
      <c r="J119" s="20"/>
      <c r="K119" s="7" t="s">
        <v>236</v>
      </c>
    </row>
    <row r="120">
      <c r="A120" s="1"/>
      <c r="B120" s="5" t="s">
        <v>237</v>
      </c>
      <c r="C120" s="16"/>
      <c r="D120" s="16"/>
      <c r="E120" s="16"/>
      <c r="F120" s="16"/>
      <c r="G120" s="16"/>
      <c r="H120" s="16"/>
      <c r="I120" s="16">
        <f>I97-I119</f>
        <v>25.009999999999998</v>
      </c>
      <c r="J120" s="20"/>
      <c r="K120" s="7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22"/>
      <c r="K121" s="1"/>
    </row>
    <row r="122">
      <c r="A122" s="1"/>
      <c r="B122" s="121" t="s">
        <v>238</v>
      </c>
      <c r="C122" s="113" t="s">
        <v>112</v>
      </c>
      <c r="D122" s="113" t="s">
        <v>112</v>
      </c>
      <c r="E122" s="113" t="s">
        <v>112</v>
      </c>
      <c r="F122" s="113" t="s">
        <v>112</v>
      </c>
      <c r="G122" s="113" t="s">
        <v>112</v>
      </c>
      <c r="H122" s="113" t="s">
        <v>112</v>
      </c>
      <c r="I122" s="113" t="s">
        <v>112</v>
      </c>
      <c r="J122" s="120" t="s">
        <v>112</v>
      </c>
      <c r="K122" s="115" t="s">
        <v>239</v>
      </c>
    </row>
    <row r="123">
      <c r="B123" s="125" t="s">
        <v>240</v>
      </c>
      <c r="C123" s="119">
        <f>C46+'Cash Flow Statement'!C12</f>
        <v>582214</v>
      </c>
      <c r="D123" s="119">
        <f>D46+'Cash Flow Statement'!D12</f>
        <v>651492</v>
      </c>
      <c r="E123" s="119">
        <f>E46+'Cash Flow Statement'!E12</f>
        <v>663478</v>
      </c>
      <c r="F123" s="119">
        <f>F46+'Cash Flow Statement'!F12</f>
        <v>727010</v>
      </c>
      <c r="G123" s="119">
        <f>G46+'Cash Flow Statement'!G12</f>
        <v>2624194</v>
      </c>
      <c r="H123" s="119">
        <f>H46+'Cash Flow Statement'!H12</f>
        <v>824423</v>
      </c>
      <c r="I123" s="119">
        <f>I46+'Cash Flow Statement'!I12</f>
        <v>965140</v>
      </c>
      <c r="J123" s="124">
        <f>J46+'Cash Flow Statement'!J12</f>
        <v>1109712.496</v>
      </c>
      <c r="K123" s="123" t="s">
        <v>241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9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242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243</v>
      </c>
      <c r="C9" s="22"/>
      <c r="D9" s="22"/>
      <c r="E9" s="22"/>
      <c r="F9" s="22"/>
      <c r="G9" s="22"/>
      <c r="H9" s="22"/>
      <c r="I9" s="22"/>
      <c r="J9" s="33"/>
      <c r="K9" s="7"/>
    </row>
    <row r="10">
      <c r="A10" s="1"/>
      <c r="B10" s="5" t="s">
        <v>244</v>
      </c>
      <c r="C10" s="46">
        <v>2394800</v>
      </c>
      <c r="D10" s="46">
        <v>2364520</v>
      </c>
      <c r="E10" s="46">
        <v>2470760</v>
      </c>
      <c r="F10" s="46">
        <v>2767860</v>
      </c>
      <c r="G10" s="12">
        <f>F10</f>
        <v>2767860</v>
      </c>
      <c r="H10" s="46">
        <v>3035640</v>
      </c>
      <c r="I10" s="46">
        <v>3134220</v>
      </c>
      <c r="J10" s="72">
        <f>'Cash Flow Statement'!J62</f>
        <v>3291157.167001685</v>
      </c>
      <c r="K10" s="7" t="s">
        <v>245</v>
      </c>
    </row>
    <row r="11">
      <c r="A11" s="1"/>
      <c r="B11" s="18" t="s">
        <v>88</v>
      </c>
      <c r="C11" s="3" t="s">
        <v>38</v>
      </c>
      <c r="D11" s="3" t="s">
        <v>38</v>
      </c>
      <c r="E11" s="3" t="s">
        <v>38</v>
      </c>
      <c r="F11" s="3" t="s">
        <v>38</v>
      </c>
      <c r="G11" s="3" t="s">
        <v>38</v>
      </c>
      <c r="H11" s="3">
        <f>H10/C10-1</f>
        <v>0.26759645899448814</v>
      </c>
      <c r="I11" s="3">
        <f>I10/D10-1</f>
        <v>0.3255206130631163</v>
      </c>
      <c r="J11" s="9">
        <f>J10/E10-1</f>
        <v>0.3320424351218594</v>
      </c>
      <c r="K11" s="7"/>
    </row>
    <row r="12">
      <c r="A12" s="1"/>
      <c r="B12" s="5" t="s">
        <v>89</v>
      </c>
      <c r="C12" s="12" t="s">
        <v>38</v>
      </c>
      <c r="D12" s="12">
        <f>D10-C10</f>
        <v>-30280</v>
      </c>
      <c r="E12" s="12">
        <f>E10-D10</f>
        <v>106240</v>
      </c>
      <c r="F12" s="12">
        <f>F10-E10</f>
        <v>297100</v>
      </c>
      <c r="G12" s="12" t="s">
        <v>38</v>
      </c>
      <c r="H12" s="12">
        <f>H10-F10</f>
        <v>267780</v>
      </c>
      <c r="I12" s="12">
        <f>I10-H10</f>
        <v>98580</v>
      </c>
      <c r="J12" s="8">
        <f>J10-I10</f>
        <v>156937.16700168513</v>
      </c>
      <c r="K12" s="7"/>
    </row>
    <row r="13">
      <c r="A13" s="1"/>
      <c r="B13" s="5" t="s">
        <v>246</v>
      </c>
      <c r="C13" s="12">
        <f>C16-C10</f>
        <v>308290</v>
      </c>
      <c r="D13" s="12">
        <f>D16-D10</f>
        <v>269910</v>
      </c>
      <c r="E13" s="12">
        <f>E16-E10</f>
        <v>280300</v>
      </c>
      <c r="F13" s="12">
        <f>F16-F10</f>
        <v>300730</v>
      </c>
      <c r="G13" s="12">
        <f>F13</f>
        <v>300730</v>
      </c>
      <c r="H13" s="12">
        <f>H16-H10</f>
        <v>347960</v>
      </c>
      <c r="I13" s="12">
        <f>I16-I10</f>
        <v>383790</v>
      </c>
      <c r="J13" s="72">
        <f>I13-'Cash Flow Statement'!J34</f>
        <v>408622.5</v>
      </c>
      <c r="K13" s="7"/>
    </row>
    <row r="14">
      <c r="A14" s="1"/>
      <c r="B14" s="18" t="s">
        <v>88</v>
      </c>
      <c r="C14" s="3" t="s">
        <v>38</v>
      </c>
      <c r="D14" s="3" t="s">
        <v>38</v>
      </c>
      <c r="E14" s="3" t="s">
        <v>38</v>
      </c>
      <c r="F14" s="3" t="s">
        <v>38</v>
      </c>
      <c r="G14" s="3" t="s">
        <v>38</v>
      </c>
      <c r="H14" s="3">
        <f>H13/C13-1</f>
        <v>0.1286775438710306</v>
      </c>
      <c r="I14" s="3">
        <f>I13/D13-1</f>
        <v>0.4219184172501944</v>
      </c>
      <c r="J14" s="9">
        <f>J13/E13-1</f>
        <v>0.4578041384231182</v>
      </c>
      <c r="K14" s="7"/>
    </row>
    <row r="15">
      <c r="A15" s="1"/>
      <c r="B15" s="5" t="s">
        <v>89</v>
      </c>
      <c r="C15" s="12" t="s">
        <v>38</v>
      </c>
      <c r="D15" s="12">
        <f>D13-C13</f>
        <v>-38380</v>
      </c>
      <c r="E15" s="12">
        <f>E13-D13</f>
        <v>10390</v>
      </c>
      <c r="F15" s="12">
        <f>F13-E13</f>
        <v>20430</v>
      </c>
      <c r="G15" s="12" t="s">
        <v>38</v>
      </c>
      <c r="H15" s="12">
        <f>H13-F13</f>
        <v>47230</v>
      </c>
      <c r="I15" s="12">
        <f>I13-H13</f>
        <v>35830</v>
      </c>
      <c r="J15" s="8">
        <f>J13-I13</f>
        <v>24832.5</v>
      </c>
      <c r="K15" s="7"/>
    </row>
    <row r="16">
      <c r="A16" s="1"/>
      <c r="B16" s="11" t="s">
        <v>247</v>
      </c>
      <c r="C16" s="26">
        <v>2703090</v>
      </c>
      <c r="D16" s="26">
        <v>2634430</v>
      </c>
      <c r="E16" s="26">
        <v>2751060</v>
      </c>
      <c r="F16" s="26">
        <v>3068590</v>
      </c>
      <c r="G16" s="14">
        <f>F16</f>
        <v>3068590</v>
      </c>
      <c r="H16" s="26">
        <v>3383600</v>
      </c>
      <c r="I16" s="26">
        <v>3518010</v>
      </c>
      <c r="J16" s="70">
        <f>J10+J13</f>
        <v>3699779.667001685</v>
      </c>
      <c r="K16" s="7"/>
    </row>
    <row r="17">
      <c r="A17" s="1"/>
      <c r="B17" s="18" t="s">
        <v>97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>
        <f>H16/C16-1</f>
        <v>0.25175262384900243</v>
      </c>
      <c r="I17" s="3">
        <f>I16/D16-1</f>
        <v>0.33539703085676975</v>
      </c>
      <c r="J17" s="9">
        <f>J16/E16-1</f>
        <v>0.3448560434893042</v>
      </c>
      <c r="K17" s="7"/>
    </row>
    <row r="18">
      <c r="A18" s="1"/>
      <c r="B18" s="5" t="s">
        <v>99</v>
      </c>
      <c r="C18" s="12" t="s">
        <v>38</v>
      </c>
      <c r="D18" s="12">
        <f>D16-C16</f>
        <v>-68660</v>
      </c>
      <c r="E18" s="12">
        <f>E16-D16</f>
        <v>116630</v>
      </c>
      <c r="F18" s="12">
        <f>F16-E16</f>
        <v>317530</v>
      </c>
      <c r="G18" s="12" t="s">
        <v>38</v>
      </c>
      <c r="H18" s="12">
        <f>H16-F16</f>
        <v>315010</v>
      </c>
      <c r="I18" s="12">
        <f>I16-H16</f>
        <v>134410</v>
      </c>
      <c r="J18" s="8">
        <f>J16-I16</f>
        <v>181769.66700168513</v>
      </c>
      <c r="K18" s="7"/>
    </row>
    <row r="19">
      <c r="A19" s="1"/>
      <c r="B19" s="5" t="s">
        <v>248</v>
      </c>
      <c r="C19" s="46">
        <v>243950</v>
      </c>
      <c r="D19" s="46">
        <v>235690</v>
      </c>
      <c r="E19" s="46">
        <v>307810</v>
      </c>
      <c r="F19" s="46">
        <v>281790</v>
      </c>
      <c r="G19" s="12">
        <f>F19</f>
        <v>281790</v>
      </c>
      <c r="H19" s="46">
        <v>363010</v>
      </c>
      <c r="I19" s="46">
        <v>440920</v>
      </c>
      <c r="J19" s="72">
        <f>'Income Statement'!J9*J82</f>
        <v>518617.75497095357</v>
      </c>
      <c r="K19" s="7"/>
    </row>
    <row r="20">
      <c r="A20" s="1"/>
      <c r="B20" s="18" t="s">
        <v>88</v>
      </c>
      <c r="C20" s="3" t="s">
        <v>38</v>
      </c>
      <c r="D20" s="3" t="s">
        <v>38</v>
      </c>
      <c r="E20" s="3" t="s">
        <v>38</v>
      </c>
      <c r="F20" s="3" t="s">
        <v>38</v>
      </c>
      <c r="G20" s="3" t="s">
        <v>38</v>
      </c>
      <c r="H20" s="3">
        <f>H19/C19-1</f>
        <v>0.48805083008813277</v>
      </c>
      <c r="I20" s="3">
        <f>I19/D19-1</f>
        <v>0.8707624421910136</v>
      </c>
      <c r="J20" s="9">
        <f>J19/E19-1</f>
        <v>0.6848632434649737</v>
      </c>
      <c r="K20" s="7"/>
    </row>
    <row r="21">
      <c r="A21" s="1"/>
      <c r="B21" s="5" t="s">
        <v>89</v>
      </c>
      <c r="C21" s="12" t="s">
        <v>38</v>
      </c>
      <c r="D21" s="12">
        <f>D19-C19</f>
        <v>-8260</v>
      </c>
      <c r="E21" s="12">
        <f>E19-D19</f>
        <v>72120</v>
      </c>
      <c r="F21" s="12">
        <f>F19-E19</f>
        <v>-26020</v>
      </c>
      <c r="G21" s="12" t="s">
        <v>38</v>
      </c>
      <c r="H21" s="12">
        <f>H19-F19</f>
        <v>81220</v>
      </c>
      <c r="I21" s="12">
        <f>I19-H19</f>
        <v>77910</v>
      </c>
      <c r="J21" s="8">
        <f>J19-I19</f>
        <v>77697.75497095357</v>
      </c>
      <c r="K21" s="7"/>
    </row>
    <row r="22">
      <c r="A22" s="1"/>
      <c r="B22" s="5" t="s">
        <v>249</v>
      </c>
      <c r="C22" s="46">
        <v>293390</v>
      </c>
      <c r="D22" s="46">
        <v>304190</v>
      </c>
      <c r="E22" s="46">
        <v>288690</v>
      </c>
      <c r="F22" s="46">
        <v>288110</v>
      </c>
      <c r="G22" s="12">
        <f>F22</f>
        <v>288110</v>
      </c>
      <c r="H22" s="46">
        <v>311450</v>
      </c>
      <c r="I22" s="46">
        <v>385530</v>
      </c>
      <c r="J22" s="72">
        <f>-'Income Statement'!J13*J85</f>
        <v>460781.73298002774</v>
      </c>
      <c r="K22" s="7"/>
    </row>
    <row r="23">
      <c r="A23" s="1"/>
      <c r="B23" s="18" t="s">
        <v>88</v>
      </c>
      <c r="C23" s="3" t="s">
        <v>38</v>
      </c>
      <c r="D23" s="3" t="s">
        <v>38</v>
      </c>
      <c r="E23" s="3" t="s">
        <v>38</v>
      </c>
      <c r="F23" s="3" t="s">
        <v>38</v>
      </c>
      <c r="G23" s="3" t="s">
        <v>38</v>
      </c>
      <c r="H23" s="3">
        <f>H22/C22-1</f>
        <v>0.061556290262108515</v>
      </c>
      <c r="I23" s="3">
        <f>I22/D22-1</f>
        <v>0.2673986653078668</v>
      </c>
      <c r="J23" s="9">
        <f>J22/E22-1</f>
        <v>0.5961125531886373</v>
      </c>
      <c r="K23" s="7"/>
    </row>
    <row r="24">
      <c r="A24" s="1"/>
      <c r="B24" s="5" t="s">
        <v>89</v>
      </c>
      <c r="C24" s="12" t="s">
        <v>38</v>
      </c>
      <c r="D24" s="12">
        <f>D22-C22</f>
        <v>10800</v>
      </c>
      <c r="E24" s="12">
        <f>E22-D22</f>
        <v>-15500</v>
      </c>
      <c r="F24" s="12">
        <f>F22-E22</f>
        <v>-580</v>
      </c>
      <c r="G24" s="12" t="s">
        <v>38</v>
      </c>
      <c r="H24" s="12">
        <f>H22-F22</f>
        <v>23340</v>
      </c>
      <c r="I24" s="12">
        <f>I22-H22</f>
        <v>74080</v>
      </c>
      <c r="J24" s="8">
        <f>J22-I22</f>
        <v>75251.73298002774</v>
      </c>
      <c r="K24" s="7"/>
    </row>
    <row r="25">
      <c r="A25" s="1"/>
      <c r="B25" s="5" t="s">
        <v>250</v>
      </c>
      <c r="C25" s="46">
        <v>105240</v>
      </c>
      <c r="D25" s="46">
        <v>90610</v>
      </c>
      <c r="E25" s="46">
        <v>88460</v>
      </c>
      <c r="F25" s="46">
        <v>178640</v>
      </c>
      <c r="G25" s="12">
        <f>F25</f>
        <v>178640</v>
      </c>
      <c r="H25" s="46">
        <v>207450</v>
      </c>
      <c r="I25" s="46">
        <v>221240</v>
      </c>
      <c r="J25" s="8">
        <f>I25</f>
        <v>221240</v>
      </c>
      <c r="K25" s="7" t="s">
        <v>251</v>
      </c>
    </row>
    <row r="26">
      <c r="A26" s="1"/>
      <c r="B26" s="18" t="s">
        <v>88</v>
      </c>
      <c r="C26" s="3" t="s">
        <v>38</v>
      </c>
      <c r="D26" s="3" t="s">
        <v>38</v>
      </c>
      <c r="E26" s="3" t="s">
        <v>38</v>
      </c>
      <c r="F26" s="3" t="s">
        <v>38</v>
      </c>
      <c r="G26" s="3" t="s">
        <v>38</v>
      </c>
      <c r="H26" s="3">
        <f>H25/C25-1</f>
        <v>0.9712086659064993</v>
      </c>
      <c r="I26" s="3">
        <f>I25/D25-1</f>
        <v>1.4416731045138507</v>
      </c>
      <c r="J26" s="9">
        <f>J25/E25-1</f>
        <v>1.5010174089984174</v>
      </c>
      <c r="K26" s="7"/>
    </row>
    <row r="27">
      <c r="A27" s="1"/>
      <c r="B27" s="5" t="s">
        <v>89</v>
      </c>
      <c r="C27" s="12" t="s">
        <v>38</v>
      </c>
      <c r="D27" s="12">
        <f>D25-C25</f>
        <v>-14630</v>
      </c>
      <c r="E27" s="12">
        <f>E25-D25</f>
        <v>-2150</v>
      </c>
      <c r="F27" s="12">
        <f>F25-E25</f>
        <v>90180</v>
      </c>
      <c r="G27" s="12" t="s">
        <v>38</v>
      </c>
      <c r="H27" s="12">
        <f>H25-F25</f>
        <v>28810</v>
      </c>
      <c r="I27" s="12">
        <f>I25-H25</f>
        <v>13790</v>
      </c>
      <c r="J27" s="8">
        <f>J25-I25</f>
        <v>0</v>
      </c>
      <c r="K27" s="7"/>
    </row>
    <row r="28">
      <c r="A28" s="1"/>
      <c r="B28" s="11" t="s">
        <v>252</v>
      </c>
      <c r="C28" s="14">
        <f>C16+C19+C22+C25</f>
        <v>3345670</v>
      </c>
      <c r="D28" s="14">
        <f>D16+D19+D22+D25</f>
        <v>3264920</v>
      </c>
      <c r="E28" s="14">
        <f>E16+E19+E22+E25</f>
        <v>3436020</v>
      </c>
      <c r="F28" s="14">
        <f>F16+F19+F22+F25</f>
        <v>3817130</v>
      </c>
      <c r="G28" s="14">
        <f>F28</f>
        <v>3817130</v>
      </c>
      <c r="H28" s="14">
        <f>H16+H19+H22+H25</f>
        <v>4265510</v>
      </c>
      <c r="I28" s="14">
        <f>I16+I19+I22+I25</f>
        <v>4565700</v>
      </c>
      <c r="J28" s="70">
        <f>J16+J19+J22+J25</f>
        <v>4900419.154952667</v>
      </c>
      <c r="K28" s="7"/>
    </row>
    <row r="29">
      <c r="A29" s="1"/>
      <c r="B29" s="5" t="s">
        <v>253</v>
      </c>
      <c r="C29" s="46">
        <v>160790</v>
      </c>
      <c r="D29" s="46">
        <v>137430</v>
      </c>
      <c r="E29" s="46">
        <v>148980</v>
      </c>
      <c r="F29" s="46">
        <v>172370</v>
      </c>
      <c r="G29" s="12">
        <f>F29</f>
        <v>172370</v>
      </c>
      <c r="H29" s="46">
        <v>166570</v>
      </c>
      <c r="I29" s="46">
        <v>227930</v>
      </c>
      <c r="J29" s="72">
        <f>I29+'Income Statement'!J52</f>
        <v>228830</v>
      </c>
      <c r="K29" s="7" t="s">
        <v>254</v>
      </c>
    </row>
    <row r="30">
      <c r="A30" s="1"/>
      <c r="B30" s="18" t="s">
        <v>88</v>
      </c>
      <c r="C30" s="3" t="s">
        <v>38</v>
      </c>
      <c r="D30" s="3" t="s">
        <v>38</v>
      </c>
      <c r="E30" s="3" t="s">
        <v>38</v>
      </c>
      <c r="F30" s="3" t="s">
        <v>38</v>
      </c>
      <c r="G30" s="3" t="s">
        <v>38</v>
      </c>
      <c r="H30" s="3">
        <f>H29/C29-1</f>
        <v>0.035947509173456016</v>
      </c>
      <c r="I30" s="3">
        <f>I29/D29-1</f>
        <v>0.6585170632321908</v>
      </c>
      <c r="J30" s="9">
        <f>J29/E29-1</f>
        <v>0.5359779836219627</v>
      </c>
      <c r="K30" s="7"/>
    </row>
    <row r="31">
      <c r="A31" s="1"/>
      <c r="B31" s="5" t="s">
        <v>89</v>
      </c>
      <c r="C31" s="12" t="s">
        <v>38</v>
      </c>
      <c r="D31" s="12">
        <f>D29-C29</f>
        <v>-23360</v>
      </c>
      <c r="E31" s="12">
        <f>E29-D29</f>
        <v>11550</v>
      </c>
      <c r="F31" s="12">
        <f>F29-E29</f>
        <v>23390</v>
      </c>
      <c r="G31" s="12" t="s">
        <v>38</v>
      </c>
      <c r="H31" s="12">
        <f>H29-F29</f>
        <v>-5800</v>
      </c>
      <c r="I31" s="12">
        <f>I29-H29</f>
        <v>61360</v>
      </c>
      <c r="J31" s="8">
        <f>J29-I29</f>
        <v>900</v>
      </c>
      <c r="K31" s="7"/>
    </row>
    <row r="32">
      <c r="A32" s="1"/>
      <c r="B32" s="5" t="s">
        <v>255</v>
      </c>
      <c r="C32" s="46">
        <v>3400810</v>
      </c>
      <c r="D32" s="46">
        <v>3386210</v>
      </c>
      <c r="E32" s="46">
        <v>3499340</v>
      </c>
      <c r="F32" s="46">
        <v>3691840</v>
      </c>
      <c r="G32" s="12">
        <f>F32</f>
        <v>3691840</v>
      </c>
      <c r="H32" s="46">
        <v>3954680</v>
      </c>
      <c r="I32" s="46">
        <v>4302880</v>
      </c>
      <c r="J32" s="72">
        <f>I32-'Cash Flow Statement'!J31-'Cash Flow Statement'!J12</f>
        <v>4656011.36</v>
      </c>
      <c r="K32" s="7" t="s">
        <v>256</v>
      </c>
    </row>
    <row r="33">
      <c r="A33" s="1"/>
      <c r="B33" s="18" t="s">
        <v>88</v>
      </c>
      <c r="C33" s="3" t="s">
        <v>38</v>
      </c>
      <c r="D33" s="3" t="s">
        <v>38</v>
      </c>
      <c r="E33" s="3" t="s">
        <v>38</v>
      </c>
      <c r="F33" s="3" t="s">
        <v>38</v>
      </c>
      <c r="G33" s="3" t="s">
        <v>38</v>
      </c>
      <c r="H33" s="3">
        <f>H32/C32-1</f>
        <v>0.162864141189893</v>
      </c>
      <c r="I33" s="3">
        <f>I32/D32-1</f>
        <v>0.2707067783746431</v>
      </c>
      <c r="J33" s="9">
        <f>J32/E32-1</f>
        <v>0.3305398618025115</v>
      </c>
      <c r="K33" s="7"/>
    </row>
    <row r="34">
      <c r="A34" s="1"/>
      <c r="B34" s="5" t="s">
        <v>89</v>
      </c>
      <c r="C34" s="12" t="s">
        <v>38</v>
      </c>
      <c r="D34" s="12">
        <f>D32-C32</f>
        <v>-14600</v>
      </c>
      <c r="E34" s="12">
        <f>E32-D32</f>
        <v>113130</v>
      </c>
      <c r="F34" s="12">
        <f>F32-E32</f>
        <v>192500</v>
      </c>
      <c r="G34" s="12" t="s">
        <v>38</v>
      </c>
      <c r="H34" s="12">
        <f>H32-F32</f>
        <v>262840</v>
      </c>
      <c r="I34" s="12">
        <f>I32-H32</f>
        <v>348200</v>
      </c>
      <c r="J34" s="8">
        <f>J32-I32</f>
        <v>353131.36000000034</v>
      </c>
      <c r="K34" s="7"/>
    </row>
    <row r="35">
      <c r="A35" s="1"/>
      <c r="B35" s="5" t="s">
        <v>257</v>
      </c>
      <c r="C35" s="12">
        <f>C41-C28-C29-C32</f>
        <v>226020</v>
      </c>
      <c r="D35" s="12">
        <f>D41-D28-D29-D32</f>
        <v>217790</v>
      </c>
      <c r="E35" s="12">
        <f>E41-E28-E29-E32</f>
        <v>269770</v>
      </c>
      <c r="F35" s="12">
        <f>F41-F28-F29-F32</f>
        <v>251680</v>
      </c>
      <c r="G35" s="12">
        <f>F35</f>
        <v>251680</v>
      </c>
      <c r="H35" s="12">
        <f>H41-H28-H29-H32</f>
        <v>274190</v>
      </c>
      <c r="I35" s="12">
        <f>I41-I28-I29-I32</f>
        <v>279140</v>
      </c>
      <c r="J35" s="8">
        <f>I35</f>
        <v>279140</v>
      </c>
      <c r="K35" s="7"/>
    </row>
    <row r="36">
      <c r="A36" s="1"/>
      <c r="B36" s="18" t="s">
        <v>88</v>
      </c>
      <c r="C36" s="3" t="s">
        <v>38</v>
      </c>
      <c r="D36" s="3" t="s">
        <v>38</v>
      </c>
      <c r="E36" s="3" t="s">
        <v>38</v>
      </c>
      <c r="F36" s="3" t="s">
        <v>38</v>
      </c>
      <c r="G36" s="3" t="s">
        <v>38</v>
      </c>
      <c r="H36" s="3">
        <f>H35/C35-1</f>
        <v>0.21312273250154856</v>
      </c>
      <c r="I36" s="3">
        <f>I35/D35-1</f>
        <v>0.2816933743514394</v>
      </c>
      <c r="J36" s="9">
        <f>J35/E35-1</f>
        <v>0.03473329132223757</v>
      </c>
      <c r="K36" s="7"/>
    </row>
    <row r="37">
      <c r="A37" s="1"/>
      <c r="B37" s="5" t="s">
        <v>89</v>
      </c>
      <c r="C37" s="12" t="s">
        <v>38</v>
      </c>
      <c r="D37" s="12">
        <f>D35-C35</f>
        <v>-8230</v>
      </c>
      <c r="E37" s="12">
        <f>E35-D35</f>
        <v>51980</v>
      </c>
      <c r="F37" s="12">
        <f>F35-E35</f>
        <v>-18090</v>
      </c>
      <c r="G37" s="12" t="s">
        <v>38</v>
      </c>
      <c r="H37" s="12">
        <f>H35-F35</f>
        <v>22510</v>
      </c>
      <c r="I37" s="12">
        <f>I35-H35</f>
        <v>4950</v>
      </c>
      <c r="J37" s="8">
        <f>J35-I35</f>
        <v>0</v>
      </c>
      <c r="K37" s="7"/>
    </row>
    <row r="38">
      <c r="A38" s="1"/>
      <c r="B38" s="11" t="s">
        <v>258</v>
      </c>
      <c r="C38" s="14">
        <f>C28+C29+C32+C35</f>
        <v>7133290</v>
      </c>
      <c r="D38" s="14">
        <f>D28+D29+D32+D35</f>
        <v>7006350</v>
      </c>
      <c r="E38" s="14">
        <f>E28+E29+E32+E35</f>
        <v>7354110</v>
      </c>
      <c r="F38" s="14">
        <f>F28+F29+F32+F35</f>
        <v>7933020</v>
      </c>
      <c r="G38" s="14">
        <f>F38</f>
        <v>7933020</v>
      </c>
      <c r="H38" s="14">
        <f>H28+H29+H32+H35</f>
        <v>8660950</v>
      </c>
      <c r="I38" s="14">
        <f>I28+I29+I32+I35</f>
        <v>9375650</v>
      </c>
      <c r="J38" s="70">
        <f>J28+J29+J32+J35</f>
        <v>10064400.514952667</v>
      </c>
      <c r="K38" s="7"/>
    </row>
    <row r="39">
      <c r="A39" s="1"/>
      <c r="B39" s="18" t="s">
        <v>97</v>
      </c>
      <c r="C39" s="3" t="s">
        <v>38</v>
      </c>
      <c r="D39" s="3" t="s">
        <v>38</v>
      </c>
      <c r="E39" s="3" t="s">
        <v>38</v>
      </c>
      <c r="F39" s="3" t="s">
        <v>38</v>
      </c>
      <c r="G39" s="3" t="s">
        <v>38</v>
      </c>
      <c r="H39" s="3">
        <f>H38/C38-1</f>
        <v>0.21415924489260907</v>
      </c>
      <c r="I39" s="3">
        <f>I38/D38-1</f>
        <v>0.3381646649111163</v>
      </c>
      <c r="J39" s="9">
        <f>J38/E38-1</f>
        <v>0.36854092676784367</v>
      </c>
      <c r="K39" s="7"/>
    </row>
    <row r="40">
      <c r="A40" s="1"/>
      <c r="B40" s="5" t="s">
        <v>99</v>
      </c>
      <c r="C40" s="12" t="s">
        <v>38</v>
      </c>
      <c r="D40" s="12">
        <f>D38-C38</f>
        <v>-126940</v>
      </c>
      <c r="E40" s="12">
        <f>E38-D38</f>
        <v>347760</v>
      </c>
      <c r="F40" s="12">
        <f>F38-E38</f>
        <v>578910</v>
      </c>
      <c r="G40" s="12" t="s">
        <v>38</v>
      </c>
      <c r="H40" s="12">
        <f>H38-F38</f>
        <v>727930</v>
      </c>
      <c r="I40" s="12">
        <f>I38-H38</f>
        <v>714700</v>
      </c>
      <c r="J40" s="8">
        <f>J38-I38</f>
        <v>688750.514952667</v>
      </c>
      <c r="K40" s="7"/>
    </row>
    <row r="41">
      <c r="A41" s="1"/>
      <c r="B41" s="5" t="s">
        <v>259</v>
      </c>
      <c r="C41" s="46">
        <v>7133290</v>
      </c>
      <c r="D41" s="46">
        <v>7006350</v>
      </c>
      <c r="E41" s="46">
        <v>7354110</v>
      </c>
      <c r="F41" s="46">
        <v>7933020</v>
      </c>
      <c r="G41" s="12">
        <f>F41</f>
        <v>7933020</v>
      </c>
      <c r="H41" s="46">
        <v>8660950</v>
      </c>
      <c r="I41" s="46">
        <v>9375650</v>
      </c>
      <c r="J41" s="8" t="s">
        <v>38</v>
      </c>
      <c r="K41" s="7"/>
    </row>
    <row r="42">
      <c r="A42" s="1"/>
      <c r="B42" s="5"/>
      <c r="C42" s="4"/>
      <c r="D42" s="4"/>
      <c r="E42" s="4"/>
      <c r="F42" s="4"/>
      <c r="G42" s="4"/>
      <c r="H42" s="4"/>
      <c r="I42" s="4"/>
      <c r="J42" s="24"/>
      <c r="K42" s="7"/>
    </row>
    <row r="43">
      <c r="A43" s="1"/>
      <c r="B43" s="11" t="s">
        <v>260</v>
      </c>
      <c r="C43" s="22"/>
      <c r="D43" s="22"/>
      <c r="E43" s="22"/>
      <c r="F43" s="22"/>
      <c r="G43" s="22"/>
      <c r="H43" s="22"/>
      <c r="I43" s="22"/>
      <c r="J43" s="33"/>
      <c r="K43" s="7"/>
    </row>
    <row r="44">
      <c r="A44" s="1"/>
      <c r="B44" s="5" t="s">
        <v>261</v>
      </c>
      <c r="C44" s="46">
        <v>275940</v>
      </c>
      <c r="D44" s="46">
        <v>246190</v>
      </c>
      <c r="E44" s="46">
        <v>261820</v>
      </c>
      <c r="F44" s="46">
        <v>262060</v>
      </c>
      <c r="G44" s="12">
        <f>F44</f>
        <v>262060</v>
      </c>
      <c r="H44" s="46">
        <v>343780</v>
      </c>
      <c r="I44" s="46">
        <v>401480</v>
      </c>
      <c r="J44" s="72">
        <f>-'Income Statement'!J13*J88</f>
        <v>479845.0189526665</v>
      </c>
      <c r="K44" s="7"/>
    </row>
    <row r="45">
      <c r="A45" s="1"/>
      <c r="B45" s="18" t="s">
        <v>88</v>
      </c>
      <c r="C45" s="3" t="s">
        <v>38</v>
      </c>
      <c r="D45" s="3" t="s">
        <v>38</v>
      </c>
      <c r="E45" s="3" t="s">
        <v>38</v>
      </c>
      <c r="F45" s="3" t="s">
        <v>38</v>
      </c>
      <c r="G45" s="3" t="s">
        <v>38</v>
      </c>
      <c r="H45" s="3">
        <f>H44/C44-1</f>
        <v>0.24585054722041022</v>
      </c>
      <c r="I45" s="3">
        <f>I44/D44-1</f>
        <v>0.6307729802185305</v>
      </c>
      <c r="J45" s="9">
        <f>J44/E44-1</f>
        <v>0.8327286645507084</v>
      </c>
      <c r="K45" s="7"/>
    </row>
    <row r="46">
      <c r="A46" s="1"/>
      <c r="B46" s="5" t="s">
        <v>89</v>
      </c>
      <c r="C46" s="12" t="s">
        <v>38</v>
      </c>
      <c r="D46" s="12">
        <f>D44-C44</f>
        <v>-29750</v>
      </c>
      <c r="E46" s="12">
        <f>E44-D44</f>
        <v>15630</v>
      </c>
      <c r="F46" s="12">
        <f>F44-E44</f>
        <v>240</v>
      </c>
      <c r="G46" s="12" t="s">
        <v>38</v>
      </c>
      <c r="H46" s="12">
        <f>H44-F44</f>
        <v>81720</v>
      </c>
      <c r="I46" s="12">
        <f>I44-H44</f>
        <v>57700</v>
      </c>
      <c r="J46" s="8">
        <f>J44-I44</f>
        <v>78365.01895266649</v>
      </c>
      <c r="K46" s="7"/>
    </row>
    <row r="47">
      <c r="A47" s="1"/>
      <c r="B47" s="5" t="s">
        <v>262</v>
      </c>
      <c r="C47" s="46">
        <v>61770</v>
      </c>
      <c r="D47" s="46">
        <v>94210</v>
      </c>
      <c r="E47" s="46">
        <v>76220</v>
      </c>
      <c r="F47" s="46">
        <v>136930</v>
      </c>
      <c r="G47" s="12">
        <f>F47</f>
        <v>136930</v>
      </c>
      <c r="H47" s="46">
        <v>156240</v>
      </c>
      <c r="I47" s="46">
        <v>167410</v>
      </c>
      <c r="J47" s="8">
        <f>I47</f>
        <v>167410</v>
      </c>
      <c r="K47" s="7"/>
    </row>
    <row r="48">
      <c r="A48" s="1"/>
      <c r="B48" s="18" t="s">
        <v>88</v>
      </c>
      <c r="C48" s="3" t="s">
        <v>38</v>
      </c>
      <c r="D48" s="3" t="s">
        <v>38</v>
      </c>
      <c r="E48" s="3" t="s">
        <v>38</v>
      </c>
      <c r="F48" s="3" t="s">
        <v>38</v>
      </c>
      <c r="G48" s="3" t="s">
        <v>38</v>
      </c>
      <c r="H48" s="3">
        <f>H47/C47-1</f>
        <v>1.5293831957260808</v>
      </c>
      <c r="I48" s="3">
        <f>I47/D47-1</f>
        <v>0.7769875809362063</v>
      </c>
      <c r="J48" s="9">
        <f>J47/E47-1</f>
        <v>1.1964051430070848</v>
      </c>
      <c r="K48" s="7"/>
    </row>
    <row r="49">
      <c r="A49" s="1"/>
      <c r="B49" s="5" t="s">
        <v>89</v>
      </c>
      <c r="C49" s="12" t="s">
        <v>38</v>
      </c>
      <c r="D49" s="12">
        <f>D47-C47</f>
        <v>32440</v>
      </c>
      <c r="E49" s="12">
        <f>E47-D47</f>
        <v>-17990</v>
      </c>
      <c r="F49" s="12">
        <f>F47-E47</f>
        <v>60710</v>
      </c>
      <c r="G49" s="12" t="s">
        <v>38</v>
      </c>
      <c r="H49" s="12">
        <f>H47-F47</f>
        <v>19310</v>
      </c>
      <c r="I49" s="12">
        <f>I47-H47</f>
        <v>11170</v>
      </c>
      <c r="J49" s="8">
        <f>J47-I47</f>
        <v>0</v>
      </c>
      <c r="K49" s="7"/>
    </row>
    <row r="50">
      <c r="A50" s="1"/>
      <c r="B50" s="5" t="s">
        <v>263</v>
      </c>
      <c r="C50" s="46">
        <v>233390</v>
      </c>
      <c r="D50" s="46">
        <v>246670</v>
      </c>
      <c r="E50" s="46">
        <v>259330</v>
      </c>
      <c r="F50" s="46">
        <v>285260</v>
      </c>
      <c r="G50" s="12">
        <f>F50</f>
        <v>285260</v>
      </c>
      <c r="H50" s="46">
        <v>311190</v>
      </c>
      <c r="I50" s="46">
        <v>337430</v>
      </c>
      <c r="J50" s="72">
        <f>I50+'Share Count'!J39-'Share Count'!J42</f>
        <v>363362</v>
      </c>
      <c r="K50" s="7" t="s">
        <v>264</v>
      </c>
    </row>
    <row r="51">
      <c r="A51" s="1"/>
      <c r="B51" s="18" t="s">
        <v>88</v>
      </c>
      <c r="C51" s="3" t="s">
        <v>38</v>
      </c>
      <c r="D51" s="3" t="s">
        <v>38</v>
      </c>
      <c r="E51" s="3" t="s">
        <v>38</v>
      </c>
      <c r="F51" s="3" t="s">
        <v>38</v>
      </c>
      <c r="G51" s="3" t="s">
        <v>38</v>
      </c>
      <c r="H51" s="3">
        <f>H50/C50-1</f>
        <v>0.33334761557907355</v>
      </c>
      <c r="I51" s="3">
        <f>I50/D50-1</f>
        <v>0.36794097377062474</v>
      </c>
      <c r="J51" s="9">
        <f>J50/E50-1</f>
        <v>0.40115682720857593</v>
      </c>
      <c r="K51" s="7"/>
    </row>
    <row r="52">
      <c r="A52" s="1"/>
      <c r="B52" s="5" t="s">
        <v>89</v>
      </c>
      <c r="C52" s="12" t="s">
        <v>38</v>
      </c>
      <c r="D52" s="12">
        <f>D50-C50</f>
        <v>13280</v>
      </c>
      <c r="E52" s="12">
        <f>E50-D50</f>
        <v>12660</v>
      </c>
      <c r="F52" s="12">
        <f>F50-E50</f>
        <v>25930</v>
      </c>
      <c r="G52" s="12" t="s">
        <v>38</v>
      </c>
      <c r="H52" s="12">
        <f>H50-F50</f>
        <v>25930</v>
      </c>
      <c r="I52" s="12">
        <f>I50-H50</f>
        <v>26240</v>
      </c>
      <c r="J52" s="8">
        <f>J50-I50</f>
        <v>25932</v>
      </c>
      <c r="K52" s="7"/>
    </row>
    <row r="53">
      <c r="A53" s="1"/>
      <c r="B53" s="5" t="s">
        <v>265</v>
      </c>
      <c r="C53" s="46">
        <v>828700</v>
      </c>
      <c r="D53" s="46">
        <v>790240</v>
      </c>
      <c r="E53" s="46">
        <v>678540</v>
      </c>
      <c r="F53" s="46">
        <v>773770</v>
      </c>
      <c r="G53" s="12">
        <f>F53</f>
        <v>773770</v>
      </c>
      <c r="H53" s="46">
        <v>903040</v>
      </c>
      <c r="I53" s="46">
        <v>951440</v>
      </c>
      <c r="J53" s="72">
        <f>I53-'Income Statement'!J71+'Cash Flow Statement'!J19</f>
        <v>932317.4368799999</v>
      </c>
      <c r="K53" s="7" t="s">
        <v>266</v>
      </c>
    </row>
    <row r="54">
      <c r="A54" s="1"/>
      <c r="B54" s="18" t="s">
        <v>88</v>
      </c>
      <c r="C54" s="3" t="s">
        <v>38</v>
      </c>
      <c r="D54" s="3" t="s">
        <v>38</v>
      </c>
      <c r="E54" s="3" t="s">
        <v>38</v>
      </c>
      <c r="F54" s="3" t="s">
        <v>38</v>
      </c>
      <c r="G54" s="3" t="s">
        <v>38</v>
      </c>
      <c r="H54" s="3">
        <f>H53/C53-1</f>
        <v>0.089706769639194</v>
      </c>
      <c r="I54" s="3">
        <f>I53/D53-1</f>
        <v>0.20398866167240337</v>
      </c>
      <c r="J54" s="9">
        <f>J53/E53-1</f>
        <v>0.3740051240604827</v>
      </c>
      <c r="K54" s="7"/>
    </row>
    <row r="55">
      <c r="A55" s="1"/>
      <c r="B55" s="5" t="s">
        <v>89</v>
      </c>
      <c r="C55" s="12" t="s">
        <v>38</v>
      </c>
      <c r="D55" s="12">
        <f>D53-C53</f>
        <v>-38460</v>
      </c>
      <c r="E55" s="12">
        <f>E53-D53</f>
        <v>-111700</v>
      </c>
      <c r="F55" s="12">
        <f>F53-E53</f>
        <v>95230</v>
      </c>
      <c r="G55" s="12" t="s">
        <v>38</v>
      </c>
      <c r="H55" s="12">
        <f>H53-F53</f>
        <v>129270</v>
      </c>
      <c r="I55" s="12">
        <f>I53-H53</f>
        <v>48400</v>
      </c>
      <c r="J55" s="8">
        <f>J53-I53</f>
        <v>-19122.563120000064</v>
      </c>
      <c r="K55" s="7"/>
    </row>
    <row r="56">
      <c r="A56" s="1"/>
      <c r="B56" s="11" t="s">
        <v>267</v>
      </c>
      <c r="C56" s="14">
        <f>C44+C47+C50+C53</f>
        <v>1399800</v>
      </c>
      <c r="D56" s="14">
        <f>D44+D47+D50+D53</f>
        <v>1377310</v>
      </c>
      <c r="E56" s="14">
        <f>E44+E47+E50+E53</f>
        <v>1275910</v>
      </c>
      <c r="F56" s="14">
        <f>F44+F47+F50+F53</f>
        <v>1458020</v>
      </c>
      <c r="G56" s="14">
        <f>F56</f>
        <v>1458020</v>
      </c>
      <c r="H56" s="14">
        <f>H44+H47+H50+H53</f>
        <v>1714250</v>
      </c>
      <c r="I56" s="14">
        <f>I44+I47+I50+I53</f>
        <v>1857760</v>
      </c>
      <c r="J56" s="70">
        <f>J44+J47+J50+J53</f>
        <v>1942934.4558326665</v>
      </c>
      <c r="K56" s="7"/>
    </row>
    <row r="57">
      <c r="A57" s="1"/>
      <c r="B57" s="18" t="s">
        <v>97</v>
      </c>
      <c r="C57" s="3" t="s">
        <v>38</v>
      </c>
      <c r="D57" s="3" t="s">
        <v>38</v>
      </c>
      <c r="E57" s="3" t="s">
        <v>38</v>
      </c>
      <c r="F57" s="3" t="s">
        <v>38</v>
      </c>
      <c r="G57" s="3" t="s">
        <v>38</v>
      </c>
      <c r="H57" s="3">
        <f>H56/C56-1</f>
        <v>0.22463923417631082</v>
      </c>
      <c r="I57" s="3">
        <f>I56/D56-1</f>
        <v>0.34883214381657</v>
      </c>
      <c r="J57" s="9">
        <f>J56/E56-1</f>
        <v>0.5227833121714436</v>
      </c>
      <c r="K57" s="7"/>
    </row>
    <row r="58">
      <c r="A58" s="1"/>
      <c r="B58" s="5" t="s">
        <v>99</v>
      </c>
      <c r="C58" s="12" t="s">
        <v>38</v>
      </c>
      <c r="D58" s="12">
        <f>D56-C56</f>
        <v>-22490</v>
      </c>
      <c r="E58" s="12">
        <f>E56-D56</f>
        <v>-101400</v>
      </c>
      <c r="F58" s="12">
        <f>F56-E56</f>
        <v>182110</v>
      </c>
      <c r="G58" s="12" t="s">
        <v>38</v>
      </c>
      <c r="H58" s="12">
        <f>H56-F56</f>
        <v>256230</v>
      </c>
      <c r="I58" s="12">
        <f>I56-H56</f>
        <v>143510</v>
      </c>
      <c r="J58" s="8">
        <f>J56-I56</f>
        <v>85174.45583266648</v>
      </c>
      <c r="K58" s="7"/>
    </row>
    <row r="59">
      <c r="A59" s="1"/>
      <c r="B59" s="5" t="s">
        <v>268</v>
      </c>
      <c r="C59" s="46">
        <v>986980</v>
      </c>
      <c r="D59" s="46">
        <v>883670</v>
      </c>
      <c r="E59" s="46">
        <v>918230</v>
      </c>
      <c r="F59" s="46">
        <v>896060</v>
      </c>
      <c r="G59" s="12">
        <f>F59</f>
        <v>896060</v>
      </c>
      <c r="H59" s="46">
        <v>901020</v>
      </c>
      <c r="I59" s="46">
        <v>864270</v>
      </c>
      <c r="J59" s="8">
        <f>I59</f>
        <v>864270</v>
      </c>
      <c r="K59" s="7"/>
    </row>
    <row r="60">
      <c r="A60" s="1"/>
      <c r="B60" s="18" t="s">
        <v>88</v>
      </c>
      <c r="C60" s="3" t="s">
        <v>38</v>
      </c>
      <c r="D60" s="3" t="s">
        <v>38</v>
      </c>
      <c r="E60" s="3" t="s">
        <v>38</v>
      </c>
      <c r="F60" s="3" t="s">
        <v>38</v>
      </c>
      <c r="G60" s="3" t="s">
        <v>38</v>
      </c>
      <c r="H60" s="3">
        <f>H59/C59-1</f>
        <v>-0.08709396340351372</v>
      </c>
      <c r="I60" s="3">
        <f>I59/D59-1</f>
        <v>-0.021953896816684915</v>
      </c>
      <c r="J60" s="9">
        <f>J59/E59-1</f>
        <v>-0.05876523311152981</v>
      </c>
      <c r="K60" s="7"/>
    </row>
    <row r="61">
      <c r="A61" s="1"/>
      <c r="B61" s="5" t="s">
        <v>89</v>
      </c>
      <c r="C61" s="12" t="s">
        <v>38</v>
      </c>
      <c r="D61" s="12">
        <f>D59-C59</f>
        <v>-103310</v>
      </c>
      <c r="E61" s="12">
        <f>E59-D59</f>
        <v>34560</v>
      </c>
      <c r="F61" s="12">
        <f>F59-E59</f>
        <v>-22170</v>
      </c>
      <c r="G61" s="12" t="s">
        <v>38</v>
      </c>
      <c r="H61" s="12">
        <f>H59-F59</f>
        <v>4960</v>
      </c>
      <c r="I61" s="12">
        <f>I59-H59</f>
        <v>-36750</v>
      </c>
      <c r="J61" s="8">
        <f>J59-I59</f>
        <v>0</v>
      </c>
      <c r="K61" s="7"/>
    </row>
    <row r="62">
      <c r="A62" s="1"/>
      <c r="B62" s="5" t="s">
        <v>269</v>
      </c>
      <c r="C62" s="12">
        <f>C68-C56-C59</f>
        <v>144880</v>
      </c>
      <c r="D62" s="12">
        <f>D68-D56-D59</f>
        <v>128740</v>
      </c>
      <c r="E62" s="12">
        <f>E68-E56-E59</f>
        <v>124390</v>
      </c>
      <c r="F62" s="12">
        <f>F68-F56-F59</f>
        <v>118150</v>
      </c>
      <c r="G62" s="12">
        <f>F62</f>
        <v>118150</v>
      </c>
      <c r="H62" s="12">
        <f>H68-H56-H59</f>
        <v>113290</v>
      </c>
      <c r="I62" s="12">
        <f>I68-I56-I59</f>
        <v>179150</v>
      </c>
      <c r="J62" s="8">
        <f>I62</f>
        <v>179150</v>
      </c>
      <c r="K62" s="7"/>
    </row>
    <row r="63">
      <c r="A63" s="1"/>
      <c r="B63" s="18" t="s">
        <v>88</v>
      </c>
      <c r="C63" s="3" t="s">
        <v>38</v>
      </c>
      <c r="D63" s="3" t="s">
        <v>38</v>
      </c>
      <c r="E63" s="3" t="s">
        <v>38</v>
      </c>
      <c r="F63" s="3" t="s">
        <v>38</v>
      </c>
      <c r="G63" s="3" t="s">
        <v>38</v>
      </c>
      <c r="H63" s="3">
        <f>H62/C62-1</f>
        <v>-0.21804251794588625</v>
      </c>
      <c r="I63" s="3">
        <f>I62/D62-1</f>
        <v>0.39156439335093984</v>
      </c>
      <c r="J63" s="9">
        <f>J62/E62-1</f>
        <v>0.4402283141731651</v>
      </c>
      <c r="K63" s="7"/>
    </row>
    <row r="64">
      <c r="A64" s="1"/>
      <c r="B64" s="5" t="s">
        <v>89</v>
      </c>
      <c r="C64" s="12" t="s">
        <v>38</v>
      </c>
      <c r="D64" s="12">
        <f>D62-C62</f>
        <v>-16140</v>
      </c>
      <c r="E64" s="12">
        <f>E62-D62</f>
        <v>-4350</v>
      </c>
      <c r="F64" s="12">
        <f>F62-E62</f>
        <v>-6240</v>
      </c>
      <c r="G64" s="12" t="s">
        <v>38</v>
      </c>
      <c r="H64" s="12">
        <f>H62-F62</f>
        <v>-4860</v>
      </c>
      <c r="I64" s="12">
        <f>I62-H62</f>
        <v>65860</v>
      </c>
      <c r="J64" s="8">
        <f>J62-I62</f>
        <v>0</v>
      </c>
      <c r="K64" s="7"/>
    </row>
    <row r="65">
      <c r="A65" s="1"/>
      <c r="B65" s="11" t="s">
        <v>270</v>
      </c>
      <c r="C65" s="14">
        <f>C56+C59+C62</f>
        <v>2531660</v>
      </c>
      <c r="D65" s="14">
        <f>D56+D59+D62</f>
        <v>2389720</v>
      </c>
      <c r="E65" s="14">
        <f>E56+E59+E62</f>
        <v>2318530</v>
      </c>
      <c r="F65" s="14">
        <f>F56+F59+F62</f>
        <v>2472230</v>
      </c>
      <c r="G65" s="14">
        <f>F65</f>
        <v>2472230</v>
      </c>
      <c r="H65" s="14">
        <f>H56+H59+H62</f>
        <v>2728560</v>
      </c>
      <c r="I65" s="14">
        <f>I56+I59+I62</f>
        <v>2901180</v>
      </c>
      <c r="J65" s="70">
        <f>J56+J59+J62</f>
        <v>2986354.4558326667</v>
      </c>
      <c r="K65" s="7"/>
    </row>
    <row r="66">
      <c r="A66" s="1"/>
      <c r="B66" s="18" t="s">
        <v>97</v>
      </c>
      <c r="C66" s="3" t="s">
        <v>38</v>
      </c>
      <c r="D66" s="3" t="s">
        <v>38</v>
      </c>
      <c r="E66" s="3" t="s">
        <v>38</v>
      </c>
      <c r="F66" s="3" t="s">
        <v>38</v>
      </c>
      <c r="G66" s="3" t="s">
        <v>38</v>
      </c>
      <c r="H66" s="3">
        <f>H65/C65-1</f>
        <v>0.07777505668217688</v>
      </c>
      <c r="I66" s="3">
        <f>I65/D65-1</f>
        <v>0.21402507406725468</v>
      </c>
      <c r="J66" s="9">
        <f>J65/E65-1</f>
        <v>0.2880378756508075</v>
      </c>
      <c r="K66" s="7"/>
    </row>
    <row r="67">
      <c r="A67" s="1"/>
      <c r="B67" s="5" t="s">
        <v>99</v>
      </c>
      <c r="C67" s="12" t="s">
        <v>38</v>
      </c>
      <c r="D67" s="12">
        <f>D65-C65</f>
        <v>-141940</v>
      </c>
      <c r="E67" s="12">
        <f>E65-D65</f>
        <v>-71190</v>
      </c>
      <c r="F67" s="12">
        <f>F65-E65</f>
        <v>153700</v>
      </c>
      <c r="G67" s="12" t="s">
        <v>38</v>
      </c>
      <c r="H67" s="12">
        <f>H65-F65</f>
        <v>256330</v>
      </c>
      <c r="I67" s="12">
        <f>I65-H65</f>
        <v>172620</v>
      </c>
      <c r="J67" s="8">
        <f>J65-I65</f>
        <v>85174.45583266672</v>
      </c>
      <c r="K67" s="7"/>
    </row>
    <row r="68">
      <c r="A68" s="1"/>
      <c r="B68" s="5" t="s">
        <v>271</v>
      </c>
      <c r="C68" s="46">
        <v>2531660</v>
      </c>
      <c r="D68" s="46">
        <v>2389720</v>
      </c>
      <c r="E68" s="46">
        <v>2318530</v>
      </c>
      <c r="F68" s="46">
        <v>2472230</v>
      </c>
      <c r="G68" s="12">
        <f>F68</f>
        <v>2472230</v>
      </c>
      <c r="H68" s="46">
        <v>2728560</v>
      </c>
      <c r="I68" s="46">
        <v>2901180</v>
      </c>
      <c r="J68" s="8" t="s">
        <v>38</v>
      </c>
      <c r="K68" s="7"/>
    </row>
    <row r="69">
      <c r="A69" s="1"/>
      <c r="B69" s="11" t="s">
        <v>272</v>
      </c>
      <c r="C69" s="26">
        <v>4601630</v>
      </c>
      <c r="D69" s="26">
        <v>4616630</v>
      </c>
      <c r="E69" s="26">
        <v>5035580</v>
      </c>
      <c r="F69" s="26">
        <v>5460790</v>
      </c>
      <c r="G69" s="14">
        <f>F69</f>
        <v>5460790</v>
      </c>
      <c r="H69" s="26">
        <v>5932390</v>
      </c>
      <c r="I69" s="26">
        <v>6474470</v>
      </c>
      <c r="J69" s="74">
        <f>I69+'Income Statement'!J81+'Income Statement'!J78-'Share Count'!J39</f>
        <v>7078046.05912</v>
      </c>
      <c r="K69" s="7" t="s">
        <v>273</v>
      </c>
    </row>
    <row r="70">
      <c r="A70" s="1"/>
      <c r="B70" s="18" t="s">
        <v>97</v>
      </c>
      <c r="C70" s="3" t="s">
        <v>38</v>
      </c>
      <c r="D70" s="3" t="s">
        <v>38</v>
      </c>
      <c r="E70" s="3" t="s">
        <v>38</v>
      </c>
      <c r="F70" s="3" t="s">
        <v>38</v>
      </c>
      <c r="G70" s="3" t="s">
        <v>38</v>
      </c>
      <c r="H70" s="3">
        <f>H69/C69-1</f>
        <v>0.28919317720025295</v>
      </c>
      <c r="I70" s="3">
        <f>I69/D69-1</f>
        <v>0.40242341274912663</v>
      </c>
      <c r="J70" s="9">
        <f>J69/E69-1</f>
        <v>0.4056069130308724</v>
      </c>
      <c r="K70" s="7"/>
    </row>
    <row r="71">
      <c r="A71" s="1"/>
      <c r="B71" s="5" t="s">
        <v>99</v>
      </c>
      <c r="C71" s="12" t="s">
        <v>38</v>
      </c>
      <c r="D71" s="12">
        <f>D69-C69</f>
        <v>15000</v>
      </c>
      <c r="E71" s="12">
        <f>E69-D69</f>
        <v>418950</v>
      </c>
      <c r="F71" s="12">
        <f>F69-E69</f>
        <v>425210</v>
      </c>
      <c r="G71" s="12" t="s">
        <v>38</v>
      </c>
      <c r="H71" s="12">
        <f>H69-F69</f>
        <v>471600</v>
      </c>
      <c r="I71" s="12">
        <f>I69-H69</f>
        <v>542080</v>
      </c>
      <c r="J71" s="8">
        <f>J69-I69</f>
        <v>603576.0591200003</v>
      </c>
      <c r="K71" s="7"/>
    </row>
    <row r="72">
      <c r="A72" s="1"/>
      <c r="B72" s="11" t="s">
        <v>274</v>
      </c>
      <c r="C72" s="14">
        <f>C65+C69</f>
        <v>7133290</v>
      </c>
      <c r="D72" s="14">
        <f>D65+D69</f>
        <v>7006350</v>
      </c>
      <c r="E72" s="14">
        <f>E65+E69</f>
        <v>7354110</v>
      </c>
      <c r="F72" s="14">
        <f>F65+F69</f>
        <v>7933020</v>
      </c>
      <c r="G72" s="14">
        <f>F72</f>
        <v>7933020</v>
      </c>
      <c r="H72" s="14">
        <f>H65+H69</f>
        <v>8660950</v>
      </c>
      <c r="I72" s="14">
        <f>I65+I69</f>
        <v>9375650</v>
      </c>
      <c r="J72" s="70">
        <f>J65+J69</f>
        <v>10064400.514952667</v>
      </c>
      <c r="K72" s="7"/>
    </row>
    <row r="73">
      <c r="A73" s="1"/>
      <c r="B73" s="5" t="s">
        <v>275</v>
      </c>
      <c r="C73" s="12">
        <f>ROUND(C38-C65-C69,6)</f>
        <v>0</v>
      </c>
      <c r="D73" s="12">
        <f>ROUND(D38-D65-D69,6)</f>
        <v>0</v>
      </c>
      <c r="E73" s="12">
        <f>ROUND(E38-E65-E69,6)</f>
        <v>0</v>
      </c>
      <c r="F73" s="12">
        <f>ROUND(F38-F65-F69,6)</f>
        <v>0</v>
      </c>
      <c r="G73" s="12">
        <f>ROUND(G38-G65-G69,6)</f>
        <v>0</v>
      </c>
      <c r="H73" s="12">
        <f>ROUND(H38-H65-H69,6)</f>
        <v>0</v>
      </c>
      <c r="I73" s="12">
        <f>ROUND(I38-I65-I69,6)</f>
        <v>0</v>
      </c>
      <c r="J73" s="8">
        <f>ROUND(J38-J65-J69,6)</f>
        <v>0</v>
      </c>
      <c r="K73" s="7"/>
    </row>
    <row r="74">
      <c r="A74" s="1"/>
      <c r="B74" s="5"/>
      <c r="C74" s="4"/>
      <c r="D74" s="4"/>
      <c r="E74" s="4"/>
      <c r="F74" s="4"/>
      <c r="G74" s="4"/>
      <c r="H74" s="4"/>
      <c r="I74" s="4"/>
      <c r="J74" s="24"/>
      <c r="K74" s="7"/>
    </row>
    <row r="75">
      <c r="A75" s="1"/>
      <c r="B75" s="11" t="s">
        <v>276</v>
      </c>
      <c r="C75" s="22"/>
      <c r="D75" s="22"/>
      <c r="E75" s="22"/>
      <c r="F75" s="22"/>
      <c r="G75" s="22"/>
      <c r="H75" s="22"/>
      <c r="I75" s="22"/>
      <c r="J75" s="33"/>
      <c r="K75" s="7"/>
    </row>
    <row r="76">
      <c r="A76" s="1"/>
      <c r="B76" s="5" t="s">
        <v>277</v>
      </c>
      <c r="C76" s="12">
        <f>C47+C59</f>
        <v>1048750</v>
      </c>
      <c r="D76" s="12">
        <f>D47+D59</f>
        <v>977880</v>
      </c>
      <c r="E76" s="12">
        <f>E47+E59</f>
        <v>994450</v>
      </c>
      <c r="F76" s="12">
        <f>F47+F59</f>
        <v>1032990</v>
      </c>
      <c r="G76" s="12">
        <f>F76</f>
        <v>1032990</v>
      </c>
      <c r="H76" s="12">
        <f>H47+H59</f>
        <v>1057260</v>
      </c>
      <c r="I76" s="12">
        <f>I47+I59</f>
        <v>1031680</v>
      </c>
      <c r="J76" s="8">
        <f>J47+J59</f>
        <v>1031680</v>
      </c>
      <c r="K76" s="7"/>
    </row>
    <row r="77">
      <c r="A77" s="1"/>
      <c r="B77" s="18" t="s">
        <v>88</v>
      </c>
      <c r="C77" s="3" t="s">
        <v>38</v>
      </c>
      <c r="D77" s="3" t="s">
        <v>38</v>
      </c>
      <c r="E77" s="3" t="s">
        <v>38</v>
      </c>
      <c r="F77" s="3" t="s">
        <v>38</v>
      </c>
      <c r="G77" s="3" t="s">
        <v>38</v>
      </c>
      <c r="H77" s="3">
        <f>H76/C76-1</f>
        <v>0.008114421930869975</v>
      </c>
      <c r="I77" s="3">
        <f>I76/D76-1</f>
        <v>0.055016975498016096</v>
      </c>
      <c r="J77" s="9">
        <f>J76/E76-1</f>
        <v>0.037437779677208516</v>
      </c>
      <c r="K77" s="7"/>
    </row>
    <row r="78">
      <c r="A78" s="1"/>
      <c r="B78" s="5" t="s">
        <v>89</v>
      </c>
      <c r="C78" s="12" t="s">
        <v>38</v>
      </c>
      <c r="D78" s="12">
        <f>D76-C76</f>
        <v>-70870</v>
      </c>
      <c r="E78" s="12">
        <f>E76-D76</f>
        <v>16570</v>
      </c>
      <c r="F78" s="12">
        <f>F76-E76</f>
        <v>38540</v>
      </c>
      <c r="G78" s="12" t="s">
        <v>38</v>
      </c>
      <c r="H78" s="12">
        <f>H76-F76</f>
        <v>24270</v>
      </c>
      <c r="I78" s="12">
        <f>I76-H76</f>
        <v>-25580</v>
      </c>
      <c r="J78" s="8">
        <f>J76-I76</f>
        <v>0</v>
      </c>
      <c r="K78" s="7"/>
    </row>
    <row r="79">
      <c r="A79" s="1"/>
      <c r="B79" s="11" t="s">
        <v>278</v>
      </c>
      <c r="C79" s="14">
        <f>C16-C76</f>
        <v>1654340</v>
      </c>
      <c r="D79" s="14">
        <f>D16-D76</f>
        <v>1656550</v>
      </c>
      <c r="E79" s="14">
        <f>E16-E76</f>
        <v>1756610</v>
      </c>
      <c r="F79" s="14">
        <f>F16-F76</f>
        <v>2035600</v>
      </c>
      <c r="G79" s="14">
        <f>F79</f>
        <v>2035600</v>
      </c>
      <c r="H79" s="14">
        <f>H16-H76</f>
        <v>2326340</v>
      </c>
      <c r="I79" s="14">
        <f>I16-I76</f>
        <v>2486330</v>
      </c>
      <c r="J79" s="70">
        <f>J16-J76</f>
        <v>2668099.667001685</v>
      </c>
      <c r="K79" s="7"/>
    </row>
    <row r="80">
      <c r="A80" s="1"/>
      <c r="B80" s="18" t="s">
        <v>97</v>
      </c>
      <c r="C80" s="3" t="s">
        <v>38</v>
      </c>
      <c r="D80" s="3" t="s">
        <v>38</v>
      </c>
      <c r="E80" s="3" t="s">
        <v>38</v>
      </c>
      <c r="F80" s="3" t="s">
        <v>38</v>
      </c>
      <c r="G80" s="3" t="s">
        <v>38</v>
      </c>
      <c r="H80" s="3">
        <f>H79/C79-1</f>
        <v>0.40620428690595656</v>
      </c>
      <c r="I80" s="3">
        <f>I79/D79-1</f>
        <v>0.5009085146841328</v>
      </c>
      <c r="J80" s="9">
        <f>J79/E79-1</f>
        <v>0.5188913116751499</v>
      </c>
      <c r="K80" s="7"/>
    </row>
    <row r="81">
      <c r="A81" s="1"/>
      <c r="B81" s="5" t="s">
        <v>99</v>
      </c>
      <c r="C81" s="12" t="s">
        <v>38</v>
      </c>
      <c r="D81" s="12">
        <f>D79-C79</f>
        <v>2210</v>
      </c>
      <c r="E81" s="12">
        <f>E79-D79</f>
        <v>100060</v>
      </c>
      <c r="F81" s="12">
        <f>F79-E79</f>
        <v>278990</v>
      </c>
      <c r="G81" s="12" t="s">
        <v>38</v>
      </c>
      <c r="H81" s="12">
        <f>H79-F79</f>
        <v>290740</v>
      </c>
      <c r="I81" s="12">
        <f>I79-H79</f>
        <v>159990</v>
      </c>
      <c r="J81" s="8">
        <f>J79-I79</f>
        <v>181769.66700168513</v>
      </c>
      <c r="K81" s="7"/>
    </row>
    <row r="82">
      <c r="A82" s="1"/>
      <c r="B82" s="18" t="s">
        <v>279</v>
      </c>
      <c r="C82" s="37">
        <f>C19/'Income Statement'!C9</f>
        <v>0.29067481358444525</v>
      </c>
      <c r="D82" s="37">
        <f>D19/'Income Statement'!D9</f>
        <v>0.25240096295534764</v>
      </c>
      <c r="E82" s="37">
        <f>E19/'Income Statement'!E9</f>
        <v>0.31094494695520236</v>
      </c>
      <c r="F82" s="37">
        <f>F19/'Income Statement'!F9</f>
        <v>0.26937452800428263</v>
      </c>
      <c r="G82" s="3" t="s">
        <v>38</v>
      </c>
      <c r="H82" s="37">
        <f>H19/'Income Statement'!H9</f>
        <v>0.32008556542042477</v>
      </c>
      <c r="I82" s="37">
        <f>I19/'Income Statement'!I9</f>
        <v>0.3470772524756372</v>
      </c>
      <c r="J82" s="9">
        <f>I82</f>
        <v>0.3470772524756372</v>
      </c>
      <c r="K82" s="7"/>
    </row>
    <row r="83">
      <c r="A83" s="1"/>
      <c r="B83" s="18" t="s">
        <v>127</v>
      </c>
      <c r="C83" s="43" t="s">
        <v>38</v>
      </c>
      <c r="D83" s="43" t="s">
        <v>38</v>
      </c>
      <c r="E83" s="43" t="s">
        <v>38</v>
      </c>
      <c r="F83" s="43" t="s">
        <v>38</v>
      </c>
      <c r="G83" s="43" t="s">
        <v>38</v>
      </c>
      <c r="H83" s="43">
        <f>(H82-C82)*10000</f>
        <v>294.1075183597952</v>
      </c>
      <c r="I83" s="43">
        <f>(I82-D82)*10000</f>
        <v>946.7628952028956</v>
      </c>
      <c r="J83" s="57">
        <f>(J82-E82)*10000</f>
        <v>361.32305520434835</v>
      </c>
      <c r="K83" s="7"/>
    </row>
    <row r="84">
      <c r="A84" s="1"/>
      <c r="B84" s="18" t="s">
        <v>128</v>
      </c>
      <c r="C84" s="43" t="s">
        <v>38</v>
      </c>
      <c r="D84" s="43">
        <f>(D82-C82)*10000</f>
        <v>-382.73850629097603</v>
      </c>
      <c r="E84" s="43">
        <f>(E82-D82)*10000</f>
        <v>585.4398399985472</v>
      </c>
      <c r="F84" s="43">
        <f>(F82-E82)*10000</f>
        <v>-415.7041895091973</v>
      </c>
      <c r="G84" s="43" t="s">
        <v>38</v>
      </c>
      <c r="H84" s="43">
        <f>(H82-F82)*10000</f>
        <v>507.11037416142136</v>
      </c>
      <c r="I84" s="43">
        <f>(I82-H82)*10000</f>
        <v>269.9168705521243</v>
      </c>
      <c r="J84" s="57">
        <f>(J82-I82)*10000</f>
        <v>0</v>
      </c>
      <c r="K84" s="7"/>
    </row>
    <row r="85">
      <c r="A85" s="1"/>
      <c r="B85" s="18" t="s">
        <v>280</v>
      </c>
      <c r="C85" s="37">
        <f>C22/-'Income Statement'!C13</f>
        <v>0.848315743819575</v>
      </c>
      <c r="D85" s="37">
        <f>D22/-'Income Statement'!D13</f>
        <v>0.7872004554629678</v>
      </c>
      <c r="E85" s="37">
        <f>E22/-'Income Statement'!E13</f>
        <v>0.7192436095470627</v>
      </c>
      <c r="F85" s="37">
        <f>F22/-'Income Statement'!F13</f>
        <v>0.7310581070794214</v>
      </c>
      <c r="G85" s="3" t="s">
        <v>38</v>
      </c>
      <c r="H85" s="37">
        <f>H22/-'Income Statement'!H13</f>
        <v>0.8136102403343782</v>
      </c>
      <c r="I85" s="37">
        <f>I22/-'Income Statement'!I13</f>
        <v>0.9401565586363304</v>
      </c>
      <c r="J85" s="9">
        <f>I85</f>
        <v>0.9401565586363304</v>
      </c>
      <c r="K85" s="7"/>
    </row>
    <row r="86">
      <c r="A86" s="1"/>
      <c r="B86" s="18" t="s">
        <v>127</v>
      </c>
      <c r="C86" s="43" t="s">
        <v>38</v>
      </c>
      <c r="D86" s="43" t="s">
        <v>38</v>
      </c>
      <c r="E86" s="43" t="s">
        <v>38</v>
      </c>
      <c r="F86" s="43" t="s">
        <v>38</v>
      </c>
      <c r="G86" s="43" t="s">
        <v>38</v>
      </c>
      <c r="H86" s="43">
        <f>(H85-C85)*10000</f>
        <v>-347.05503485196743</v>
      </c>
      <c r="I86" s="43">
        <f>(I85-D85)*10000</f>
        <v>1529.5610317336261</v>
      </c>
      <c r="J86" s="57">
        <f>(J85-E85)*10000</f>
        <v>2209.1294908926775</v>
      </c>
      <c r="K86" s="7"/>
    </row>
    <row r="87">
      <c r="A87" s="1"/>
      <c r="B87" s="18" t="s">
        <v>128</v>
      </c>
      <c r="C87" s="43" t="s">
        <v>38</v>
      </c>
      <c r="D87" s="43">
        <f>(D85-C85)*10000</f>
        <v>-611.1528835660718</v>
      </c>
      <c r="E87" s="43">
        <f>(E85-D85)*10000</f>
        <v>-679.5684591590511</v>
      </c>
      <c r="F87" s="43">
        <f>(F85-E85)*10000</f>
        <v>118.14497532358747</v>
      </c>
      <c r="G87" s="43" t="s">
        <v>38</v>
      </c>
      <c r="H87" s="43">
        <f>(H85-F85)*10000</f>
        <v>825.521332549568</v>
      </c>
      <c r="I87" s="43">
        <f>(I85-H85)*10000</f>
        <v>1265.4631830195217</v>
      </c>
      <c r="J87" s="57">
        <f>(J85-I85)*10000</f>
        <v>0</v>
      </c>
      <c r="K87" s="7"/>
    </row>
    <row r="88">
      <c r="A88" s="1"/>
      <c r="B88" s="18" t="s">
        <v>281</v>
      </c>
      <c r="C88" s="37">
        <f>C44/-'Income Statement'!C13</f>
        <v>0.7978603440798033</v>
      </c>
      <c r="D88" s="37">
        <f>D44/-'Income Statement'!D13</f>
        <v>0.6371047047254282</v>
      </c>
      <c r="E88" s="37">
        <f>E44/-'Income Statement'!E13</f>
        <v>0.6522995664955902</v>
      </c>
      <c r="F88" s="37">
        <f>F44/-'Income Statement'!F13</f>
        <v>0.664958132453692</v>
      </c>
      <c r="G88" s="3" t="s">
        <v>38</v>
      </c>
      <c r="H88" s="37">
        <f>H44/-'Income Statement'!H13</f>
        <v>0.8980668756530825</v>
      </c>
      <c r="I88" s="37">
        <f>I44/-'Income Statement'!I13</f>
        <v>0.9790523569146731</v>
      </c>
      <c r="J88" s="9">
        <f>I88</f>
        <v>0.9790523569146731</v>
      </c>
      <c r="K88" s="7"/>
    </row>
    <row r="89">
      <c r="A89" s="1"/>
      <c r="B89" s="18" t="s">
        <v>127</v>
      </c>
      <c r="C89" s="43" t="s">
        <v>38</v>
      </c>
      <c r="D89" s="43" t="s">
        <v>38</v>
      </c>
      <c r="E89" s="43" t="s">
        <v>38</v>
      </c>
      <c r="F89" s="43" t="s">
        <v>38</v>
      </c>
      <c r="G89" s="43" t="s">
        <v>38</v>
      </c>
      <c r="H89" s="43">
        <f>(H88-C88)*10000</f>
        <v>1002.0653157327919</v>
      </c>
      <c r="I89" s="43">
        <f>(I88-D88)*10000</f>
        <v>3419.4765218924485</v>
      </c>
      <c r="J89" s="57">
        <f>(J88-E88)*10000</f>
        <v>3267.527904190829</v>
      </c>
      <c r="K89" s="7"/>
    </row>
    <row r="90">
      <c r="A90" s="1"/>
      <c r="B90" s="18" t="s">
        <v>128</v>
      </c>
      <c r="C90" s="43" t="s">
        <v>38</v>
      </c>
      <c r="D90" s="43">
        <f>(D88-C88)*10000</f>
        <v>-1607.5563935437508</v>
      </c>
      <c r="E90" s="43">
        <f>(E88-D88)*10000</f>
        <v>151.94861770161938</v>
      </c>
      <c r="F90" s="43">
        <f>(F88-E88)*10000</f>
        <v>126.58565958101775</v>
      </c>
      <c r="G90" s="43" t="s">
        <v>38</v>
      </c>
      <c r="H90" s="43">
        <f>(H88-F88)*10000</f>
        <v>2331.0874319939057</v>
      </c>
      <c r="I90" s="43">
        <f>(I88-H88)*10000</f>
        <v>809.8548126159055</v>
      </c>
      <c r="J90" s="57">
        <f>(J88-I88)*10000</f>
        <v>0</v>
      </c>
      <c r="K90" s="7"/>
    </row>
    <row r="91">
      <c r="A91" s="1"/>
      <c r="B91" s="5" t="s">
        <v>282</v>
      </c>
      <c r="C91" s="94">
        <f>C28/C56</f>
        <v>2.390105729389913</v>
      </c>
      <c r="D91" s="94">
        <f>D28/D56</f>
        <v>2.370504824621908</v>
      </c>
      <c r="E91" s="94">
        <f>E28/E56</f>
        <v>2.6929955874630656</v>
      </c>
      <c r="F91" s="94">
        <f>F28/F56</f>
        <v>2.618023072385838</v>
      </c>
      <c r="G91" s="94">
        <f>F91</f>
        <v>2.618023072385838</v>
      </c>
      <c r="H91" s="94">
        <f>H28/H56</f>
        <v>2.488266005541782</v>
      </c>
      <c r="I91" s="94">
        <f>I28/I56</f>
        <v>2.4576371544225304</v>
      </c>
      <c r="J91" s="98">
        <f>J28/J56</f>
        <v>2.522174199053224</v>
      </c>
      <c r="K91" s="7"/>
    </row>
    <row r="92">
      <c r="A92" s="1"/>
      <c r="B92" s="5" t="s">
        <v>283</v>
      </c>
      <c r="C92" s="94" t="s">
        <v>38</v>
      </c>
      <c r="D92" s="94" t="s">
        <v>38</v>
      </c>
      <c r="E92" s="94" t="s">
        <v>38</v>
      </c>
      <c r="F92" s="94" t="s">
        <v>38</v>
      </c>
      <c r="G92" s="94" t="s">
        <v>38</v>
      </c>
      <c r="H92" s="94">
        <f>H91-C91</f>
        <v>0.09816027615186895</v>
      </c>
      <c r="I92" s="94">
        <f>I91-D91</f>
        <v>0.08713232980062235</v>
      </c>
      <c r="J92" s="98">
        <f>J91-E91</f>
        <v>-0.17082138840984173</v>
      </c>
      <c r="K92" s="7"/>
    </row>
    <row r="93">
      <c r="A93" s="1"/>
      <c r="B93" s="5" t="s">
        <v>284</v>
      </c>
      <c r="C93" s="94" t="s">
        <v>38</v>
      </c>
      <c r="D93" s="94">
        <f>D91-C91</f>
        <v>-0.019600904768005023</v>
      </c>
      <c r="E93" s="94">
        <f>E91-D91</f>
        <v>0.3224907628411575</v>
      </c>
      <c r="F93" s="94">
        <f>F91-E91</f>
        <v>-0.07497251507722735</v>
      </c>
      <c r="G93" s="94" t="s">
        <v>38</v>
      </c>
      <c r="H93" s="94">
        <f>H91-F91</f>
        <v>-0.1297570668440562</v>
      </c>
      <c r="I93" s="94">
        <f>I91-H91</f>
        <v>-0.03062885111925162</v>
      </c>
      <c r="J93" s="98">
        <f>J91-I91</f>
        <v>0.06453704463069343</v>
      </c>
      <c r="K93" s="7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285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5" t="s">
        <v>286</v>
      </c>
      <c r="C9" s="46">
        <v>2127630</v>
      </c>
      <c r="D9" s="12">
        <f>C62</f>
        <v>2394800</v>
      </c>
      <c r="E9" s="12">
        <f>D62</f>
        <v>2364520</v>
      </c>
      <c r="F9" s="12">
        <f>E62</f>
        <v>2470760</v>
      </c>
      <c r="G9" s="12">
        <f>C9</f>
        <v>2127630</v>
      </c>
      <c r="H9" s="12">
        <f>F62</f>
        <v>2767860</v>
      </c>
      <c r="I9" s="12">
        <f>H62</f>
        <v>3035640</v>
      </c>
      <c r="J9" s="8">
        <f>I62</f>
        <v>3134220</v>
      </c>
      <c r="K9" s="7"/>
    </row>
    <row r="10">
      <c r="A10" s="1"/>
      <c r="B10" s="11" t="s">
        <v>287</v>
      </c>
      <c r="C10" s="22"/>
      <c r="D10" s="22"/>
      <c r="E10" s="22"/>
      <c r="F10" s="22"/>
      <c r="G10" s="22"/>
      <c r="H10" s="22"/>
      <c r="I10" s="22"/>
      <c r="J10" s="33"/>
      <c r="K10" s="7"/>
    </row>
    <row r="11">
      <c r="A11" s="1"/>
      <c r="B11" s="5" t="s">
        <v>288</v>
      </c>
      <c r="C11" s="41">
        <f>'Income Statement'!C65</f>
        <v>430904</v>
      </c>
      <c r="D11" s="41">
        <f>'Income Statement'!D65</f>
        <v>493032</v>
      </c>
      <c r="E11" s="41">
        <f>'Income Statement'!E65</f>
        <v>525368</v>
      </c>
      <c r="F11" s="41">
        <f>'Income Statement'!F65</f>
        <v>592360</v>
      </c>
      <c r="G11" s="41">
        <f>'Income Statement'!G65</f>
        <v>2041664</v>
      </c>
      <c r="H11" s="41">
        <f>'Income Statement'!H65</f>
        <v>687803</v>
      </c>
      <c r="I11" s="41">
        <f>'Income Statement'!I65</f>
        <v>862430</v>
      </c>
      <c r="J11" s="72">
        <f>'Income Statement'!J65</f>
        <v>929112.496</v>
      </c>
      <c r="K11" s="7"/>
    </row>
    <row r="12">
      <c r="A12" s="1"/>
      <c r="B12" s="5" t="s">
        <v>289</v>
      </c>
      <c r="C12" s="46">
        <v>175130</v>
      </c>
      <c r="D12" s="46">
        <v>188070</v>
      </c>
      <c r="E12" s="46">
        <v>162790</v>
      </c>
      <c r="F12" s="46">
        <v>162110</v>
      </c>
      <c r="G12" s="12">
        <f>SUM(C12:F12)</f>
        <v>688100</v>
      </c>
      <c r="H12" s="46">
        <v>165450</v>
      </c>
      <c r="I12" s="46">
        <v>198540</v>
      </c>
      <c r="J12" s="83">
        <v>210000</v>
      </c>
      <c r="K12" s="7" t="s">
        <v>290</v>
      </c>
    </row>
    <row r="13">
      <c r="A13" s="1"/>
      <c r="B13" s="18" t="s">
        <v>88</v>
      </c>
      <c r="C13" s="3" t="s">
        <v>38</v>
      </c>
      <c r="D13" s="3" t="s">
        <v>38</v>
      </c>
      <c r="E13" s="3" t="s">
        <v>38</v>
      </c>
      <c r="F13" s="3" t="s">
        <v>38</v>
      </c>
      <c r="G13" s="3" t="s">
        <v>38</v>
      </c>
      <c r="H13" s="3">
        <f>H12/C12-1</f>
        <v>-0.055273225603837184</v>
      </c>
      <c r="I13" s="3">
        <f>I12/D12-1</f>
        <v>0.055670760886903814</v>
      </c>
      <c r="J13" s="9">
        <f>J12/E12-1</f>
        <v>0.29000552859512263</v>
      </c>
      <c r="K13" s="7"/>
    </row>
    <row r="14">
      <c r="A14" s="1"/>
      <c r="B14" s="5" t="s">
        <v>89</v>
      </c>
      <c r="C14" s="12" t="s">
        <v>38</v>
      </c>
      <c r="D14" s="12">
        <f>D12-C12</f>
        <v>12940</v>
      </c>
      <c r="E14" s="12">
        <f>E12-D12</f>
        <v>-25280</v>
      </c>
      <c r="F14" s="12">
        <f>F12-E12</f>
        <v>-680</v>
      </c>
      <c r="G14" s="12" t="s">
        <v>38</v>
      </c>
      <c r="H14" s="12">
        <f>H12-F12</f>
        <v>3340</v>
      </c>
      <c r="I14" s="12">
        <f>I12-H12</f>
        <v>33090</v>
      </c>
      <c r="J14" s="8">
        <f>J12-I12</f>
        <v>11460</v>
      </c>
      <c r="K14" s="7"/>
    </row>
    <row r="15">
      <c r="A15" s="1"/>
      <c r="B15" s="5" t="s">
        <v>291</v>
      </c>
      <c r="C15" s="12">
        <f>C27-C11-C12</f>
        <v>19536</v>
      </c>
      <c r="D15" s="12">
        <f>D27-D11-D12</f>
        <v>-184032</v>
      </c>
      <c r="E15" s="12">
        <f>E27-E11-E12</f>
        <v>-261328</v>
      </c>
      <c r="F15" s="12">
        <f>F27-F11-F12</f>
        <v>-28960</v>
      </c>
      <c r="G15" s="12">
        <f>SUM(C15:F15)</f>
        <v>-454784</v>
      </c>
      <c r="H15" s="12">
        <f>H27-H11-H12</f>
        <v>-154283</v>
      </c>
      <c r="I15" s="12">
        <f>I27-I11-I12</f>
        <v>-277610</v>
      </c>
      <c r="J15" s="8">
        <f>J19+J22+J23+J24</f>
        <v>-266119.4689983148</v>
      </c>
      <c r="K15" s="7" t="s">
        <v>292</v>
      </c>
    </row>
    <row r="16">
      <c r="A16" s="1"/>
      <c r="B16" s="18" t="s">
        <v>88</v>
      </c>
      <c r="C16" s="3" t="s">
        <v>38</v>
      </c>
      <c r="D16" s="3" t="s">
        <v>38</v>
      </c>
      <c r="E16" s="3" t="s">
        <v>38</v>
      </c>
      <c r="F16" s="3" t="s">
        <v>38</v>
      </c>
      <c r="G16" s="3" t="s">
        <v>38</v>
      </c>
      <c r="H16" s="117" t="str">
        <f>IF(OR(C15=0,SIGN(H15)&lt;&gt;SIGN(C15),ABS(C15)&lt;0.1*ABS(H15)),"n/m",H15/C15-1)</f>
        <v>n/m</v>
      </c>
      <c r="I16" s="117">
        <f>IF(OR(D15=0,SIGN(I15)&lt;&gt;SIGN(D15),ABS(D15)&lt;0.1*ABS(I15)),"n/m",I15/D15-1)</f>
        <v>0.5084876543209877</v>
      </c>
      <c r="J16" s="118">
        <f>IF(OR(E15=0,SIGN(J15)&lt;&gt;SIGN(E15),ABS(E15)&lt;0.1*ABS(J15)),"n/m",J15/E15-1)</f>
        <v>0.018335076984918652</v>
      </c>
      <c r="K16" s="112" t="s">
        <v>293</v>
      </c>
    </row>
    <row r="17">
      <c r="A17" s="1"/>
      <c r="B17" s="5" t="s">
        <v>89</v>
      </c>
      <c r="C17" s="12" t="s">
        <v>38</v>
      </c>
      <c r="D17" s="12">
        <f>D15-C15</f>
        <v>-203568</v>
      </c>
      <c r="E17" s="12">
        <f>E15-D15</f>
        <v>-77296</v>
      </c>
      <c r="F17" s="12">
        <f>F15-E15</f>
        <v>232368</v>
      </c>
      <c r="G17" s="12" t="s">
        <v>38</v>
      </c>
      <c r="H17" s="12">
        <f>H15-F15</f>
        <v>-125323</v>
      </c>
      <c r="I17" s="12">
        <f>I15-H15</f>
        <v>-123327</v>
      </c>
      <c r="J17" s="8">
        <f>J15-I15</f>
        <v>11490.531001685187</v>
      </c>
      <c r="K17" s="7"/>
    </row>
    <row r="18">
      <c r="A18" s="1"/>
      <c r="B18" s="18" t="s">
        <v>294</v>
      </c>
      <c r="C18" s="3"/>
      <c r="D18" s="3"/>
      <c r="E18" s="3"/>
      <c r="F18" s="3"/>
      <c r="G18" s="3"/>
      <c r="H18" s="3"/>
      <c r="I18" s="3"/>
      <c r="J18" s="36">
        <v>0.5</v>
      </c>
      <c r="K18" s="7" t="s">
        <v>295</v>
      </c>
    </row>
    <row r="19">
      <c r="A19" s="1"/>
      <c r="B19" s="5" t="s">
        <v>296</v>
      </c>
      <c r="C19" s="12"/>
      <c r="D19" s="12"/>
      <c r="E19" s="46">
        <v>-137270</v>
      </c>
      <c r="F19" s="12"/>
      <c r="G19" s="12"/>
      <c r="H19" s="12"/>
      <c r="I19" s="46">
        <v>-188220</v>
      </c>
      <c r="J19" s="72">
        <f>J18*'Income Statement'!G71</f>
        <v>-163135</v>
      </c>
      <c r="K19" s="7" t="s">
        <v>297</v>
      </c>
    </row>
    <row r="20">
      <c r="A20" s="1"/>
      <c r="B20" s="18" t="s">
        <v>298</v>
      </c>
      <c r="C20" s="3" t="s">
        <v>38</v>
      </c>
      <c r="D20" s="3" t="s">
        <v>38</v>
      </c>
      <c r="E20" s="3" t="s">
        <v>38</v>
      </c>
      <c r="F20" s="3" t="s">
        <v>38</v>
      </c>
      <c r="G20" s="3" t="s">
        <v>38</v>
      </c>
      <c r="H20" s="3" t="str">
        <f>IF(AND(ISNUMBER(H19),ISNUMBER(C19)),IF(C19=0,"n/a",H19/C19-1),"n/a")</f>
        <v>n/a</v>
      </c>
      <c r="I20" s="3" t="str">
        <f>IF(AND(ISNUMBER(I19),ISNUMBER(D19)),IF(D19=0,"n/a",I19/D19-1),"n/a")</f>
        <v>n/a</v>
      </c>
      <c r="J20" s="9">
        <f>IF(AND(ISNUMBER(J19),ISNUMBER(E19)),IF(E19=0,"n/a",J19/E19-1),"n/a")</f>
        <v>0.18842427332993372</v>
      </c>
      <c r="K20" s="7"/>
    </row>
    <row r="21">
      <c r="A21" s="1"/>
      <c r="B21" s="5" t="s">
        <v>299</v>
      </c>
      <c r="C21" s="12" t="s">
        <v>38</v>
      </c>
      <c r="D21" s="12" t="str">
        <f>IF(AND(ISNUMBER(D19),ISNUMBER(C19)),D19-C19,"n/a")</f>
        <v>n/a</v>
      </c>
      <c r="E21" s="12" t="str">
        <f>IF(AND(ISNUMBER(E19),ISNUMBER(D19)),E19-D19,"n/a")</f>
        <v>n/a</v>
      </c>
      <c r="F21" s="12" t="str">
        <f>IF(AND(ISNUMBER(F19),ISNUMBER(E19)),F19-E19,"n/a")</f>
        <v>n/a</v>
      </c>
      <c r="G21" s="12" t="s">
        <v>38</v>
      </c>
      <c r="H21" s="12" t="str">
        <f>IF(AND(ISNUMBER(H19),ISNUMBER(F19)),H19-F19,"n/a")</f>
        <v>n/a</v>
      </c>
      <c r="I21" s="12" t="str">
        <f>IF(AND(ISNUMBER(I19),ISNUMBER(H19)),I19-H19,"n/a")</f>
        <v>n/a</v>
      </c>
      <c r="J21" s="8">
        <f>IF(AND(ISNUMBER(J19),ISNUMBER(I19)),J19-I19,"n/a")</f>
        <v>25085</v>
      </c>
      <c r="K21" s="7"/>
    </row>
    <row r="22">
      <c r="A22" s="1"/>
      <c r="B22" s="5" t="s">
        <v>300</v>
      </c>
      <c r="C22" s="12"/>
      <c r="D22" s="12"/>
      <c r="E22" s="12"/>
      <c r="F22" s="12"/>
      <c r="G22" s="12"/>
      <c r="H22" s="12"/>
      <c r="I22" s="12"/>
      <c r="J22" s="72">
        <f>-'Income Statement'!J55</f>
        <v>-27500</v>
      </c>
      <c r="K22" s="7" t="s">
        <v>301</v>
      </c>
    </row>
    <row r="23">
      <c r="A23" s="1"/>
      <c r="B23" s="5" t="s">
        <v>302</v>
      </c>
      <c r="C23" s="12"/>
      <c r="D23" s="12"/>
      <c r="E23" s="12"/>
      <c r="F23" s="12"/>
      <c r="G23" s="12"/>
      <c r="H23" s="12"/>
      <c r="I23" s="12"/>
      <c r="J23" s="72">
        <f>-'Income Statement'!J52</f>
        <v>-900</v>
      </c>
      <c r="K23" s="7" t="s">
        <v>303</v>
      </c>
    </row>
    <row r="24">
      <c r="A24" s="1"/>
      <c r="B24" s="5" t="s">
        <v>304</v>
      </c>
      <c r="C24" s="12"/>
      <c r="D24" s="12"/>
      <c r="E24" s="46">
        <v>-122640</v>
      </c>
      <c r="F24" s="12"/>
      <c r="G24" s="12"/>
      <c r="H24" s="12"/>
      <c r="I24" s="46">
        <v>-87950</v>
      </c>
      <c r="J24" s="72">
        <f>-('Balance Sheet'!J19-'Balance Sheet'!I19)-('Balance Sheet'!J22-'Balance Sheet'!I22)-('Balance Sheet'!J25-'Balance Sheet'!I25)+('Balance Sheet'!J44-'Balance Sheet'!I44)</f>
        <v>-74584.46899831481</v>
      </c>
      <c r="K24" s="7"/>
    </row>
    <row r="25">
      <c r="A25" s="1"/>
      <c r="B25" s="18" t="s">
        <v>298</v>
      </c>
      <c r="C25" s="3" t="s">
        <v>38</v>
      </c>
      <c r="D25" s="3" t="s">
        <v>38</v>
      </c>
      <c r="E25" s="3" t="s">
        <v>38</v>
      </c>
      <c r="F25" s="3" t="s">
        <v>38</v>
      </c>
      <c r="G25" s="3" t="s">
        <v>38</v>
      </c>
      <c r="H25" s="3" t="str">
        <f>IF(AND(ISNUMBER(H24),ISNUMBER(C24)),IF(C24=0,"n/a",H24/C24-1),"n/a")</f>
        <v>n/a</v>
      </c>
      <c r="I25" s="3" t="str">
        <f>IF(AND(ISNUMBER(I24),ISNUMBER(D24)),IF(D24=0,"n/a",I24/D24-1),"n/a")</f>
        <v>n/a</v>
      </c>
      <c r="J25" s="9">
        <f>IF(AND(ISNUMBER(J24),ISNUMBER(E24)),IF(E24=0,"n/a",J24/E24-1),"n/a")</f>
        <v>-0.39184222930271684</v>
      </c>
      <c r="K25" s="7"/>
    </row>
    <row r="26">
      <c r="A26" s="1"/>
      <c r="B26" s="5" t="s">
        <v>299</v>
      </c>
      <c r="C26" s="12" t="s">
        <v>38</v>
      </c>
      <c r="D26" s="12" t="str">
        <f>IF(AND(ISNUMBER(D24),ISNUMBER(C24)),D24-C24,"n/a")</f>
        <v>n/a</v>
      </c>
      <c r="E26" s="12" t="str">
        <f>IF(AND(ISNUMBER(E24),ISNUMBER(D24)),E24-D24,"n/a")</f>
        <v>n/a</v>
      </c>
      <c r="F26" s="12" t="str">
        <f>IF(AND(ISNUMBER(F24),ISNUMBER(E24)),F24-E24,"n/a")</f>
        <v>n/a</v>
      </c>
      <c r="G26" s="12" t="s">
        <v>38</v>
      </c>
      <c r="H26" s="12" t="str">
        <f>IF(AND(ISNUMBER(H24),ISNUMBER(F24)),H24-F24,"n/a")</f>
        <v>n/a</v>
      </c>
      <c r="I26" s="12" t="str">
        <f>IF(AND(ISNUMBER(I24),ISNUMBER(H24)),I24-H24,"n/a")</f>
        <v>n/a</v>
      </c>
      <c r="J26" s="8">
        <f>IF(AND(ISNUMBER(J24),ISNUMBER(I24)),J24-I24,"n/a")</f>
        <v>13365.531001685187</v>
      </c>
      <c r="K26" s="7"/>
    </row>
    <row r="27">
      <c r="A27" s="1"/>
      <c r="B27" s="11" t="s">
        <v>305</v>
      </c>
      <c r="C27" s="26">
        <v>625570</v>
      </c>
      <c r="D27" s="26">
        <v>497070</v>
      </c>
      <c r="E27" s="26">
        <v>426830</v>
      </c>
      <c r="F27" s="26">
        <v>725510</v>
      </c>
      <c r="G27" s="14">
        <f>SUM(C27:F27)</f>
        <v>2274980</v>
      </c>
      <c r="H27" s="26">
        <v>698970</v>
      </c>
      <c r="I27" s="26">
        <v>783360</v>
      </c>
      <c r="J27" s="70">
        <f>J11+J12+J15</f>
        <v>872993.0270016852</v>
      </c>
      <c r="K27" s="7"/>
    </row>
    <row r="28">
      <c r="A28" s="1"/>
      <c r="B28" s="18" t="s">
        <v>97</v>
      </c>
      <c r="C28" s="3" t="s">
        <v>38</v>
      </c>
      <c r="D28" s="3" t="s">
        <v>38</v>
      </c>
      <c r="E28" s="3" t="s">
        <v>38</v>
      </c>
      <c r="F28" s="3" t="s">
        <v>38</v>
      </c>
      <c r="G28" s="3" t="s">
        <v>38</v>
      </c>
      <c r="H28" s="3">
        <f>H27/C27-1</f>
        <v>0.11733299231101246</v>
      </c>
      <c r="I28" s="3">
        <f>I27/D27-1</f>
        <v>0.5759550968676443</v>
      </c>
      <c r="J28" s="9">
        <f>J27/E27-1</f>
        <v>1.0452944427563322</v>
      </c>
      <c r="K28" s="7"/>
    </row>
    <row r="29">
      <c r="A29" s="1"/>
      <c r="B29" s="18" t="s">
        <v>98</v>
      </c>
      <c r="C29" s="3" t="s">
        <v>38</v>
      </c>
      <c r="D29" s="3">
        <f>D27/C27-1</f>
        <v>-0.2054126636507505</v>
      </c>
      <c r="E29" s="3">
        <f>E27/D27-1</f>
        <v>-0.1413080652624379</v>
      </c>
      <c r="F29" s="3">
        <f>F27/E27-1</f>
        <v>0.6997633718342198</v>
      </c>
      <c r="G29" s="3" t="s">
        <v>38</v>
      </c>
      <c r="H29" s="3">
        <f>H27/F27-1</f>
        <v>-0.03658116359526398</v>
      </c>
      <c r="I29" s="3">
        <f>I27/H27-1</f>
        <v>0.12073479548478483</v>
      </c>
      <c r="J29" s="9">
        <f>J27/I27-1</f>
        <v>0.11442124566187362</v>
      </c>
      <c r="K29" s="7"/>
    </row>
    <row r="30">
      <c r="A30" s="1"/>
      <c r="B30" s="11" t="s">
        <v>306</v>
      </c>
      <c r="C30" s="22"/>
      <c r="D30" s="22"/>
      <c r="E30" s="22"/>
      <c r="F30" s="22"/>
      <c r="G30" s="22"/>
      <c r="H30" s="22"/>
      <c r="I30" s="22"/>
      <c r="J30" s="33"/>
      <c r="K30" s="7"/>
    </row>
    <row r="31">
      <c r="A31" s="1"/>
      <c r="B31" s="5" t="s">
        <v>307</v>
      </c>
      <c r="C31" s="46">
        <v>-330830</v>
      </c>
      <c r="D31" s="46">
        <v>-297220</v>
      </c>
      <c r="E31" s="46">
        <v>-287450</v>
      </c>
      <c r="F31" s="46">
        <v>-356910</v>
      </c>
      <c r="G31" s="12">
        <f>SUM(C31:F31)</f>
        <v>-1272410</v>
      </c>
      <c r="H31" s="46">
        <v>-350760</v>
      </c>
      <c r="I31" s="46">
        <v>-496000</v>
      </c>
      <c r="J31" s="72">
        <f>-J68*'Revenue summary'!J27*1000</f>
        <v>-563131.36</v>
      </c>
      <c r="K31" s="7"/>
    </row>
    <row r="32">
      <c r="A32" s="1"/>
      <c r="B32" s="18" t="s">
        <v>88</v>
      </c>
      <c r="C32" s="3" t="s">
        <v>38</v>
      </c>
      <c r="D32" s="3" t="s">
        <v>38</v>
      </c>
      <c r="E32" s="3" t="s">
        <v>38</v>
      </c>
      <c r="F32" s="3" t="s">
        <v>38</v>
      </c>
      <c r="G32" s="3" t="s">
        <v>38</v>
      </c>
      <c r="H32" s="3">
        <f>H31/C31-1</f>
        <v>0.060242420578544786</v>
      </c>
      <c r="I32" s="3">
        <f>I31/D31-1</f>
        <v>0.6687975237198036</v>
      </c>
      <c r="J32" s="9">
        <f>J31/E31-1</f>
        <v>0.9590584797356061</v>
      </c>
      <c r="K32" s="7"/>
    </row>
    <row r="33">
      <c r="A33" s="1"/>
      <c r="B33" s="5" t="s">
        <v>89</v>
      </c>
      <c r="C33" s="12" t="s">
        <v>38</v>
      </c>
      <c r="D33" s="12">
        <f>D31-C31</f>
        <v>33610</v>
      </c>
      <c r="E33" s="12">
        <f>E31-D31</f>
        <v>9770</v>
      </c>
      <c r="F33" s="12">
        <f>F31-E31</f>
        <v>-69460</v>
      </c>
      <c r="G33" s="12" t="s">
        <v>38</v>
      </c>
      <c r="H33" s="12">
        <f>H31-F31</f>
        <v>6150</v>
      </c>
      <c r="I33" s="12">
        <f>I31-H31</f>
        <v>-145240</v>
      </c>
      <c r="J33" s="8">
        <f>J31-I31</f>
        <v>-67131.35999999999</v>
      </c>
      <c r="K33" s="7"/>
    </row>
    <row r="34">
      <c r="A34" s="1"/>
      <c r="B34" s="5" t="s">
        <v>308</v>
      </c>
      <c r="C34" s="46">
        <v>-16810</v>
      </c>
      <c r="D34" s="46">
        <v>11750</v>
      </c>
      <c r="E34" s="46">
        <v>-1250</v>
      </c>
      <c r="F34" s="46">
        <v>-30800</v>
      </c>
      <c r="G34" s="12">
        <f>SUM(C34:F34)</f>
        <v>-37110</v>
      </c>
      <c r="H34" s="46">
        <v>-30320</v>
      </c>
      <c r="I34" s="46">
        <v>-36960</v>
      </c>
      <c r="J34" s="8">
        <f>AVERAGE(E34,F34,H34,I34)</f>
        <v>-24832.5</v>
      </c>
      <c r="K34" s="7" t="s">
        <v>309</v>
      </c>
    </row>
    <row r="35">
      <c r="A35" s="1"/>
      <c r="B35" s="18" t="s">
        <v>88</v>
      </c>
      <c r="C35" s="3" t="s">
        <v>38</v>
      </c>
      <c r="D35" s="3" t="s">
        <v>38</v>
      </c>
      <c r="E35" s="3" t="s">
        <v>38</v>
      </c>
      <c r="F35" s="3" t="s">
        <v>38</v>
      </c>
      <c r="G35" s="3" t="s">
        <v>38</v>
      </c>
      <c r="H35" s="117">
        <f>IF(OR(C34=0,SIGN(H34)&lt;&gt;SIGN(C34),ABS(C34)&lt;0.1*ABS(H34)),"n/m",H34/C34-1)</f>
        <v>0.8036882807852468</v>
      </c>
      <c r="I35" s="117" t="str">
        <f>IF(OR(D34=0,SIGN(I34)&lt;&gt;SIGN(D34),ABS(D34)&lt;0.1*ABS(I34)),"n/m",I34/D34-1)</f>
        <v>n/m</v>
      </c>
      <c r="J35" s="118" t="str">
        <f>IF(OR(E34=0,SIGN(J34)&lt;&gt;SIGN(E34),ABS(E34)&lt;0.1*ABS(J34)),"n/m",J34/E34-1)</f>
        <v>n/m</v>
      </c>
      <c r="K35" s="112" t="s">
        <v>310</v>
      </c>
    </row>
    <row r="36">
      <c r="A36" s="1"/>
      <c r="B36" s="5" t="s">
        <v>89</v>
      </c>
      <c r="C36" s="12" t="s">
        <v>38</v>
      </c>
      <c r="D36" s="12">
        <f>D34-C34</f>
        <v>28560</v>
      </c>
      <c r="E36" s="12">
        <f>E34-D34</f>
        <v>-13000</v>
      </c>
      <c r="F36" s="12">
        <f>F34-E34</f>
        <v>-29550</v>
      </c>
      <c r="G36" s="12" t="s">
        <v>38</v>
      </c>
      <c r="H36" s="12">
        <f>H34-F34</f>
        <v>480</v>
      </c>
      <c r="I36" s="12">
        <f>I34-H34</f>
        <v>-6640</v>
      </c>
      <c r="J36" s="8">
        <f>J34-I34</f>
        <v>12127.5</v>
      </c>
      <c r="K36" s="7"/>
    </row>
    <row r="37">
      <c r="A37" s="1"/>
      <c r="B37" s="5" t="s">
        <v>311</v>
      </c>
      <c r="C37" s="46">
        <v>57450</v>
      </c>
      <c r="D37" s="46">
        <v>56980</v>
      </c>
      <c r="E37" s="46">
        <v>28950</v>
      </c>
      <c r="F37" s="46">
        <v>21750</v>
      </c>
      <c r="G37" s="12">
        <f>SUM(C37:F37)</f>
        <v>165130</v>
      </c>
      <c r="H37" s="46">
        <v>24230</v>
      </c>
      <c r="I37" s="46">
        <v>40150</v>
      </c>
      <c r="J37" s="8">
        <f>-J22</f>
        <v>27500</v>
      </c>
      <c r="K37" s="7" t="s">
        <v>312</v>
      </c>
    </row>
    <row r="38">
      <c r="A38" s="1"/>
      <c r="B38" s="18" t="s">
        <v>88</v>
      </c>
      <c r="C38" s="3" t="s">
        <v>38</v>
      </c>
      <c r="D38" s="3" t="s">
        <v>38</v>
      </c>
      <c r="E38" s="3" t="s">
        <v>38</v>
      </c>
      <c r="F38" s="3" t="s">
        <v>38</v>
      </c>
      <c r="G38" s="3" t="s">
        <v>38</v>
      </c>
      <c r="H38" s="117">
        <f>IF(OR(C37=0,SIGN(H37)&lt;&gt;SIGN(C37),ABS(C37)&lt;0.1*ABS(H37)),"n/m",H37/C37-1)</f>
        <v>-0.5782419495213229</v>
      </c>
      <c r="I38" s="117">
        <f>IF(OR(D37=0,SIGN(I37)&lt;&gt;SIGN(D37),ABS(D37)&lt;0.1*ABS(I37)),"n/m",I37/D37-1)</f>
        <v>-0.29536679536679533</v>
      </c>
      <c r="J38" s="118">
        <f>IF(OR(E37=0,SIGN(J37)&lt;&gt;SIGN(E37),ABS(E37)&lt;0.1*ABS(J37)),"n/m",J37/E37-1)</f>
        <v>-0.050086355785837644</v>
      </c>
      <c r="K38" s="112" t="s">
        <v>310</v>
      </c>
    </row>
    <row r="39">
      <c r="A39" s="1"/>
      <c r="B39" s="5" t="s">
        <v>89</v>
      </c>
      <c r="C39" s="12" t="s">
        <v>38</v>
      </c>
      <c r="D39" s="12">
        <f>D37-C37</f>
        <v>-470</v>
      </c>
      <c r="E39" s="12">
        <f>E37-D37</f>
        <v>-28030</v>
      </c>
      <c r="F39" s="12">
        <f>F37-E37</f>
        <v>-7200</v>
      </c>
      <c r="G39" s="12" t="s">
        <v>38</v>
      </c>
      <c r="H39" s="12">
        <f>H37-F37</f>
        <v>2480</v>
      </c>
      <c r="I39" s="12">
        <f>I37-H37</f>
        <v>15920</v>
      </c>
      <c r="J39" s="8">
        <f>J37-I37</f>
        <v>-12650</v>
      </c>
      <c r="K39" s="7"/>
    </row>
    <row r="40">
      <c r="A40" s="1"/>
      <c r="B40" s="11" t="s">
        <v>313</v>
      </c>
      <c r="C40" s="14">
        <f>C31+C34+C37</f>
        <v>-290190</v>
      </c>
      <c r="D40" s="14">
        <f>D31+D34+D37</f>
        <v>-228490</v>
      </c>
      <c r="E40" s="14">
        <f>E31+E34+E37</f>
        <v>-259750</v>
      </c>
      <c r="F40" s="14">
        <f>F31+F34+F37</f>
        <v>-365960</v>
      </c>
      <c r="G40" s="14">
        <f>SUM(C40:F40)</f>
        <v>-1144390</v>
      </c>
      <c r="H40" s="14">
        <f>H31+H34+H37</f>
        <v>-356850</v>
      </c>
      <c r="I40" s="14">
        <f>I31+I34+I37</f>
        <v>-492810</v>
      </c>
      <c r="J40" s="70">
        <f>J31+J34+J37</f>
        <v>-560463.86</v>
      </c>
      <c r="K40" s="7"/>
    </row>
    <row r="41">
      <c r="A41" s="1"/>
      <c r="B41" s="18" t="s">
        <v>97</v>
      </c>
      <c r="C41" s="3" t="s">
        <v>38</v>
      </c>
      <c r="D41" s="3" t="s">
        <v>38</v>
      </c>
      <c r="E41" s="3" t="s">
        <v>38</v>
      </c>
      <c r="F41" s="3" t="s">
        <v>38</v>
      </c>
      <c r="G41" s="3" t="s">
        <v>38</v>
      </c>
      <c r="H41" s="3">
        <f>H40/C40-1</f>
        <v>0.22971156828284922</v>
      </c>
      <c r="I41" s="3">
        <f>I40/D40-1</f>
        <v>1.1568121143157248</v>
      </c>
      <c r="J41" s="9">
        <f>J40/E40-1</f>
        <v>1.157704947064485</v>
      </c>
      <c r="K41" s="7"/>
    </row>
    <row r="42">
      <c r="A42" s="1"/>
      <c r="B42" s="5" t="s">
        <v>99</v>
      </c>
      <c r="C42" s="12" t="s">
        <v>38</v>
      </c>
      <c r="D42" s="12">
        <f>D40-C40</f>
        <v>61700</v>
      </c>
      <c r="E42" s="12">
        <f>E40-D40</f>
        <v>-31260</v>
      </c>
      <c r="F42" s="12">
        <f>F40-E40</f>
        <v>-106210</v>
      </c>
      <c r="G42" s="12" t="s">
        <v>38</v>
      </c>
      <c r="H42" s="12">
        <f>H40-F40</f>
        <v>9110</v>
      </c>
      <c r="I42" s="12">
        <f>I40-H40</f>
        <v>-135960</v>
      </c>
      <c r="J42" s="8">
        <f>J40-I40</f>
        <v>-67653.85999999999</v>
      </c>
      <c r="K42" s="7"/>
    </row>
    <row r="43">
      <c r="A43" s="1"/>
      <c r="B43" s="11" t="s">
        <v>314</v>
      </c>
      <c r="C43" s="22"/>
      <c r="D43" s="22"/>
      <c r="E43" s="22"/>
      <c r="F43" s="22"/>
      <c r="G43" s="22"/>
      <c r="H43" s="22"/>
      <c r="I43" s="22"/>
      <c r="J43" s="33"/>
      <c r="K43" s="7"/>
    </row>
    <row r="44">
      <c r="A44" s="1"/>
      <c r="B44" s="5" t="s">
        <v>315</v>
      </c>
      <c r="C44" s="46">
        <v>-103720</v>
      </c>
      <c r="D44" s="46">
        <v>-116700</v>
      </c>
      <c r="E44" s="46">
        <v>-116700</v>
      </c>
      <c r="F44" s="46">
        <v>-129660</v>
      </c>
      <c r="G44" s="12">
        <f>SUM(C44:F44)</f>
        <v>-466780</v>
      </c>
      <c r="H44" s="46">
        <v>-129660</v>
      </c>
      <c r="I44" s="46">
        <v>-155590</v>
      </c>
      <c r="J44" s="72">
        <f>-'Share Count'!J42</f>
        <v>-155592</v>
      </c>
      <c r="K44" s="7"/>
    </row>
    <row r="45">
      <c r="A45" s="1"/>
      <c r="B45" s="18" t="s">
        <v>88</v>
      </c>
      <c r="C45" s="3" t="s">
        <v>38</v>
      </c>
      <c r="D45" s="3" t="s">
        <v>38</v>
      </c>
      <c r="E45" s="3" t="s">
        <v>38</v>
      </c>
      <c r="F45" s="3" t="s">
        <v>38</v>
      </c>
      <c r="G45" s="3" t="s">
        <v>38</v>
      </c>
      <c r="H45" s="3">
        <f>H44/C44-1</f>
        <v>0.2500964134207482</v>
      </c>
      <c r="I45" s="3">
        <f>I44/D44-1</f>
        <v>0.3332476435304199</v>
      </c>
      <c r="J45" s="9">
        <f>J44/E44-1</f>
        <v>0.3332647814910026</v>
      </c>
      <c r="K45" s="7"/>
    </row>
    <row r="46">
      <c r="A46" s="1"/>
      <c r="B46" s="5" t="s">
        <v>89</v>
      </c>
      <c r="C46" s="12" t="s">
        <v>38</v>
      </c>
      <c r="D46" s="12">
        <f>D44-C44</f>
        <v>-12980</v>
      </c>
      <c r="E46" s="12">
        <f>E44-D44</f>
        <v>0</v>
      </c>
      <c r="F46" s="12">
        <f>F44-E44</f>
        <v>-12960</v>
      </c>
      <c r="G46" s="12" t="s">
        <v>38</v>
      </c>
      <c r="H46" s="12">
        <f>H44-F44</f>
        <v>0</v>
      </c>
      <c r="I46" s="12">
        <f>I44-H44</f>
        <v>-25930</v>
      </c>
      <c r="J46" s="8">
        <f>J44-I44</f>
        <v>-2</v>
      </c>
      <c r="K46" s="7"/>
    </row>
    <row r="47">
      <c r="A47" s="1"/>
      <c r="B47" s="5" t="s">
        <v>316</v>
      </c>
      <c r="C47" s="46">
        <v>16200</v>
      </c>
      <c r="D47" s="46">
        <v>3700</v>
      </c>
      <c r="E47" s="46">
        <v>-9060</v>
      </c>
      <c r="F47" s="46">
        <v>21750</v>
      </c>
      <c r="G47" s="12">
        <f>SUM(C47:F47)</f>
        <v>32590</v>
      </c>
      <c r="H47" s="46">
        <v>12400</v>
      </c>
      <c r="I47" s="46">
        <v>-31660</v>
      </c>
      <c r="J47" s="72">
        <f>('Balance Sheet'!J47+'Balance Sheet'!J59)-('Balance Sheet'!I47+'Balance Sheet'!I59)</f>
        <v>0</v>
      </c>
      <c r="K47" s="7" t="s">
        <v>317</v>
      </c>
    </row>
    <row r="48">
      <c r="A48" s="1"/>
      <c r="B48" s="18" t="s">
        <v>88</v>
      </c>
      <c r="C48" s="3" t="s">
        <v>38</v>
      </c>
      <c r="D48" s="3" t="s">
        <v>38</v>
      </c>
      <c r="E48" s="3" t="s">
        <v>38</v>
      </c>
      <c r="F48" s="3" t="s">
        <v>38</v>
      </c>
      <c r="G48" s="3" t="s">
        <v>38</v>
      </c>
      <c r="H48" s="117">
        <f>IF(OR(C47=0,SIGN(H47)&lt;&gt;SIGN(C47),ABS(C47)&lt;0.1*ABS(H47)),"n/m",H47/C47-1)</f>
        <v>-0.23456790123456794</v>
      </c>
      <c r="I48" s="117" t="str">
        <f>IF(OR(D47=0,SIGN(I47)&lt;&gt;SIGN(D47),ABS(D47)&lt;0.1*ABS(I47)),"n/m",I47/D47-1)</f>
        <v>n/m</v>
      </c>
      <c r="J48" s="118" t="str">
        <f>IF(OR(E47=0,SIGN(J47)&lt;&gt;SIGN(E47),ABS(E47)&lt;0.1*ABS(J47)),"n/m",J47/E47-1)</f>
        <v>n/m</v>
      </c>
      <c r="K48" s="112" t="s">
        <v>310</v>
      </c>
    </row>
    <row r="49">
      <c r="A49" s="1"/>
      <c r="B49" s="5" t="s">
        <v>89</v>
      </c>
      <c r="C49" s="12" t="s">
        <v>38</v>
      </c>
      <c r="D49" s="12">
        <f>D47-C47</f>
        <v>-12500</v>
      </c>
      <c r="E49" s="12">
        <f>E47-D47</f>
        <v>-12760</v>
      </c>
      <c r="F49" s="12">
        <f>F47-E47</f>
        <v>30810</v>
      </c>
      <c r="G49" s="12" t="s">
        <v>38</v>
      </c>
      <c r="H49" s="12">
        <f>H47-F47</f>
        <v>-9350</v>
      </c>
      <c r="I49" s="12">
        <f>I47-H47</f>
        <v>-44060</v>
      </c>
      <c r="J49" s="8">
        <f>J47-I47</f>
        <v>31660</v>
      </c>
      <c r="K49" s="7"/>
    </row>
    <row r="50">
      <c r="A50" s="1"/>
      <c r="B50" s="5" t="s">
        <v>318</v>
      </c>
      <c r="C50" s="46">
        <v>2850</v>
      </c>
      <c r="D50" s="46">
        <v>-6700</v>
      </c>
      <c r="E50" s="46">
        <v>-2530</v>
      </c>
      <c r="F50" s="46">
        <v>220</v>
      </c>
      <c r="G50" s="12">
        <f>SUM(C50:F50)</f>
        <v>-6160</v>
      </c>
      <c r="H50" s="46">
        <v>-2650</v>
      </c>
      <c r="I50" s="46">
        <v>2600</v>
      </c>
      <c r="J50" s="72">
        <f>'Balance Sheet'!J62-'Balance Sheet'!I62</f>
        <v>0</v>
      </c>
      <c r="K50" s="7"/>
    </row>
    <row r="51">
      <c r="A51" s="1"/>
      <c r="B51" s="18" t="s">
        <v>88</v>
      </c>
      <c r="C51" s="3" t="s">
        <v>38</v>
      </c>
      <c r="D51" s="3" t="s">
        <v>38</v>
      </c>
      <c r="E51" s="3" t="s">
        <v>38</v>
      </c>
      <c r="F51" s="3" t="s">
        <v>38</v>
      </c>
      <c r="G51" s="3" t="s">
        <v>38</v>
      </c>
      <c r="H51" s="117" t="str">
        <f>IF(OR(C50=0,SIGN(H50)&lt;&gt;SIGN(C50),ABS(C50)&lt;0.1*ABS(H50)),"n/m",H50/C50-1)</f>
        <v>n/m</v>
      </c>
      <c r="I51" s="117" t="str">
        <f>IF(OR(D50=0,SIGN(I50)&lt;&gt;SIGN(D50),ABS(D50)&lt;0.1*ABS(I50)),"n/m",I50/D50-1)</f>
        <v>n/m</v>
      </c>
      <c r="J51" s="118" t="str">
        <f>IF(OR(E50=0,SIGN(J50)&lt;&gt;SIGN(E50),ABS(E50)&lt;0.1*ABS(J50)),"n/m",J50/E50-1)</f>
        <v>n/m</v>
      </c>
      <c r="K51" s="112" t="s">
        <v>310</v>
      </c>
    </row>
    <row r="52">
      <c r="A52" s="1"/>
      <c r="B52" s="5" t="s">
        <v>89</v>
      </c>
      <c r="C52" s="12" t="s">
        <v>38</v>
      </c>
      <c r="D52" s="12">
        <f>D50-C50</f>
        <v>-9550</v>
      </c>
      <c r="E52" s="12">
        <f>E50-D50</f>
        <v>4170</v>
      </c>
      <c r="F52" s="12">
        <f>F50-E50</f>
        <v>2750</v>
      </c>
      <c r="G52" s="12" t="s">
        <v>38</v>
      </c>
      <c r="H52" s="12">
        <f>H50-F50</f>
        <v>-2870</v>
      </c>
      <c r="I52" s="12">
        <f>I50-H50</f>
        <v>5250</v>
      </c>
      <c r="J52" s="8">
        <f>J50-I50</f>
        <v>-2600</v>
      </c>
      <c r="K52" s="7"/>
    </row>
    <row r="53">
      <c r="A53" s="1"/>
      <c r="B53" s="11" t="s">
        <v>319</v>
      </c>
      <c r="C53" s="14">
        <f>C44+C47+C50</f>
        <v>-84670</v>
      </c>
      <c r="D53" s="14">
        <f>D44+D47+D50</f>
        <v>-119700</v>
      </c>
      <c r="E53" s="14">
        <f>E44+E47+E50</f>
        <v>-128290</v>
      </c>
      <c r="F53" s="14">
        <f>F44+F47+F50</f>
        <v>-107690</v>
      </c>
      <c r="G53" s="14">
        <f>SUM(C53:F53)</f>
        <v>-440350</v>
      </c>
      <c r="H53" s="14">
        <f>H44+H47+H50</f>
        <v>-119910</v>
      </c>
      <c r="I53" s="14">
        <f>I44+I47+I50</f>
        <v>-184650</v>
      </c>
      <c r="J53" s="70">
        <f>J44+J47+J50</f>
        <v>-155592</v>
      </c>
      <c r="K53" s="7"/>
    </row>
    <row r="54">
      <c r="A54" s="1"/>
      <c r="B54" s="18" t="s">
        <v>97</v>
      </c>
      <c r="C54" s="3" t="s">
        <v>38</v>
      </c>
      <c r="D54" s="3" t="s">
        <v>38</v>
      </c>
      <c r="E54" s="3" t="s">
        <v>38</v>
      </c>
      <c r="F54" s="3" t="s">
        <v>38</v>
      </c>
      <c r="G54" s="3" t="s">
        <v>38</v>
      </c>
      <c r="H54" s="3">
        <f>H53/C53-1</f>
        <v>0.4162040864532892</v>
      </c>
      <c r="I54" s="3">
        <f>I53/D53-1</f>
        <v>0.5426065162907268</v>
      </c>
      <c r="J54" s="9">
        <f>J53/E53-1</f>
        <v>0.21281471665757268</v>
      </c>
      <c r="K54" s="7"/>
    </row>
    <row r="55">
      <c r="A55" s="1"/>
      <c r="B55" s="5" t="s">
        <v>99</v>
      </c>
      <c r="C55" s="12" t="s">
        <v>38</v>
      </c>
      <c r="D55" s="12">
        <f>D53-C53</f>
        <v>-35030</v>
      </c>
      <c r="E55" s="12">
        <f>E53-D53</f>
        <v>-8590</v>
      </c>
      <c r="F55" s="12">
        <f>F53-E53</f>
        <v>20600</v>
      </c>
      <c r="G55" s="12" t="s">
        <v>38</v>
      </c>
      <c r="H55" s="12">
        <f>H53-F53</f>
        <v>-12220</v>
      </c>
      <c r="I55" s="12">
        <f>I53-H53</f>
        <v>-64740</v>
      </c>
      <c r="J55" s="8">
        <f>J53-I53</f>
        <v>29058</v>
      </c>
      <c r="K55" s="7"/>
    </row>
    <row r="56">
      <c r="A56" s="1"/>
      <c r="B56" s="5" t="s">
        <v>320</v>
      </c>
      <c r="C56" s="46">
        <v>16460</v>
      </c>
      <c r="D56" s="46">
        <v>-179160</v>
      </c>
      <c r="E56" s="46">
        <v>67450</v>
      </c>
      <c r="F56" s="46">
        <v>45240</v>
      </c>
      <c r="G56" s="12">
        <f>SUM(C56:F56)</f>
        <v>-50010</v>
      </c>
      <c r="H56" s="46">
        <v>45570</v>
      </c>
      <c r="I56" s="46">
        <v>-7320</v>
      </c>
      <c r="J56" s="83">
        <v>0</v>
      </c>
      <c r="K56" s="7" t="s">
        <v>321</v>
      </c>
    </row>
    <row r="57">
      <c r="A57" s="1"/>
      <c r="B57" s="18" t="s">
        <v>97</v>
      </c>
      <c r="C57" s="3" t="s">
        <v>38</v>
      </c>
      <c r="D57" s="3" t="s">
        <v>38</v>
      </c>
      <c r="E57" s="3" t="s">
        <v>38</v>
      </c>
      <c r="F57" s="3" t="s">
        <v>38</v>
      </c>
      <c r="G57" s="3" t="s">
        <v>38</v>
      </c>
      <c r="H57" s="117">
        <f>IF(OR(C56=0,SIGN(H56)&lt;&gt;SIGN(C56),ABS(C56)&lt;0.1*ABS(H56)),"n/m",H56/C56-1)</f>
        <v>1.7685297691373028</v>
      </c>
      <c r="I57" s="117">
        <f>IF(OR(D56=0,SIGN(I56)&lt;&gt;SIGN(D56),ABS(D56)&lt;0.1*ABS(I56)),"n/m",I56/D56-1)</f>
        <v>-0.9591426657736102</v>
      </c>
      <c r="J57" s="118" t="str">
        <f>IF(OR(E56=0,SIGN(J56)&lt;&gt;SIGN(E56),ABS(E56)&lt;0.1*ABS(J56)),"n/m",J56/E56-1)</f>
        <v>n/m</v>
      </c>
      <c r="K57" s="112" t="s">
        <v>310</v>
      </c>
    </row>
    <row r="58">
      <c r="A58" s="1"/>
      <c r="B58" s="5" t="s">
        <v>99</v>
      </c>
      <c r="C58" s="12" t="s">
        <v>38</v>
      </c>
      <c r="D58" s="12">
        <f>D56-C56</f>
        <v>-195620</v>
      </c>
      <c r="E58" s="12">
        <f>E56-D56</f>
        <v>246610</v>
      </c>
      <c r="F58" s="12">
        <f>F56-E56</f>
        <v>-22210</v>
      </c>
      <c r="G58" s="12" t="s">
        <v>38</v>
      </c>
      <c r="H58" s="12">
        <f>H56-F56</f>
        <v>330</v>
      </c>
      <c r="I58" s="12">
        <f>I56-H56</f>
        <v>-52890</v>
      </c>
      <c r="J58" s="8">
        <f>J56-I56</f>
        <v>7320</v>
      </c>
      <c r="K58" s="7"/>
    </row>
    <row r="59">
      <c r="A59" s="1"/>
      <c r="B59" s="11" t="s">
        <v>322</v>
      </c>
      <c r="C59" s="14">
        <f>C27+C40+C53+C56</f>
        <v>267170</v>
      </c>
      <c r="D59" s="14">
        <f>D27+D40+D53+D56</f>
        <v>-30280</v>
      </c>
      <c r="E59" s="14">
        <f>E27+E40+E53+E56</f>
        <v>106240</v>
      </c>
      <c r="F59" s="14">
        <f>F27+F40+F53+F56</f>
        <v>297100</v>
      </c>
      <c r="G59" s="14">
        <f>G27+G40+G53+G56</f>
        <v>640230</v>
      </c>
      <c r="H59" s="14">
        <f>H27+H40+H53+H56</f>
        <v>267780</v>
      </c>
      <c r="I59" s="14">
        <f>I27+I40+I53+I56</f>
        <v>98580</v>
      </c>
      <c r="J59" s="70">
        <f>J27+J40+J53+J56</f>
        <v>156937.16700168524</v>
      </c>
      <c r="K59" s="7"/>
    </row>
    <row r="60">
      <c r="A60" s="1"/>
      <c r="B60" s="18" t="s">
        <v>97</v>
      </c>
      <c r="C60" s="3" t="s">
        <v>38</v>
      </c>
      <c r="D60" s="3" t="s">
        <v>38</v>
      </c>
      <c r="E60" s="3" t="s">
        <v>38</v>
      </c>
      <c r="F60" s="3" t="s">
        <v>38</v>
      </c>
      <c r="G60" s="3" t="s">
        <v>38</v>
      </c>
      <c r="H60" s="117">
        <f>IF(OR(C59=0,SIGN(H59)&lt;&gt;SIGN(C59),ABS(C59)&lt;0.1*ABS(H59)),"n/m",H59/C59-1)</f>
        <v>0.002283190477972763</v>
      </c>
      <c r="I60" s="117" t="str">
        <f>IF(OR(D59=0,SIGN(I59)&lt;&gt;SIGN(D59),ABS(D59)&lt;0.1*ABS(I59)),"n/m",I59/D59-1)</f>
        <v>n/m</v>
      </c>
      <c r="J60" s="118">
        <f>IF(OR(E59=0,SIGN(J59)&lt;&gt;SIGN(E59),ABS(E59)&lt;0.1*ABS(J59)),"n/m",J59/E59-1)</f>
        <v>0.4771947195188746</v>
      </c>
      <c r="K60" s="112" t="s">
        <v>310</v>
      </c>
    </row>
    <row r="61">
      <c r="A61" s="1"/>
      <c r="B61" s="5" t="s">
        <v>99</v>
      </c>
      <c r="C61" s="12" t="s">
        <v>38</v>
      </c>
      <c r="D61" s="12">
        <f>D59-C59</f>
        <v>-297450</v>
      </c>
      <c r="E61" s="12">
        <f>E59-D59</f>
        <v>136520</v>
      </c>
      <c r="F61" s="12">
        <f>F59-E59</f>
        <v>190860</v>
      </c>
      <c r="G61" s="12" t="s">
        <v>38</v>
      </c>
      <c r="H61" s="12">
        <f>H59-F59</f>
        <v>-29320</v>
      </c>
      <c r="I61" s="12">
        <f>I59-H59</f>
        <v>-169200</v>
      </c>
      <c r="J61" s="8">
        <f>J59-I59</f>
        <v>58357.167001685244</v>
      </c>
      <c r="K61" s="7"/>
    </row>
    <row r="62">
      <c r="A62" s="1"/>
      <c r="B62" s="11" t="s">
        <v>323</v>
      </c>
      <c r="C62" s="14">
        <f>C9+C59</f>
        <v>2394800</v>
      </c>
      <c r="D62" s="14">
        <f>D9+D59</f>
        <v>2364520</v>
      </c>
      <c r="E62" s="14">
        <f>E9+E59</f>
        <v>2470760</v>
      </c>
      <c r="F62" s="14">
        <f>F9+F59</f>
        <v>2767860</v>
      </c>
      <c r="G62" s="14">
        <f>G9+G59</f>
        <v>2767860</v>
      </c>
      <c r="H62" s="14">
        <f>H9+H59</f>
        <v>3035640</v>
      </c>
      <c r="I62" s="14">
        <f>I9+I59</f>
        <v>3134220</v>
      </c>
      <c r="J62" s="70">
        <f>J9+J59</f>
        <v>3291157.167001685</v>
      </c>
      <c r="K62" s="7"/>
    </row>
    <row r="63">
      <c r="A63" s="1"/>
      <c r="B63" s="18" t="s">
        <v>97</v>
      </c>
      <c r="C63" s="3" t="s">
        <v>38</v>
      </c>
      <c r="D63" s="3" t="s">
        <v>38</v>
      </c>
      <c r="E63" s="3" t="s">
        <v>38</v>
      </c>
      <c r="F63" s="3" t="s">
        <v>38</v>
      </c>
      <c r="G63" s="3" t="s">
        <v>38</v>
      </c>
      <c r="H63" s="3">
        <f>H62/C62-1</f>
        <v>0.26759645899448814</v>
      </c>
      <c r="I63" s="3">
        <f>I62/D62-1</f>
        <v>0.3255206130631163</v>
      </c>
      <c r="J63" s="9">
        <f>J62/E62-1</f>
        <v>0.3320424351218594</v>
      </c>
      <c r="K63" s="7"/>
    </row>
    <row r="64">
      <c r="A64" s="1"/>
      <c r="B64" s="5" t="s">
        <v>99</v>
      </c>
      <c r="C64" s="12" t="s">
        <v>38</v>
      </c>
      <c r="D64" s="12">
        <f>D62-C62</f>
        <v>-30280</v>
      </c>
      <c r="E64" s="12">
        <f>E62-D62</f>
        <v>106240</v>
      </c>
      <c r="F64" s="12">
        <f>F62-E62</f>
        <v>297100</v>
      </c>
      <c r="G64" s="12" t="s">
        <v>38</v>
      </c>
      <c r="H64" s="12">
        <f>H62-F62</f>
        <v>267780</v>
      </c>
      <c r="I64" s="12">
        <f>I62-H62</f>
        <v>98580</v>
      </c>
      <c r="J64" s="8">
        <f>J62-I62</f>
        <v>156937.16700168513</v>
      </c>
      <c r="K64" s="7"/>
    </row>
    <row r="65">
      <c r="A65" s="1"/>
      <c r="B65" s="5" t="s">
        <v>324</v>
      </c>
      <c r="C65" s="41">
        <f>ROUND(C62-'Balance Sheet'!C10,6)</f>
        <v>0</v>
      </c>
      <c r="D65" s="41">
        <f>ROUND(D62-'Balance Sheet'!D10,6)</f>
        <v>0</v>
      </c>
      <c r="E65" s="41">
        <f>ROUND(E62-'Balance Sheet'!E10,6)</f>
        <v>0</v>
      </c>
      <c r="F65" s="41">
        <f>ROUND(F62-'Balance Sheet'!F10,6)</f>
        <v>0</v>
      </c>
      <c r="G65" s="41">
        <f>ROUND(G62-'Balance Sheet'!G10,6)</f>
        <v>0</v>
      </c>
      <c r="H65" s="41">
        <f>ROUND(H62-'Balance Sheet'!H10,6)</f>
        <v>0</v>
      </c>
      <c r="I65" s="41">
        <f>ROUND(I62-'Balance Sheet'!I10,6)</f>
        <v>0</v>
      </c>
      <c r="J65" s="72">
        <f>ROUND(J62-'Balance Sheet'!J10,6)</f>
        <v>0</v>
      </c>
      <c r="K65" s="7"/>
    </row>
    <row r="66">
      <c r="A66" s="1"/>
      <c r="B66" s="5"/>
      <c r="C66" s="4"/>
      <c r="D66" s="4"/>
      <c r="E66" s="4"/>
      <c r="F66" s="4"/>
      <c r="G66" s="4"/>
      <c r="H66" s="4"/>
      <c r="I66" s="4"/>
      <c r="J66" s="24"/>
      <c r="K66" s="7"/>
    </row>
    <row r="67">
      <c r="A67" s="1"/>
      <c r="B67" s="11" t="s">
        <v>325</v>
      </c>
      <c r="C67" s="22"/>
      <c r="D67" s="22"/>
      <c r="E67" s="22"/>
      <c r="F67" s="22"/>
      <c r="G67" s="22"/>
      <c r="H67" s="22"/>
      <c r="I67" s="22"/>
      <c r="J67" s="33"/>
      <c r="K67" s="7"/>
    </row>
    <row r="68">
      <c r="A68" s="1"/>
      <c r="B68" s="5" t="s">
        <v>326</v>
      </c>
      <c r="C68" s="38">
        <v>10.06</v>
      </c>
      <c r="D68" s="38">
        <v>9.63</v>
      </c>
      <c r="E68" s="38">
        <v>9.7</v>
      </c>
      <c r="F68" s="38">
        <v>11.51</v>
      </c>
      <c r="G68" s="39">
        <f>SUM(C68:F68)</f>
        <v>40.9</v>
      </c>
      <c r="H68" s="38">
        <v>11.1</v>
      </c>
      <c r="I68" s="38">
        <v>15.7</v>
      </c>
      <c r="J68" s="93">
        <f>Guidance!C60</f>
        <v>17.6</v>
      </c>
      <c r="K68" s="7" t="s">
        <v>327</v>
      </c>
    </row>
    <row r="69">
      <c r="A69" s="1"/>
      <c r="B69" s="18" t="s">
        <v>97</v>
      </c>
      <c r="C69" s="3" t="s">
        <v>38</v>
      </c>
      <c r="D69" s="3" t="s">
        <v>38</v>
      </c>
      <c r="E69" s="3" t="s">
        <v>38</v>
      </c>
      <c r="F69" s="3" t="s">
        <v>38</v>
      </c>
      <c r="G69" s="3" t="s">
        <v>38</v>
      </c>
      <c r="H69" s="3">
        <f>H68/C68-1</f>
        <v>0.1033797216699801</v>
      </c>
      <c r="I69" s="3">
        <f>I68/D68-1</f>
        <v>0.6303219106957423</v>
      </c>
      <c r="J69" s="9">
        <f>J68/E68-1</f>
        <v>0.8144329896907219</v>
      </c>
      <c r="K69" s="7"/>
    </row>
    <row r="70">
      <c r="A70" s="1"/>
      <c r="B70" s="18" t="s">
        <v>98</v>
      </c>
      <c r="C70" s="3" t="s">
        <v>38</v>
      </c>
      <c r="D70" s="3">
        <f>D68/C68-1</f>
        <v>-0.04274353876739556</v>
      </c>
      <c r="E70" s="3">
        <f>E68/D68-1</f>
        <v>0.007268951194184581</v>
      </c>
      <c r="F70" s="3">
        <f>F68/E68-1</f>
        <v>0.1865979381443299</v>
      </c>
      <c r="G70" s="3" t="s">
        <v>38</v>
      </c>
      <c r="H70" s="3">
        <f>H68/F68-1</f>
        <v>-0.035621198957428324</v>
      </c>
      <c r="I70" s="3">
        <f>I68/H68-1</f>
        <v>0.4144144144144144</v>
      </c>
      <c r="J70" s="9">
        <f>J68/I68-1</f>
        <v>0.12101910828025497</v>
      </c>
      <c r="K70" s="7"/>
    </row>
    <row r="71">
      <c r="A71" s="1"/>
      <c r="B71" s="5" t="s">
        <v>99</v>
      </c>
      <c r="C71" s="39" t="s">
        <v>38</v>
      </c>
      <c r="D71" s="39">
        <f>D68-C68</f>
        <v>-0.4299999999999997</v>
      </c>
      <c r="E71" s="39">
        <f>E68-D68</f>
        <v>0.06999999999999851</v>
      </c>
      <c r="F71" s="39">
        <f>F68-E68</f>
        <v>1.8100000000000005</v>
      </c>
      <c r="G71" s="39" t="s">
        <v>38</v>
      </c>
      <c r="H71" s="39">
        <f>H68-F68</f>
        <v>-0.41000000000000014</v>
      </c>
      <c r="I71" s="39">
        <f>I68-H68</f>
        <v>4.6</v>
      </c>
      <c r="J71" s="96">
        <f>J68-I68</f>
        <v>1.9000000000000021</v>
      </c>
      <c r="K71" s="7"/>
    </row>
    <row r="72">
      <c r="A72" s="1"/>
      <c r="B72" s="11" t="s">
        <v>328</v>
      </c>
      <c r="C72" s="14">
        <f>C27+C31</f>
        <v>294740</v>
      </c>
      <c r="D72" s="14">
        <f>D27+D31</f>
        <v>199850</v>
      </c>
      <c r="E72" s="14">
        <f>E27+E31</f>
        <v>139380</v>
      </c>
      <c r="F72" s="14">
        <f>F27+F31</f>
        <v>368600</v>
      </c>
      <c r="G72" s="14">
        <f>G27+G31</f>
        <v>1002570</v>
      </c>
      <c r="H72" s="14">
        <f>H27+H31</f>
        <v>348210</v>
      </c>
      <c r="I72" s="14">
        <f>I27+I31</f>
        <v>287360</v>
      </c>
      <c r="J72" s="70">
        <f>J27+J31</f>
        <v>309861.66700168524</v>
      </c>
      <c r="K72" s="7" t="s">
        <v>329</v>
      </c>
    </row>
    <row r="73">
      <c r="A73" s="1"/>
      <c r="B73" s="18" t="s">
        <v>97</v>
      </c>
      <c r="C73" s="3" t="s">
        <v>38</v>
      </c>
      <c r="D73" s="3" t="s">
        <v>38</v>
      </c>
      <c r="E73" s="3" t="s">
        <v>38</v>
      </c>
      <c r="F73" s="3" t="s">
        <v>38</v>
      </c>
      <c r="G73" s="3" t="s">
        <v>38</v>
      </c>
      <c r="H73" s="3">
        <f>H72/C72-1</f>
        <v>0.18141412770577459</v>
      </c>
      <c r="I73" s="3">
        <f>I72/D72-1</f>
        <v>0.437878408806605</v>
      </c>
      <c r="J73" s="9">
        <f>J72/E72-1</f>
        <v>1.2231429688741948</v>
      </c>
      <c r="K73" s="7"/>
    </row>
    <row r="74">
      <c r="A74" s="1"/>
      <c r="B74" s="18" t="s">
        <v>98</v>
      </c>
      <c r="C74" s="3" t="s">
        <v>38</v>
      </c>
      <c r="D74" s="3">
        <f>D72/C72-1</f>
        <v>-0.3219447648775192</v>
      </c>
      <c r="E74" s="3">
        <f>E72/D72-1</f>
        <v>-0.3025769326995247</v>
      </c>
      <c r="F74" s="3">
        <f>F72/E72-1</f>
        <v>1.6445688047065574</v>
      </c>
      <c r="G74" s="3" t="s">
        <v>38</v>
      </c>
      <c r="H74" s="3">
        <f>H72/F72-1</f>
        <v>-0.055317417254476364</v>
      </c>
      <c r="I74" s="3">
        <f>I72/H72-1</f>
        <v>-0.17475086872864076</v>
      </c>
      <c r="J74" s="9">
        <f>J72/I72-1</f>
        <v>0.0783047988644392</v>
      </c>
      <c r="K74" s="7"/>
    </row>
    <row r="75">
      <c r="A75" s="1"/>
      <c r="B75" s="5" t="s">
        <v>99</v>
      </c>
      <c r="C75" s="12" t="s">
        <v>38</v>
      </c>
      <c r="D75" s="12">
        <f>D72-C72</f>
        <v>-94890</v>
      </c>
      <c r="E75" s="12">
        <f>E72-D72</f>
        <v>-60470</v>
      </c>
      <c r="F75" s="12">
        <f>F72-E72</f>
        <v>229220</v>
      </c>
      <c r="G75" s="12" t="s">
        <v>38</v>
      </c>
      <c r="H75" s="12">
        <f>H72-F72</f>
        <v>-20390</v>
      </c>
      <c r="I75" s="12">
        <f>I72-H72</f>
        <v>-60850</v>
      </c>
      <c r="J75" s="8">
        <f>J72-I72</f>
        <v>22501.667001685244</v>
      </c>
      <c r="K75" s="7"/>
    </row>
    <row r="76">
      <c r="A76" s="1"/>
      <c r="B76" s="18" t="s">
        <v>330</v>
      </c>
      <c r="C76" s="37">
        <f>C72/'Income Statement'!C9</f>
        <v>0.351192845074316</v>
      </c>
      <c r="D76" s="37">
        <f>D72/'Income Statement'!D9</f>
        <v>0.21401982454336727</v>
      </c>
      <c r="E76" s="37">
        <f>E72/'Income Statement'!E9</f>
        <v>0.14079954097208053</v>
      </c>
      <c r="F76" s="37">
        <f>F72/'Income Statement'!F9</f>
        <v>0.3523597396017551</v>
      </c>
      <c r="G76" s="37">
        <f>G72/'Income Statement'!G9</f>
        <v>0.26320708501375933</v>
      </c>
      <c r="H76" s="37">
        <f>H72/'Income Statement'!H9</f>
        <v>0.30703560434986943</v>
      </c>
      <c r="I76" s="37">
        <f>I72/'Income Statement'!I9</f>
        <v>0.22620003463530597</v>
      </c>
      <c r="J76" s="80">
        <f>J72/'Income Statement'!J9</f>
        <v>0.20737033200201388</v>
      </c>
      <c r="K76" s="7"/>
    </row>
    <row r="77">
      <c r="A77" s="1"/>
      <c r="B77" s="18" t="s">
        <v>127</v>
      </c>
      <c r="C77" s="43" t="s">
        <v>38</v>
      </c>
      <c r="D77" s="43" t="s">
        <v>38</v>
      </c>
      <c r="E77" s="43" t="s">
        <v>38</v>
      </c>
      <c r="F77" s="43" t="s">
        <v>38</v>
      </c>
      <c r="G77" s="43" t="s">
        <v>38</v>
      </c>
      <c r="H77" s="43">
        <f>(H76-C76)*10000</f>
        <v>-441.57240724446547</v>
      </c>
      <c r="I77" s="43">
        <f>(I76-D76)*10000</f>
        <v>121.80210091938703</v>
      </c>
      <c r="J77" s="57">
        <f>(J76-E76)*10000</f>
        <v>665.7079102993335</v>
      </c>
      <c r="K77" s="7"/>
    </row>
    <row r="78">
      <c r="A78" s="1"/>
      <c r="B78" s="18" t="s">
        <v>128</v>
      </c>
      <c r="C78" s="43" t="s">
        <v>38</v>
      </c>
      <c r="D78" s="43">
        <f>(D76-C76)*10000</f>
        <v>-1371.730205309487</v>
      </c>
      <c r="E78" s="43">
        <f>(E76-D76)*10000</f>
        <v>-732.2028357128673</v>
      </c>
      <c r="F78" s="43">
        <f>(F76-E76)*10000</f>
        <v>2115.6019862967455</v>
      </c>
      <c r="G78" s="43" t="s">
        <v>38</v>
      </c>
      <c r="H78" s="43">
        <f>(H76-F76)*10000</f>
        <v>-453.2413525188567</v>
      </c>
      <c r="I78" s="43">
        <f>(I76-H76)*10000</f>
        <v>-808.3556971456346</v>
      </c>
      <c r="J78" s="57">
        <f>(J76-I76)*10000</f>
        <v>-188.2970263329209</v>
      </c>
      <c r="K78" s="7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331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36</v>
      </c>
      <c r="C9" s="47">
        <f>'Revenue summary'!C20</f>
        <v>839254</v>
      </c>
      <c r="D9" s="47">
        <f>'Revenue summary'!D20</f>
        <v>933792</v>
      </c>
      <c r="E9" s="47">
        <f>'Revenue summary'!E20</f>
        <v>989918</v>
      </c>
      <c r="F9" s="47">
        <f>'Revenue summary'!F20</f>
        <v>1046090</v>
      </c>
      <c r="G9" s="47">
        <f>'Revenue summary'!G20</f>
        <v>3809054</v>
      </c>
      <c r="H9" s="47">
        <f>'Revenue summary'!H20</f>
        <v>1134103</v>
      </c>
      <c r="I9" s="47">
        <f>'Revenue summary'!I20</f>
        <v>1270380</v>
      </c>
      <c r="J9" s="74">
        <f>'Revenue summary'!J20</f>
        <v>1494243</v>
      </c>
      <c r="K9" s="7"/>
    </row>
    <row r="10">
      <c r="A10" s="1"/>
      <c r="B10" s="5"/>
      <c r="C10" s="4"/>
      <c r="D10" s="4"/>
      <c r="E10" s="4"/>
      <c r="F10" s="4"/>
      <c r="G10" s="4"/>
      <c r="H10" s="4"/>
      <c r="I10" s="4"/>
      <c r="J10" s="24"/>
      <c r="K10" s="7"/>
    </row>
    <row r="11">
      <c r="A11" s="1"/>
      <c r="B11" s="11" t="s">
        <v>332</v>
      </c>
      <c r="C11" s="14">
        <f>C9*C15</f>
        <v>646225.58</v>
      </c>
      <c r="D11" s="14">
        <f>D9*D15</f>
        <v>700344</v>
      </c>
      <c r="E11" s="14">
        <f>E9*E15</f>
        <v>752337.68</v>
      </c>
      <c r="F11" s="14">
        <f>F9*F15</f>
        <v>774106.6</v>
      </c>
      <c r="G11" s="14">
        <f>SUM(C11:F11)</f>
        <v>2873013.86</v>
      </c>
      <c r="H11" s="14">
        <f>H9*H15</f>
        <v>861918.28</v>
      </c>
      <c r="I11" s="14">
        <f>I9*I15</f>
        <v>990896.4</v>
      </c>
      <c r="J11" s="70">
        <f>J9*J15</f>
        <v>1165509.54</v>
      </c>
      <c r="K11" s="7"/>
    </row>
    <row r="12">
      <c r="A12" s="1"/>
      <c r="B12" s="18" t="s">
        <v>97</v>
      </c>
      <c r="C12" s="3" t="s">
        <v>38</v>
      </c>
      <c r="D12" s="3" t="s">
        <v>38</v>
      </c>
      <c r="E12" s="3" t="s">
        <v>38</v>
      </c>
      <c r="F12" s="3" t="s">
        <v>38</v>
      </c>
      <c r="G12" s="3" t="s">
        <v>38</v>
      </c>
      <c r="H12" s="3">
        <f>H11/C11-1</f>
        <v>0.33377307657799626</v>
      </c>
      <c r="I12" s="3">
        <f>I11/D11-1</f>
        <v>0.41487097769096337</v>
      </c>
      <c r="J12" s="9">
        <f>J11/E11-1</f>
        <v>0.5491840578820935</v>
      </c>
      <c r="K12" s="7"/>
    </row>
    <row r="13">
      <c r="A13" s="1"/>
      <c r="B13" s="18" t="s">
        <v>98</v>
      </c>
      <c r="C13" s="3" t="s">
        <v>38</v>
      </c>
      <c r="D13" s="3">
        <f>D11/C11-1</f>
        <v>0.08374540048383738</v>
      </c>
      <c r="E13" s="3">
        <f>E11/D11-1</f>
        <v>0.07424020195789516</v>
      </c>
      <c r="F13" s="3">
        <f>F11/E11-1</f>
        <v>0.028935038851171102</v>
      </c>
      <c r="G13" s="3" t="s">
        <v>38</v>
      </c>
      <c r="H13" s="3">
        <f>H11/F11-1</f>
        <v>0.11343615982604982</v>
      </c>
      <c r="I13" s="3">
        <f>I11/H11-1</f>
        <v>0.14964077568931478</v>
      </c>
      <c r="J13" s="9">
        <f>J11/I11-1</f>
        <v>0.17621735228829172</v>
      </c>
      <c r="K13" s="7"/>
    </row>
    <row r="14">
      <c r="A14" s="1"/>
      <c r="B14" s="5" t="s">
        <v>99</v>
      </c>
      <c r="C14" s="12" t="s">
        <v>38</v>
      </c>
      <c r="D14" s="12">
        <f>D11-C11</f>
        <v>54118.42000000004</v>
      </c>
      <c r="E14" s="12">
        <f>E11-D11</f>
        <v>51993.68000000005</v>
      </c>
      <c r="F14" s="12">
        <f>F11-E11</f>
        <v>21768.919999999925</v>
      </c>
      <c r="G14" s="12" t="s">
        <v>38</v>
      </c>
      <c r="H14" s="12">
        <f>H11-F11</f>
        <v>87811.68000000005</v>
      </c>
      <c r="I14" s="12">
        <f>I11-H11</f>
        <v>128978.12</v>
      </c>
      <c r="J14" s="8">
        <f>J11-I11</f>
        <v>174613.14</v>
      </c>
      <c r="K14" s="7"/>
    </row>
    <row r="15">
      <c r="A15" s="1"/>
      <c r="B15" s="18" t="s">
        <v>125</v>
      </c>
      <c r="C15" s="42">
        <v>0.77</v>
      </c>
      <c r="D15" s="42">
        <v>0.75</v>
      </c>
      <c r="E15" s="42">
        <v>0.76</v>
      </c>
      <c r="F15" s="42">
        <v>0.74</v>
      </c>
      <c r="G15" s="3">
        <f>G11/G9</f>
        <v>0.7542591572605691</v>
      </c>
      <c r="H15" s="42">
        <v>0.76</v>
      </c>
      <c r="I15" s="42">
        <v>0.78</v>
      </c>
      <c r="J15" s="36">
        <v>0.78</v>
      </c>
      <c r="K15" s="7" t="s">
        <v>333</v>
      </c>
    </row>
    <row r="16">
      <c r="A16" s="1"/>
      <c r="B16" s="18" t="s">
        <v>127</v>
      </c>
      <c r="C16" s="43" t="s">
        <v>38</v>
      </c>
      <c r="D16" s="43" t="s">
        <v>38</v>
      </c>
      <c r="E16" s="43" t="s">
        <v>38</v>
      </c>
      <c r="F16" s="43" t="s">
        <v>38</v>
      </c>
      <c r="G16" s="43" t="s">
        <v>38</v>
      </c>
      <c r="H16" s="43">
        <f>(H15-C15)*10000</f>
        <v>-100.00000000000009</v>
      </c>
      <c r="I16" s="43">
        <f>(I15-D15)*10000</f>
        <v>300.0000000000003</v>
      </c>
      <c r="J16" s="57">
        <f>(J15-E15)*10000</f>
        <v>200.00000000000017</v>
      </c>
      <c r="K16" s="7"/>
    </row>
    <row r="17">
      <c r="A17" s="1"/>
      <c r="B17" s="18" t="s">
        <v>128</v>
      </c>
      <c r="C17" s="43" t="s">
        <v>38</v>
      </c>
      <c r="D17" s="43">
        <f>(D15-C15)*10000</f>
        <v>-200.00000000000017</v>
      </c>
      <c r="E17" s="43">
        <f>(E15-D15)*10000</f>
        <v>100.00000000000009</v>
      </c>
      <c r="F17" s="43">
        <f>(F15-E15)*10000</f>
        <v>-200.00000000000017</v>
      </c>
      <c r="G17" s="43" t="s">
        <v>38</v>
      </c>
      <c r="H17" s="43">
        <f>(H15-F15)*10000</f>
        <v>200.00000000000017</v>
      </c>
      <c r="I17" s="43">
        <f>(I15-H15)*10000</f>
        <v>200.00000000000017</v>
      </c>
      <c r="J17" s="57">
        <f>(J15-I15)*10000</f>
        <v>0</v>
      </c>
      <c r="K17" s="7"/>
    </row>
    <row r="18">
      <c r="A18" s="1"/>
      <c r="B18" s="18" t="s">
        <v>129</v>
      </c>
      <c r="C18" s="3" t="s">
        <v>38</v>
      </c>
      <c r="D18" s="3" t="s">
        <v>38</v>
      </c>
      <c r="E18" s="3" t="s">
        <v>38</v>
      </c>
      <c r="F18" s="3" t="s">
        <v>38</v>
      </c>
      <c r="G18" s="3" t="s">
        <v>38</v>
      </c>
      <c r="H18" s="37">
        <f>'Revenue summary'!H40</f>
        <v>-0.039017573791309657</v>
      </c>
      <c r="I18" s="37">
        <f>'Revenue summary'!I40</f>
        <v>0.01763227849137161</v>
      </c>
      <c r="J18" s="80">
        <f>'Revenue summary'!J40</f>
        <v>0.06985721039520443</v>
      </c>
      <c r="K18" s="7"/>
    </row>
    <row r="19">
      <c r="A19" s="1"/>
      <c r="B19" s="5" t="s">
        <v>111</v>
      </c>
      <c r="C19" s="4" t="s">
        <v>112</v>
      </c>
      <c r="D19" s="4" t="s">
        <v>112</v>
      </c>
      <c r="E19" s="4" t="s">
        <v>112</v>
      </c>
      <c r="F19" s="4" t="s">
        <v>112</v>
      </c>
      <c r="G19" s="4" t="s">
        <v>112</v>
      </c>
      <c r="H19" s="4" t="s">
        <v>112</v>
      </c>
      <c r="I19" s="4" t="s">
        <v>112</v>
      </c>
      <c r="J19" s="24" t="s">
        <v>112</v>
      </c>
      <c r="K19" s="7" t="s">
        <v>113</v>
      </c>
    </row>
    <row r="20">
      <c r="A20" s="1"/>
      <c r="B20" s="5" t="s">
        <v>114</v>
      </c>
      <c r="C20" s="4" t="s">
        <v>112</v>
      </c>
      <c r="D20" s="4" t="s">
        <v>112</v>
      </c>
      <c r="E20" s="4" t="s">
        <v>112</v>
      </c>
      <c r="F20" s="4" t="s">
        <v>112</v>
      </c>
      <c r="G20" s="4" t="s">
        <v>112</v>
      </c>
      <c r="H20" s="4" t="s">
        <v>112</v>
      </c>
      <c r="I20" s="4" t="s">
        <v>112</v>
      </c>
      <c r="J20" s="24" t="s">
        <v>112</v>
      </c>
      <c r="K20" s="7" t="s">
        <v>115</v>
      </c>
    </row>
    <row r="21">
      <c r="A21" s="1"/>
      <c r="B21" s="11" t="s">
        <v>334</v>
      </c>
      <c r="C21" s="14">
        <f>C9*C25</f>
        <v>75532.86</v>
      </c>
      <c r="D21" s="14">
        <f>D9*D25</f>
        <v>84041.28</v>
      </c>
      <c r="E21" s="14">
        <f>E9*E25</f>
        <v>89092.62</v>
      </c>
      <c r="F21" s="14">
        <f>F9*F25</f>
        <v>94148.09999999999</v>
      </c>
      <c r="G21" s="14">
        <f>SUM(C21:F21)</f>
        <v>342814.86</v>
      </c>
      <c r="H21" s="14">
        <f>H9*H25</f>
        <v>102069.26999999999</v>
      </c>
      <c r="I21" s="14">
        <f>I9*I25</f>
        <v>101630.40000000001</v>
      </c>
      <c r="J21" s="70">
        <f>J9*J25</f>
        <v>119539.44</v>
      </c>
      <c r="K21" s="7"/>
    </row>
    <row r="22">
      <c r="A22" s="1"/>
      <c r="B22" s="18" t="s">
        <v>97</v>
      </c>
      <c r="C22" s="3" t="s">
        <v>38</v>
      </c>
      <c r="D22" s="3" t="s">
        <v>38</v>
      </c>
      <c r="E22" s="3" t="s">
        <v>38</v>
      </c>
      <c r="F22" s="3" t="s">
        <v>38</v>
      </c>
      <c r="G22" s="3" t="s">
        <v>38</v>
      </c>
      <c r="H22" s="3">
        <f>H21/C21-1</f>
        <v>0.3513227223224433</v>
      </c>
      <c r="I22" s="3">
        <f>I21/D21-1</f>
        <v>0.20929143392390048</v>
      </c>
      <c r="J22" s="9">
        <f>J21/E21-1</f>
        <v>0.34174345753890734</v>
      </c>
      <c r="K22" s="7"/>
    </row>
    <row r="23">
      <c r="A23" s="1"/>
      <c r="B23" s="18" t="s">
        <v>98</v>
      </c>
      <c r="C23" s="3" t="s">
        <v>38</v>
      </c>
      <c r="D23" s="3">
        <f>D21/C21-1</f>
        <v>0.11264527783007283</v>
      </c>
      <c r="E23" s="3">
        <f>E21/D21-1</f>
        <v>0.060105462458448944</v>
      </c>
      <c r="F23" s="3">
        <f>F21/E21-1</f>
        <v>0.056744093955256814</v>
      </c>
      <c r="G23" s="3" t="s">
        <v>38</v>
      </c>
      <c r="H23" s="3">
        <f>H21/F21-1</f>
        <v>0.08413520825167997</v>
      </c>
      <c r="I23" s="3">
        <f>I21/H21-1</f>
        <v>-0.0042997270383140496</v>
      </c>
      <c r="J23" s="9">
        <f>J21/I21-1</f>
        <v>0.17621735228829172</v>
      </c>
      <c r="K23" s="7"/>
    </row>
    <row r="24">
      <c r="A24" s="1"/>
      <c r="B24" s="5" t="s">
        <v>99</v>
      </c>
      <c r="C24" s="12" t="s">
        <v>38</v>
      </c>
      <c r="D24" s="12">
        <f>D21-C21</f>
        <v>8508.419999999998</v>
      </c>
      <c r="E24" s="12">
        <f>E21-D21</f>
        <v>5051.3399999999965</v>
      </c>
      <c r="F24" s="12">
        <f>F21-E21</f>
        <v>5055.479999999996</v>
      </c>
      <c r="G24" s="12" t="s">
        <v>38</v>
      </c>
      <c r="H24" s="12">
        <f>H21-F21</f>
        <v>7921.169999999998</v>
      </c>
      <c r="I24" s="12">
        <f>I21-H21</f>
        <v>-438.8699999999808</v>
      </c>
      <c r="J24" s="8">
        <f>J21-I21</f>
        <v>17909.039999999994</v>
      </c>
      <c r="K24" s="7"/>
    </row>
    <row r="25">
      <c r="A25" s="1"/>
      <c r="B25" s="18" t="s">
        <v>125</v>
      </c>
      <c r="C25" s="42">
        <v>0.09</v>
      </c>
      <c r="D25" s="42">
        <v>0.09</v>
      </c>
      <c r="E25" s="42">
        <v>0.09</v>
      </c>
      <c r="F25" s="42">
        <v>0.09</v>
      </c>
      <c r="G25" s="3">
        <f>G21/G9</f>
        <v>0.09</v>
      </c>
      <c r="H25" s="42">
        <v>0.09</v>
      </c>
      <c r="I25" s="42">
        <v>0.08</v>
      </c>
      <c r="J25" s="36">
        <v>0.08</v>
      </c>
      <c r="K25" s="7" t="s">
        <v>335</v>
      </c>
    </row>
    <row r="26">
      <c r="A26" s="1"/>
      <c r="B26" s="18" t="s">
        <v>127</v>
      </c>
      <c r="C26" s="43" t="s">
        <v>38</v>
      </c>
      <c r="D26" s="43" t="s">
        <v>38</v>
      </c>
      <c r="E26" s="43" t="s">
        <v>38</v>
      </c>
      <c r="F26" s="43" t="s">
        <v>38</v>
      </c>
      <c r="G26" s="43" t="s">
        <v>38</v>
      </c>
      <c r="H26" s="43">
        <f>(H25-C25)*10000</f>
        <v>0</v>
      </c>
      <c r="I26" s="43">
        <f>(I25-D25)*10000</f>
        <v>-99.99999999999994</v>
      </c>
      <c r="J26" s="57">
        <f>(J25-E25)*10000</f>
        <v>-99.99999999999994</v>
      </c>
      <c r="K26" s="7"/>
    </row>
    <row r="27">
      <c r="A27" s="1"/>
      <c r="B27" s="18" t="s">
        <v>128</v>
      </c>
      <c r="C27" s="43" t="s">
        <v>38</v>
      </c>
      <c r="D27" s="43">
        <f>(D25-C25)*10000</f>
        <v>0</v>
      </c>
      <c r="E27" s="43">
        <f>(E25-D25)*10000</f>
        <v>0</v>
      </c>
      <c r="F27" s="43">
        <f>(F25-E25)*10000</f>
        <v>0</v>
      </c>
      <c r="G27" s="43" t="s">
        <v>38</v>
      </c>
      <c r="H27" s="43">
        <f>(H25-F25)*10000</f>
        <v>0</v>
      </c>
      <c r="I27" s="43">
        <f>(I25-H25)*10000</f>
        <v>-99.99999999999994</v>
      </c>
      <c r="J27" s="57">
        <f>(J25-I25)*10000</f>
        <v>0</v>
      </c>
      <c r="K27" s="7"/>
    </row>
    <row r="28">
      <c r="A28" s="1"/>
      <c r="B28" s="18" t="s">
        <v>129</v>
      </c>
      <c r="C28" s="3" t="s">
        <v>38</v>
      </c>
      <c r="D28" s="3" t="s">
        <v>38</v>
      </c>
      <c r="E28" s="3" t="s">
        <v>38</v>
      </c>
      <c r="F28" s="3" t="s">
        <v>38</v>
      </c>
      <c r="G28" s="3" t="s">
        <v>38</v>
      </c>
      <c r="H28" s="37">
        <f>'Revenue summary'!H40</f>
        <v>-0.039017573791309657</v>
      </c>
      <c r="I28" s="37">
        <f>'Revenue summary'!I40</f>
        <v>0.01763227849137161</v>
      </c>
      <c r="J28" s="80">
        <f>'Revenue summary'!J40</f>
        <v>0.06985721039520443</v>
      </c>
      <c r="K28" s="7"/>
    </row>
    <row r="29">
      <c r="A29" s="1"/>
      <c r="B29" s="5" t="s">
        <v>111</v>
      </c>
      <c r="C29" s="4" t="s">
        <v>112</v>
      </c>
      <c r="D29" s="4" t="s">
        <v>112</v>
      </c>
      <c r="E29" s="4" t="s">
        <v>112</v>
      </c>
      <c r="F29" s="4" t="s">
        <v>112</v>
      </c>
      <c r="G29" s="4" t="s">
        <v>112</v>
      </c>
      <c r="H29" s="4" t="s">
        <v>112</v>
      </c>
      <c r="I29" s="4" t="s">
        <v>112</v>
      </c>
      <c r="J29" s="24" t="s">
        <v>112</v>
      </c>
      <c r="K29" s="7" t="s">
        <v>113</v>
      </c>
    </row>
    <row r="30">
      <c r="A30" s="1"/>
      <c r="B30" s="5" t="s">
        <v>114</v>
      </c>
      <c r="C30" s="4" t="s">
        <v>112</v>
      </c>
      <c r="D30" s="4" t="s">
        <v>112</v>
      </c>
      <c r="E30" s="4" t="s">
        <v>112</v>
      </c>
      <c r="F30" s="4" t="s">
        <v>112</v>
      </c>
      <c r="G30" s="4" t="s">
        <v>112</v>
      </c>
      <c r="H30" s="4" t="s">
        <v>112</v>
      </c>
      <c r="I30" s="4" t="s">
        <v>112</v>
      </c>
      <c r="J30" s="24" t="s">
        <v>112</v>
      </c>
      <c r="K30" s="7" t="s">
        <v>115</v>
      </c>
    </row>
    <row r="31">
      <c r="A31" s="1"/>
      <c r="B31" s="11" t="s">
        <v>336</v>
      </c>
      <c r="C31" s="14">
        <f>C9*C35</f>
        <v>58747.780000000006</v>
      </c>
      <c r="D31" s="14">
        <f>D9*D35</f>
        <v>84041.28</v>
      </c>
      <c r="E31" s="14">
        <f>E9*E35</f>
        <v>79193.44</v>
      </c>
      <c r="F31" s="14">
        <f>F9*F35</f>
        <v>94148.09999999999</v>
      </c>
      <c r="G31" s="14">
        <f>SUM(C31:F31)</f>
        <v>316130.6</v>
      </c>
      <c r="H31" s="14">
        <f>H9*H35</f>
        <v>79387.21</v>
      </c>
      <c r="I31" s="14">
        <f>I9*I35</f>
        <v>76222.8</v>
      </c>
      <c r="J31" s="70">
        <f>J9*J35</f>
        <v>89654.58</v>
      </c>
      <c r="K31" s="7"/>
    </row>
    <row r="32">
      <c r="A32" s="1"/>
      <c r="B32" s="18" t="s">
        <v>97</v>
      </c>
      <c r="C32" s="3" t="s">
        <v>38</v>
      </c>
      <c r="D32" s="3" t="s">
        <v>38</v>
      </c>
      <c r="E32" s="3" t="s">
        <v>38</v>
      </c>
      <c r="F32" s="3" t="s">
        <v>38</v>
      </c>
      <c r="G32" s="3" t="s">
        <v>38</v>
      </c>
      <c r="H32" s="3">
        <f>H31/C31-1</f>
        <v>0.35132272232244355</v>
      </c>
      <c r="I32" s="3">
        <f>I31/D31-1</f>
        <v>-0.0930314245570748</v>
      </c>
      <c r="J32" s="9">
        <f>J31/E31-1</f>
        <v>0.13209604229845295</v>
      </c>
      <c r="K32" s="7"/>
    </row>
    <row r="33">
      <c r="A33" s="1"/>
      <c r="B33" s="18" t="s">
        <v>98</v>
      </c>
      <c r="C33" s="3" t="s">
        <v>38</v>
      </c>
      <c r="D33" s="3">
        <f>D31/C31-1</f>
        <v>0.430543928638665</v>
      </c>
      <c r="E33" s="3">
        <f>E31/D31-1</f>
        <v>-0.05768403337026751</v>
      </c>
      <c r="F33" s="3">
        <f>F31/E31-1</f>
        <v>0.18883710569966383</v>
      </c>
      <c r="G33" s="3" t="s">
        <v>38</v>
      </c>
      <c r="H33" s="3">
        <f>H31/F31-1</f>
        <v>-0.1567837269153598</v>
      </c>
      <c r="I33" s="3">
        <f>I31/H31-1</f>
        <v>-0.03986045107266023</v>
      </c>
      <c r="J33" s="9">
        <f>J31/I31-1</f>
        <v>0.17621735228829172</v>
      </c>
      <c r="K33" s="7"/>
    </row>
    <row r="34">
      <c r="A34" s="1"/>
      <c r="B34" s="5" t="s">
        <v>99</v>
      </c>
      <c r="C34" s="12" t="s">
        <v>38</v>
      </c>
      <c r="D34" s="12">
        <f>D31-C31</f>
        <v>25293.499999999993</v>
      </c>
      <c r="E34" s="12">
        <f>E31-D31</f>
        <v>-4847.8399999999965</v>
      </c>
      <c r="F34" s="12">
        <f>F31-E31</f>
        <v>14954.659999999989</v>
      </c>
      <c r="G34" s="12" t="s">
        <v>38</v>
      </c>
      <c r="H34" s="12">
        <f>H31-F31</f>
        <v>-14760.889999999985</v>
      </c>
      <c r="I34" s="12">
        <f>I31-H31</f>
        <v>-3164.4100000000035</v>
      </c>
      <c r="J34" s="8">
        <f>J31-I31</f>
        <v>13431.779999999999</v>
      </c>
      <c r="K34" s="7"/>
    </row>
    <row r="35">
      <c r="A35" s="1"/>
      <c r="B35" s="18" t="s">
        <v>125</v>
      </c>
      <c r="C35" s="42">
        <v>0.07</v>
      </c>
      <c r="D35" s="42">
        <v>0.09</v>
      </c>
      <c r="E35" s="42">
        <v>0.08</v>
      </c>
      <c r="F35" s="42">
        <v>0.09</v>
      </c>
      <c r="G35" s="3">
        <f>G31/G9</f>
        <v>0.08299451779890754</v>
      </c>
      <c r="H35" s="42">
        <v>0.07</v>
      </c>
      <c r="I35" s="42">
        <v>0.06</v>
      </c>
      <c r="J35" s="36">
        <v>0.06</v>
      </c>
      <c r="K35" s="7" t="s">
        <v>337</v>
      </c>
    </row>
    <row r="36">
      <c r="A36" s="1"/>
      <c r="B36" s="18" t="s">
        <v>127</v>
      </c>
      <c r="C36" s="43" t="s">
        <v>38</v>
      </c>
      <c r="D36" s="43" t="s">
        <v>38</v>
      </c>
      <c r="E36" s="43" t="s">
        <v>38</v>
      </c>
      <c r="F36" s="43" t="s">
        <v>38</v>
      </c>
      <c r="G36" s="43" t="s">
        <v>38</v>
      </c>
      <c r="H36" s="43">
        <f>(H35-C35)*10000</f>
        <v>0</v>
      </c>
      <c r="I36" s="43">
        <f>(I35-D35)*10000</f>
        <v>-300</v>
      </c>
      <c r="J36" s="57">
        <f>(J35-E35)*10000</f>
        <v>-200.00000000000003</v>
      </c>
      <c r="K36" s="7"/>
    </row>
    <row r="37">
      <c r="A37" s="1"/>
      <c r="B37" s="18" t="s">
        <v>128</v>
      </c>
      <c r="C37" s="43" t="s">
        <v>38</v>
      </c>
      <c r="D37" s="43">
        <f>(D35-C35)*10000</f>
        <v>199.9999999999999</v>
      </c>
      <c r="E37" s="43">
        <f>(E35-D35)*10000</f>
        <v>-99.99999999999994</v>
      </c>
      <c r="F37" s="43">
        <f>(F35-E35)*10000</f>
        <v>99.99999999999994</v>
      </c>
      <c r="G37" s="43" t="s">
        <v>38</v>
      </c>
      <c r="H37" s="43">
        <f>(H35-F35)*10000</f>
        <v>-199.9999999999999</v>
      </c>
      <c r="I37" s="43">
        <f>(I35-H35)*10000</f>
        <v>-100.00000000000009</v>
      </c>
      <c r="J37" s="57">
        <f>(J35-I35)*10000</f>
        <v>0</v>
      </c>
      <c r="K37" s="7"/>
    </row>
    <row r="38">
      <c r="A38" s="1"/>
      <c r="B38" s="18" t="s">
        <v>129</v>
      </c>
      <c r="C38" s="3" t="s">
        <v>38</v>
      </c>
      <c r="D38" s="3" t="s">
        <v>38</v>
      </c>
      <c r="E38" s="3" t="s">
        <v>38</v>
      </c>
      <c r="F38" s="3" t="s">
        <v>38</v>
      </c>
      <c r="G38" s="3" t="s">
        <v>38</v>
      </c>
      <c r="H38" s="37">
        <f>'Revenue summary'!H40</f>
        <v>-0.039017573791309657</v>
      </c>
      <c r="I38" s="37">
        <f>'Revenue summary'!I40</f>
        <v>0.01763227849137161</v>
      </c>
      <c r="J38" s="80">
        <f>'Revenue summary'!J40</f>
        <v>0.06985721039520443</v>
      </c>
      <c r="K38" s="7"/>
    </row>
    <row r="39">
      <c r="A39" s="1"/>
      <c r="B39" s="5" t="s">
        <v>111</v>
      </c>
      <c r="C39" s="4" t="s">
        <v>112</v>
      </c>
      <c r="D39" s="4" t="s">
        <v>112</v>
      </c>
      <c r="E39" s="4" t="s">
        <v>112</v>
      </c>
      <c r="F39" s="4" t="s">
        <v>112</v>
      </c>
      <c r="G39" s="4" t="s">
        <v>112</v>
      </c>
      <c r="H39" s="4" t="s">
        <v>112</v>
      </c>
      <c r="I39" s="4" t="s">
        <v>112</v>
      </c>
      <c r="J39" s="24" t="s">
        <v>112</v>
      </c>
      <c r="K39" s="7" t="s">
        <v>113</v>
      </c>
    </row>
    <row r="40">
      <c r="A40" s="1"/>
      <c r="B40" s="5" t="s">
        <v>114</v>
      </c>
      <c r="C40" s="4" t="s">
        <v>112</v>
      </c>
      <c r="D40" s="4" t="s">
        <v>112</v>
      </c>
      <c r="E40" s="4" t="s">
        <v>112</v>
      </c>
      <c r="F40" s="4" t="s">
        <v>112</v>
      </c>
      <c r="G40" s="4" t="s">
        <v>112</v>
      </c>
      <c r="H40" s="4" t="s">
        <v>112</v>
      </c>
      <c r="I40" s="4" t="s">
        <v>112</v>
      </c>
      <c r="J40" s="24" t="s">
        <v>112</v>
      </c>
      <c r="K40" s="7" t="s">
        <v>115</v>
      </c>
    </row>
    <row r="41">
      <c r="A41" s="1"/>
      <c r="B41" s="11" t="s">
        <v>338</v>
      </c>
      <c r="C41" s="14">
        <f>C9*C45</f>
        <v>33570.16</v>
      </c>
      <c r="D41" s="14">
        <f>D9*D45</f>
        <v>37351.68</v>
      </c>
      <c r="E41" s="14">
        <f>E9*E45</f>
        <v>39596.72</v>
      </c>
      <c r="F41" s="14">
        <f>F9*F45</f>
        <v>41843.6</v>
      </c>
      <c r="G41" s="14">
        <f>SUM(C41:F41)</f>
        <v>152362.16</v>
      </c>
      <c r="H41" s="14">
        <f>H9*H45</f>
        <v>45364.12</v>
      </c>
      <c r="I41" s="14">
        <f>I9*I45</f>
        <v>50815.200000000004</v>
      </c>
      <c r="J41" s="70">
        <f>J9*J45</f>
        <v>59769.72</v>
      </c>
      <c r="K41" s="7"/>
    </row>
    <row r="42">
      <c r="A42" s="1"/>
      <c r="B42" s="18" t="s">
        <v>97</v>
      </c>
      <c r="C42" s="3" t="s">
        <v>38</v>
      </c>
      <c r="D42" s="3" t="s">
        <v>38</v>
      </c>
      <c r="E42" s="3" t="s">
        <v>38</v>
      </c>
      <c r="F42" s="3" t="s">
        <v>38</v>
      </c>
      <c r="G42" s="3" t="s">
        <v>38</v>
      </c>
      <c r="H42" s="3">
        <f>H41/C41-1</f>
        <v>0.35132272232244355</v>
      </c>
      <c r="I42" s="3">
        <f>I41/D41-1</f>
        <v>0.36045286316438796</v>
      </c>
      <c r="J42" s="9">
        <f>J41/E41-1</f>
        <v>0.5094613897312708</v>
      </c>
      <c r="K42" s="7"/>
    </row>
    <row r="43">
      <c r="A43" s="1"/>
      <c r="B43" s="18" t="s">
        <v>98</v>
      </c>
      <c r="C43" s="3" t="s">
        <v>38</v>
      </c>
      <c r="D43" s="3">
        <f>D41/C41-1</f>
        <v>0.11264527783007283</v>
      </c>
      <c r="E43" s="3">
        <f>E41/D41-1</f>
        <v>0.060105462458448944</v>
      </c>
      <c r="F43" s="3">
        <f>F41/E41-1</f>
        <v>0.056744093955256814</v>
      </c>
      <c r="G43" s="3" t="s">
        <v>38</v>
      </c>
      <c r="H43" s="3">
        <f>H41/F41-1</f>
        <v>0.0841352082516802</v>
      </c>
      <c r="I43" s="3">
        <f>I41/H41-1</f>
        <v>0.12016280708189653</v>
      </c>
      <c r="J43" s="9">
        <f>J41/I41-1</f>
        <v>0.17621735228829172</v>
      </c>
      <c r="K43" s="7"/>
    </row>
    <row r="44">
      <c r="A44" s="1"/>
      <c r="B44" s="5" t="s">
        <v>99</v>
      </c>
      <c r="C44" s="12" t="s">
        <v>38</v>
      </c>
      <c r="D44" s="12">
        <f>D41-C41</f>
        <v>3781.519999999997</v>
      </c>
      <c r="E44" s="12">
        <f>E41-D41</f>
        <v>2245.040000000001</v>
      </c>
      <c r="F44" s="12">
        <f>F41-E41</f>
        <v>2246.8799999999974</v>
      </c>
      <c r="G44" s="12" t="s">
        <v>38</v>
      </c>
      <c r="H44" s="12">
        <f>H41-F41</f>
        <v>3520.520000000004</v>
      </c>
      <c r="I44" s="12">
        <f>I41-H41</f>
        <v>5451.080000000002</v>
      </c>
      <c r="J44" s="8">
        <f>J41-I41</f>
        <v>8954.519999999997</v>
      </c>
      <c r="K44" s="7"/>
    </row>
    <row r="45">
      <c r="A45" s="1"/>
      <c r="B45" s="18" t="s">
        <v>125</v>
      </c>
      <c r="C45" s="42">
        <v>0.04</v>
      </c>
      <c r="D45" s="42">
        <v>0.04</v>
      </c>
      <c r="E45" s="42">
        <v>0.04</v>
      </c>
      <c r="F45" s="42">
        <v>0.04</v>
      </c>
      <c r="G45" s="3">
        <f>G41/G9</f>
        <v>0.04</v>
      </c>
      <c r="H45" s="42">
        <v>0.04</v>
      </c>
      <c r="I45" s="42">
        <v>0.04</v>
      </c>
      <c r="J45" s="36">
        <v>0.04</v>
      </c>
      <c r="K45" s="7" t="s">
        <v>339</v>
      </c>
    </row>
    <row r="46">
      <c r="A46" s="1"/>
      <c r="B46" s="18" t="s">
        <v>127</v>
      </c>
      <c r="C46" s="43" t="s">
        <v>38</v>
      </c>
      <c r="D46" s="43" t="s">
        <v>38</v>
      </c>
      <c r="E46" s="43" t="s">
        <v>38</v>
      </c>
      <c r="F46" s="43" t="s">
        <v>38</v>
      </c>
      <c r="G46" s="43" t="s">
        <v>38</v>
      </c>
      <c r="H46" s="43">
        <f>(H45-C45)*10000</f>
        <v>0</v>
      </c>
      <c r="I46" s="43">
        <f>(I45-D45)*10000</f>
        <v>0</v>
      </c>
      <c r="J46" s="57">
        <f>(J45-E45)*10000</f>
        <v>0</v>
      </c>
      <c r="K46" s="7"/>
    </row>
    <row r="47">
      <c r="A47" s="1"/>
      <c r="B47" s="18" t="s">
        <v>128</v>
      </c>
      <c r="C47" s="43" t="s">
        <v>38</v>
      </c>
      <c r="D47" s="43">
        <f>(D45-C45)*10000</f>
        <v>0</v>
      </c>
      <c r="E47" s="43">
        <f>(E45-D45)*10000</f>
        <v>0</v>
      </c>
      <c r="F47" s="43">
        <f>(F45-E45)*10000</f>
        <v>0</v>
      </c>
      <c r="G47" s="43" t="s">
        <v>38</v>
      </c>
      <c r="H47" s="43">
        <f>(H45-F45)*10000</f>
        <v>0</v>
      </c>
      <c r="I47" s="43">
        <f>(I45-H45)*10000</f>
        <v>0</v>
      </c>
      <c r="J47" s="57">
        <f>(J45-I45)*10000</f>
        <v>0</v>
      </c>
      <c r="K47" s="7"/>
    </row>
    <row r="48">
      <c r="A48" s="1"/>
      <c r="B48" s="18" t="s">
        <v>129</v>
      </c>
      <c r="C48" s="3" t="s">
        <v>38</v>
      </c>
      <c r="D48" s="3" t="s">
        <v>38</v>
      </c>
      <c r="E48" s="3" t="s">
        <v>38</v>
      </c>
      <c r="F48" s="3" t="s">
        <v>38</v>
      </c>
      <c r="G48" s="3" t="s">
        <v>38</v>
      </c>
      <c r="H48" s="37">
        <f>'Revenue summary'!H40</f>
        <v>-0.039017573791309657</v>
      </c>
      <c r="I48" s="37">
        <f>'Revenue summary'!I40</f>
        <v>0.01763227849137161</v>
      </c>
      <c r="J48" s="80">
        <f>'Revenue summary'!J40</f>
        <v>0.06985721039520443</v>
      </c>
      <c r="K48" s="7"/>
    </row>
    <row r="49">
      <c r="A49" s="1"/>
      <c r="B49" s="5" t="s">
        <v>111</v>
      </c>
      <c r="C49" s="4" t="s">
        <v>112</v>
      </c>
      <c r="D49" s="4" t="s">
        <v>112</v>
      </c>
      <c r="E49" s="4" t="s">
        <v>112</v>
      </c>
      <c r="F49" s="4" t="s">
        <v>112</v>
      </c>
      <c r="G49" s="4" t="s">
        <v>112</v>
      </c>
      <c r="H49" s="4" t="s">
        <v>112</v>
      </c>
      <c r="I49" s="4" t="s">
        <v>112</v>
      </c>
      <c r="J49" s="24" t="s">
        <v>112</v>
      </c>
      <c r="K49" s="7" t="s">
        <v>113</v>
      </c>
    </row>
    <row r="50">
      <c r="A50" s="1"/>
      <c r="B50" s="5" t="s">
        <v>114</v>
      </c>
      <c r="C50" s="4" t="s">
        <v>112</v>
      </c>
      <c r="D50" s="4" t="s">
        <v>112</v>
      </c>
      <c r="E50" s="4" t="s">
        <v>112</v>
      </c>
      <c r="F50" s="4" t="s">
        <v>112</v>
      </c>
      <c r="G50" s="4" t="s">
        <v>112</v>
      </c>
      <c r="H50" s="4" t="s">
        <v>112</v>
      </c>
      <c r="I50" s="4" t="s">
        <v>112</v>
      </c>
      <c r="J50" s="24" t="s">
        <v>112</v>
      </c>
      <c r="K50" s="7" t="s">
        <v>115</v>
      </c>
    </row>
    <row r="51">
      <c r="A51" s="1"/>
      <c r="B51" s="11" t="s">
        <v>340</v>
      </c>
      <c r="C51" s="14">
        <f>C9*C55</f>
        <v>25177.62</v>
      </c>
      <c r="D51" s="14">
        <f>D9*D55</f>
        <v>28013.76</v>
      </c>
      <c r="E51" s="14">
        <f>E9*E55</f>
        <v>29697.539999999997</v>
      </c>
      <c r="F51" s="14">
        <f>F9*F55</f>
        <v>41843.6</v>
      </c>
      <c r="G51" s="14">
        <f>SUM(C51:F51)</f>
        <v>124732.51999999999</v>
      </c>
      <c r="H51" s="14">
        <f>H9*H55</f>
        <v>45364.12</v>
      </c>
      <c r="I51" s="14">
        <f>I9*I55</f>
        <v>50815.200000000004</v>
      </c>
      <c r="J51" s="70">
        <f>J9*J55</f>
        <v>59769.72</v>
      </c>
      <c r="K51" s="7"/>
    </row>
    <row r="52">
      <c r="A52" s="1"/>
      <c r="B52" s="18" t="s">
        <v>97</v>
      </c>
      <c r="C52" s="3" t="s">
        <v>38</v>
      </c>
      <c r="D52" s="3" t="s">
        <v>38</v>
      </c>
      <c r="E52" s="3" t="s">
        <v>38</v>
      </c>
      <c r="F52" s="3" t="s">
        <v>38</v>
      </c>
      <c r="G52" s="3" t="s">
        <v>38</v>
      </c>
      <c r="H52" s="3">
        <f>H51/C51-1</f>
        <v>0.8017636297632582</v>
      </c>
      <c r="I52" s="3">
        <f>I51/D51-1</f>
        <v>0.8139371508858506</v>
      </c>
      <c r="J52" s="9">
        <f>J51/E51-1</f>
        <v>1.012615186308361</v>
      </c>
      <c r="K52" s="7"/>
    </row>
    <row r="53">
      <c r="A53" s="1"/>
      <c r="B53" s="18" t="s">
        <v>98</v>
      </c>
      <c r="C53" s="3" t="s">
        <v>38</v>
      </c>
      <c r="D53" s="3">
        <f>D51/C51-1</f>
        <v>0.11264527783007283</v>
      </c>
      <c r="E53" s="3">
        <f>E51/D51-1</f>
        <v>0.060105462458448944</v>
      </c>
      <c r="F53" s="3">
        <f>F51/E51-1</f>
        <v>0.4089921252736759</v>
      </c>
      <c r="G53" s="3" t="s">
        <v>38</v>
      </c>
      <c r="H53" s="3">
        <f>H51/F51-1</f>
        <v>0.0841352082516802</v>
      </c>
      <c r="I53" s="3">
        <f>I51/H51-1</f>
        <v>0.12016280708189653</v>
      </c>
      <c r="J53" s="9">
        <f>J51/I51-1</f>
        <v>0.17621735228829172</v>
      </c>
      <c r="K53" s="7"/>
    </row>
    <row r="54">
      <c r="A54" s="1"/>
      <c r="B54" s="5" t="s">
        <v>99</v>
      </c>
      <c r="C54" s="12" t="s">
        <v>38</v>
      </c>
      <c r="D54" s="12">
        <f>D51-C51</f>
        <v>2836.1399999999994</v>
      </c>
      <c r="E54" s="12">
        <f>E51-D51</f>
        <v>1683.7799999999988</v>
      </c>
      <c r="F54" s="12">
        <f>F51-E51</f>
        <v>12146.060000000001</v>
      </c>
      <c r="G54" s="12" t="s">
        <v>38</v>
      </c>
      <c r="H54" s="12">
        <f>H51-F51</f>
        <v>3520.520000000004</v>
      </c>
      <c r="I54" s="12">
        <f>I51-H51</f>
        <v>5451.080000000002</v>
      </c>
      <c r="J54" s="8">
        <f>J51-I51</f>
        <v>8954.519999999997</v>
      </c>
      <c r="K54" s="7"/>
    </row>
    <row r="55">
      <c r="A55" s="1"/>
      <c r="B55" s="18" t="s">
        <v>125</v>
      </c>
      <c r="C55" s="42">
        <v>0.03</v>
      </c>
      <c r="D55" s="42">
        <v>0.03</v>
      </c>
      <c r="E55" s="42">
        <v>0.03</v>
      </c>
      <c r="F55" s="42">
        <v>0.04</v>
      </c>
      <c r="G55" s="3">
        <f>G51/G9</f>
        <v>0.032746324940523285</v>
      </c>
      <c r="H55" s="42">
        <v>0.04</v>
      </c>
      <c r="I55" s="42">
        <v>0.04</v>
      </c>
      <c r="J55" s="36">
        <v>0.04</v>
      </c>
      <c r="K55" s="7" t="s">
        <v>341</v>
      </c>
    </row>
    <row r="56">
      <c r="A56" s="1"/>
      <c r="B56" s="18" t="s">
        <v>127</v>
      </c>
      <c r="C56" s="43" t="s">
        <v>38</v>
      </c>
      <c r="D56" s="43" t="s">
        <v>38</v>
      </c>
      <c r="E56" s="43" t="s">
        <v>38</v>
      </c>
      <c r="F56" s="43" t="s">
        <v>38</v>
      </c>
      <c r="G56" s="43" t="s">
        <v>38</v>
      </c>
      <c r="H56" s="43">
        <f>(H55-C55)*10000</f>
        <v>100.00000000000001</v>
      </c>
      <c r="I56" s="43">
        <f>(I55-D55)*10000</f>
        <v>100.00000000000001</v>
      </c>
      <c r="J56" s="57">
        <f>(J55-E55)*10000</f>
        <v>100.00000000000001</v>
      </c>
      <c r="K56" s="7"/>
    </row>
    <row r="57">
      <c r="A57" s="1"/>
      <c r="B57" s="18" t="s">
        <v>128</v>
      </c>
      <c r="C57" s="43" t="s">
        <v>38</v>
      </c>
      <c r="D57" s="43">
        <f>(D55-C55)*10000</f>
        <v>0</v>
      </c>
      <c r="E57" s="43">
        <f>(E55-D55)*10000</f>
        <v>0</v>
      </c>
      <c r="F57" s="43">
        <f>(F55-E55)*10000</f>
        <v>100.00000000000001</v>
      </c>
      <c r="G57" s="43" t="s">
        <v>38</v>
      </c>
      <c r="H57" s="43">
        <f>(H55-F55)*10000</f>
        <v>0</v>
      </c>
      <c r="I57" s="43">
        <f>(I55-H55)*10000</f>
        <v>0</v>
      </c>
      <c r="J57" s="57">
        <f>(J55-I55)*10000</f>
        <v>0</v>
      </c>
      <c r="K57" s="7"/>
    </row>
    <row r="58">
      <c r="A58" s="1"/>
      <c r="B58" s="18" t="s">
        <v>129</v>
      </c>
      <c r="C58" s="3" t="s">
        <v>38</v>
      </c>
      <c r="D58" s="3" t="s">
        <v>38</v>
      </c>
      <c r="E58" s="3" t="s">
        <v>38</v>
      </c>
      <c r="F58" s="3" t="s">
        <v>38</v>
      </c>
      <c r="G58" s="3" t="s">
        <v>38</v>
      </c>
      <c r="H58" s="37">
        <f>'Revenue summary'!H40</f>
        <v>-0.039017573791309657</v>
      </c>
      <c r="I58" s="37">
        <f>'Revenue summary'!I40</f>
        <v>0.01763227849137161</v>
      </c>
      <c r="J58" s="80">
        <f>'Revenue summary'!J40</f>
        <v>0.06985721039520443</v>
      </c>
      <c r="K58" s="7"/>
    </row>
    <row r="59">
      <c r="A59" s="1"/>
      <c r="B59" s="5" t="s">
        <v>111</v>
      </c>
      <c r="C59" s="4" t="s">
        <v>112</v>
      </c>
      <c r="D59" s="4" t="s">
        <v>112</v>
      </c>
      <c r="E59" s="4" t="s">
        <v>112</v>
      </c>
      <c r="F59" s="4" t="s">
        <v>112</v>
      </c>
      <c r="G59" s="4" t="s">
        <v>112</v>
      </c>
      <c r="H59" s="4" t="s">
        <v>112</v>
      </c>
      <c r="I59" s="4" t="s">
        <v>112</v>
      </c>
      <c r="J59" s="24" t="s">
        <v>112</v>
      </c>
      <c r="K59" s="7" t="s">
        <v>113</v>
      </c>
    </row>
    <row r="60">
      <c r="A60" s="1"/>
      <c r="B60" s="5" t="s">
        <v>114</v>
      </c>
      <c r="C60" s="4" t="s">
        <v>112</v>
      </c>
      <c r="D60" s="4" t="s">
        <v>112</v>
      </c>
      <c r="E60" s="4" t="s">
        <v>112</v>
      </c>
      <c r="F60" s="4" t="s">
        <v>112</v>
      </c>
      <c r="G60" s="4" t="s">
        <v>112</v>
      </c>
      <c r="H60" s="4" t="s">
        <v>112</v>
      </c>
      <c r="I60" s="4" t="s">
        <v>112</v>
      </c>
      <c r="J60" s="24" t="s">
        <v>112</v>
      </c>
      <c r="K60" s="7" t="s">
        <v>115</v>
      </c>
    </row>
    <row r="61">
      <c r="A61" s="1"/>
      <c r="B61" s="11" t="s">
        <v>342</v>
      </c>
      <c r="C61" s="14">
        <f>C11+C21+C31+C41+C51</f>
        <v>839254</v>
      </c>
      <c r="D61" s="14">
        <f>D11+D21+D31+D41+D51</f>
        <v>933792.0000000001</v>
      </c>
      <c r="E61" s="14">
        <f>E11+E21+E31+E41+E51</f>
        <v>989918</v>
      </c>
      <c r="F61" s="14">
        <f>F11+F21+F31+F41+F51</f>
        <v>1046089.9999999999</v>
      </c>
      <c r="G61" s="14">
        <f>SUM(C61:F61)</f>
        <v>3809054</v>
      </c>
      <c r="H61" s="14">
        <f>H11+H21+H31+H41+H51</f>
        <v>1134103.0000000002</v>
      </c>
      <c r="I61" s="14">
        <f>I11+I21+I31+I41+I51</f>
        <v>1270380</v>
      </c>
      <c r="J61" s="70">
        <f>J11+J21+J31+J41+J51</f>
        <v>1494243</v>
      </c>
      <c r="K61" s="7"/>
    </row>
    <row r="62">
      <c r="A62" s="1"/>
      <c r="B62" s="5" t="s">
        <v>343</v>
      </c>
      <c r="C62" s="12">
        <f>ROUND(C61-C9,6)</f>
        <v>0</v>
      </c>
      <c r="D62" s="12">
        <f>ROUND(D61-D9,6)</f>
        <v>0</v>
      </c>
      <c r="E62" s="12">
        <f>ROUND(E61-E9,6)</f>
        <v>0</v>
      </c>
      <c r="F62" s="12">
        <f>ROUND(F61-F9,6)</f>
        <v>0</v>
      </c>
      <c r="G62" s="12">
        <f>ROUND(G61-G9,6)</f>
        <v>0</v>
      </c>
      <c r="H62" s="12">
        <f>ROUND(H61-H9,6)</f>
        <v>0</v>
      </c>
      <c r="I62" s="12">
        <f>ROUND(I61-I9,6)</f>
        <v>0</v>
      </c>
      <c r="J62" s="8">
        <f>ROUND(J61-J9,6)</f>
        <v>0</v>
      </c>
      <c r="K62" s="112" t="s">
        <v>344</v>
      </c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345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48" t="s">
        <v>4</v>
      </c>
      <c r="K5" s="19" t="s">
        <v>85</v>
      </c>
    </row>
    <row r="6">
      <c r="A6" s="1"/>
      <c r="B6" s="49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32">
        <v>46295</v>
      </c>
      <c r="K6" s="17"/>
    </row>
    <row r="7">
      <c r="A7" s="1"/>
      <c r="B7" s="30" t="s">
        <v>6</v>
      </c>
      <c r="C7" s="27">
        <f>C6-DATE(2024,12,31)</f>
        <v>90</v>
      </c>
      <c r="D7" s="27">
        <f>D6-C6</f>
        <v>91</v>
      </c>
      <c r="E7" s="27">
        <f>E6-D6</f>
        <v>92</v>
      </c>
      <c r="F7" s="27">
        <f>F6-E6</f>
        <v>92</v>
      </c>
      <c r="G7" s="27">
        <f>G6-DATE(2024,12,31)</f>
        <v>365</v>
      </c>
      <c r="H7" s="27">
        <f>H6-F6</f>
        <v>90</v>
      </c>
      <c r="I7" s="27">
        <f>I6-H6</f>
        <v>91</v>
      </c>
      <c r="J7" s="21">
        <f>J6-I6</f>
        <v>92</v>
      </c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5" t="s">
        <v>346</v>
      </c>
      <c r="C9" s="12" t="s">
        <v>38</v>
      </c>
      <c r="D9" s="12" t="s">
        <v>38</v>
      </c>
      <c r="E9" s="12" t="s">
        <v>38</v>
      </c>
      <c r="F9" s="46">
        <v>25933</v>
      </c>
      <c r="G9" s="12">
        <f>F9</f>
        <v>25933</v>
      </c>
      <c r="H9" s="46">
        <v>25932</v>
      </c>
      <c r="I9" s="46">
        <v>25932</v>
      </c>
      <c r="J9" s="8">
        <f>I9</f>
        <v>25932</v>
      </c>
      <c r="K9" s="7" t="s">
        <v>347</v>
      </c>
    </row>
    <row r="10">
      <c r="A10" s="1"/>
      <c r="B10" s="18" t="s">
        <v>97</v>
      </c>
      <c r="C10" s="3" t="s">
        <v>38</v>
      </c>
      <c r="D10" s="3" t="s">
        <v>38</v>
      </c>
      <c r="E10" s="3" t="s">
        <v>38</v>
      </c>
      <c r="F10" s="3" t="s">
        <v>38</v>
      </c>
      <c r="G10" s="3" t="s">
        <v>38</v>
      </c>
      <c r="H10" s="3" t="str">
        <f>IF(AND(ISNUMBER(H9),ISNUMBER(C9)),IF(C9=0,"n/a",H9/C9-1),"n/a")</f>
        <v>n/a</v>
      </c>
      <c r="I10" s="3" t="str">
        <f>IF(AND(ISNUMBER(I9),ISNUMBER(D9)),IF(D9=0,"n/a",I9/D9-1),"n/a")</f>
        <v>n/a</v>
      </c>
      <c r="J10" s="9" t="str">
        <f>IF(AND(ISNUMBER(J9),ISNUMBER(E9)),IF(E9=0,"n/a",J9/E9-1),"n/a")</f>
        <v>n/a</v>
      </c>
      <c r="K10" s="7"/>
    </row>
    <row r="11">
      <c r="A11" s="1"/>
      <c r="B11" s="5" t="s">
        <v>99</v>
      </c>
      <c r="C11" s="12" t="s">
        <v>38</v>
      </c>
      <c r="D11" s="12" t="str">
        <f>IF(AND(ISNUMBER(D9),ISNUMBER(C9)),D9-C9,"n/a")</f>
        <v>n/a</v>
      </c>
      <c r="E11" s="12" t="str">
        <f>IF(AND(ISNUMBER(E9),ISNUMBER(D9)),E9-D9,"n/a")</f>
        <v>n/a</v>
      </c>
      <c r="F11" s="12" t="str">
        <f>IF(AND(ISNUMBER(F9),ISNUMBER(E9)),F9-E9,"n/a")</f>
        <v>n/a</v>
      </c>
      <c r="G11" s="12" t="s">
        <v>38</v>
      </c>
      <c r="H11" s="12">
        <f>IF(AND(ISNUMBER(H9),ISNUMBER(F9)),H9-F9,"n/a")</f>
        <v>-1</v>
      </c>
      <c r="I11" s="12">
        <f>IF(AND(ISNUMBER(I9),ISNUMBER(H9)),I9-H9,"n/a")</f>
        <v>0</v>
      </c>
      <c r="J11" s="8">
        <f>IF(AND(ISNUMBER(J9),ISNUMBER(I9)),J9-I9,"n/a")</f>
        <v>0</v>
      </c>
      <c r="K11" s="7"/>
    </row>
    <row r="12">
      <c r="A12" s="1"/>
      <c r="B12" s="5" t="s">
        <v>348</v>
      </c>
      <c r="C12" s="12"/>
      <c r="D12" s="46">
        <v>25927.526</v>
      </c>
      <c r="E12" s="12"/>
      <c r="F12" s="12"/>
      <c r="G12" s="12"/>
      <c r="H12" s="12"/>
      <c r="I12" s="46">
        <v>25930.16</v>
      </c>
      <c r="J12" s="8"/>
      <c r="K12" s="7"/>
    </row>
    <row r="13">
      <c r="A13" s="1"/>
      <c r="B13" s="5" t="s">
        <v>349</v>
      </c>
      <c r="C13" s="12"/>
      <c r="D13" s="46">
        <v>25928.771</v>
      </c>
      <c r="E13" s="12"/>
      <c r="F13" s="12"/>
      <c r="G13" s="12"/>
      <c r="H13" s="12"/>
      <c r="I13" s="46">
        <v>25931.544</v>
      </c>
      <c r="J13" s="8"/>
      <c r="K13" s="7"/>
    </row>
    <row r="14">
      <c r="A14" s="1"/>
      <c r="B14" s="11" t="s">
        <v>211</v>
      </c>
      <c r="C14" s="14">
        <f>(D12*(C7+D7)-D14*D7)/C7</f>
        <v>25926.788900000003</v>
      </c>
      <c r="D14" s="26">
        <v>25928.255</v>
      </c>
      <c r="E14" s="14" t="s">
        <v>38</v>
      </c>
      <c r="F14" s="14" t="s">
        <v>38</v>
      </c>
      <c r="G14" s="26">
        <v>25928.262</v>
      </c>
      <c r="H14" s="14">
        <f>(I12*(H7+I7)-I14*I7)/H7</f>
        <v>25929.76667777778</v>
      </c>
      <c r="I14" s="26">
        <v>25930.549</v>
      </c>
      <c r="J14" s="70">
        <f>I14</f>
        <v>25930.549</v>
      </c>
      <c r="K14" s="7" t="s">
        <v>350</v>
      </c>
    </row>
    <row r="15">
      <c r="A15" s="1"/>
      <c r="B15" s="18" t="s">
        <v>97</v>
      </c>
      <c r="C15" s="3" t="s">
        <v>38</v>
      </c>
      <c r="D15" s="3" t="s">
        <v>38</v>
      </c>
      <c r="E15" s="3" t="s">
        <v>38</v>
      </c>
      <c r="F15" s="3" t="s">
        <v>38</v>
      </c>
      <c r="G15" s="3" t="s">
        <v>38</v>
      </c>
      <c r="H15" s="3">
        <f>IF(AND(ISNUMBER(H14),ISNUMBER(C14)),H14/C14-1,"n/a")</f>
        <v>0.00011485331983318581</v>
      </c>
      <c r="I15" s="3">
        <f>IF(AND(ISNUMBER(I14),ISNUMBER(D14)),I14/D14-1,"n/a")</f>
        <v>0.0000884749089360426</v>
      </c>
      <c r="J15" s="9" t="str">
        <f>IF(AND(ISNUMBER(J14),ISNUMBER(E14)),J14/E14-1,"n/a")</f>
        <v>n/a</v>
      </c>
      <c r="K15" s="7"/>
    </row>
    <row r="16">
      <c r="A16" s="1"/>
      <c r="B16" s="5" t="s">
        <v>99</v>
      </c>
      <c r="C16" s="12" t="s">
        <v>38</v>
      </c>
      <c r="D16" s="12">
        <f>IF(AND(ISNUMBER(D14),ISNUMBER(C14)),D14-C14,"n/a")</f>
        <v>1.466099999997823</v>
      </c>
      <c r="E16" s="12" t="str">
        <f>IF(AND(ISNUMBER(E14),ISNUMBER(D14)),E14-D14,"n/a")</f>
        <v>n/a</v>
      </c>
      <c r="F16" s="12" t="str">
        <f>IF(AND(ISNUMBER(F14),ISNUMBER(E14)),F14-E14,"n/a")</f>
        <v>n/a</v>
      </c>
      <c r="G16" s="12" t="s">
        <v>38</v>
      </c>
      <c r="H16" s="12" t="str">
        <f>IF(AND(ISNUMBER(H14),ISNUMBER(F14)),H14-F14,"n/a")</f>
        <v>n/a</v>
      </c>
      <c r="I16" s="12">
        <f>IF(AND(ISNUMBER(I14),ISNUMBER(H14)),I14-H14,"n/a")</f>
        <v>0.7823222222177719</v>
      </c>
      <c r="J16" s="8">
        <f>IF(AND(ISNUMBER(J14),ISNUMBER(I14)),J14-I14,"n/a")</f>
        <v>0</v>
      </c>
      <c r="K16" s="7"/>
    </row>
    <row r="17">
      <c r="A17" s="1"/>
      <c r="B17" s="11" t="s">
        <v>212</v>
      </c>
      <c r="C17" s="14">
        <f>(D13*(C7+D7)-D17*D7)/C7</f>
        <v>25928.66382222222</v>
      </c>
      <c r="D17" s="26">
        <v>25928.877</v>
      </c>
      <c r="E17" s="26">
        <v>25930</v>
      </c>
      <c r="F17" s="26">
        <v>25931</v>
      </c>
      <c r="G17" s="26">
        <v>25930.557</v>
      </c>
      <c r="H17" s="14">
        <f>(I13*(H7+I7)-I17*I7)/H7</f>
        <v>25931.314477777785</v>
      </c>
      <c r="I17" s="26">
        <v>25931.771</v>
      </c>
      <c r="J17" s="70">
        <f>I17</f>
        <v>25931.771</v>
      </c>
      <c r="K17" s="7" t="s">
        <v>351</v>
      </c>
    </row>
    <row r="18">
      <c r="A18" s="1"/>
      <c r="B18" s="18" t="s">
        <v>97</v>
      </c>
      <c r="C18" s="3" t="s">
        <v>38</v>
      </c>
      <c r="D18" s="3" t="s">
        <v>38</v>
      </c>
      <c r="E18" s="3" t="s">
        <v>38</v>
      </c>
      <c r="F18" s="3" t="s">
        <v>38</v>
      </c>
      <c r="G18" s="3" t="s">
        <v>38</v>
      </c>
      <c r="H18" s="3">
        <f>H17/C17-1</f>
        <v>0.00010222877560295274</v>
      </c>
      <c r="I18" s="3">
        <f>I17/D17-1</f>
        <v>0.00011161300969564358</v>
      </c>
      <c r="J18" s="9">
        <f>J17/E17-1</f>
        <v>0.00006829926725804292</v>
      </c>
      <c r="K18" s="7"/>
    </row>
    <row r="19">
      <c r="A19" s="1"/>
      <c r="B19" s="18" t="s">
        <v>98</v>
      </c>
      <c r="C19" s="3" t="s">
        <v>38</v>
      </c>
      <c r="D19" s="3">
        <f>D17/C17-1</f>
        <v>0.000008221703179156492</v>
      </c>
      <c r="E19" s="3">
        <f>E17/D17-1</f>
        <v>0.000043310784342942554</v>
      </c>
      <c r="F19" s="3">
        <f>F17/E17-1</f>
        <v>0.000038565368299270375</v>
      </c>
      <c r="G19" s="3" t="s">
        <v>38</v>
      </c>
      <c r="H19" s="3">
        <f>H17/F17-1</f>
        <v>0.000012127483621338087</v>
      </c>
      <c r="I19" s="3">
        <f>I17/H17-1</f>
        <v>0.000017605055177893902</v>
      </c>
      <c r="J19" s="9">
        <f>J17/I17-1</f>
        <v>0</v>
      </c>
      <c r="K19" s="7"/>
    </row>
    <row r="20">
      <c r="A20" s="1"/>
      <c r="B20" s="5" t="s">
        <v>99</v>
      </c>
      <c r="C20" s="12" t="s">
        <v>38</v>
      </c>
      <c r="D20" s="12">
        <f>D17-C17</f>
        <v>0.21317777777949232</v>
      </c>
      <c r="E20" s="12">
        <f>E17-D17</f>
        <v>1.1229999999995925</v>
      </c>
      <c r="F20" s="12">
        <f>F17-E17</f>
        <v>1</v>
      </c>
      <c r="G20" s="12" t="s">
        <v>38</v>
      </c>
      <c r="H20" s="12">
        <f>H17-F17</f>
        <v>0.31447777778521413</v>
      </c>
      <c r="I20" s="12">
        <f>I17-H17</f>
        <v>0.45652222221542615</v>
      </c>
      <c r="J20" s="8">
        <f>J17-I17</f>
        <v>0</v>
      </c>
      <c r="K20" s="7"/>
    </row>
    <row r="21">
      <c r="A21" s="1"/>
      <c r="B21" s="5" t="s">
        <v>352</v>
      </c>
      <c r="C21" s="12">
        <f>IF(ISNUMBER(C14),C17-C14,"n/a")</f>
        <v>1.8749222222177195</v>
      </c>
      <c r="D21" s="12">
        <f>IF(ISNUMBER(D14),D17-D14,"n/a")</f>
        <v>0.6219999999993888</v>
      </c>
      <c r="E21" s="12" t="str">
        <f>IF(ISNUMBER(E14),E17-E14,"n/a")</f>
        <v>n/a</v>
      </c>
      <c r="F21" s="12" t="str">
        <f>IF(ISNUMBER(F14),F17-F14,"n/a")</f>
        <v>n/a</v>
      </c>
      <c r="G21" s="12">
        <f>G17-G14</f>
        <v>2.2950000000018917</v>
      </c>
      <c r="H21" s="12">
        <f>IF(ISNUMBER(H14),H17-H14,"n/a")</f>
        <v>1.5478000000039174</v>
      </c>
      <c r="I21" s="12">
        <f>IF(ISNUMBER(I14),I17-I14,"n/a")</f>
        <v>1.2220000000015716</v>
      </c>
      <c r="J21" s="8">
        <f>IF(ISNUMBER(J14),J17-J14,"n/a")</f>
        <v>1.2220000000015716</v>
      </c>
      <c r="K21" s="7"/>
    </row>
    <row r="22">
      <c r="A22" s="1"/>
      <c r="B22" s="18" t="s">
        <v>88</v>
      </c>
      <c r="C22" s="3" t="s">
        <v>38</v>
      </c>
      <c r="D22" s="3" t="s">
        <v>38</v>
      </c>
      <c r="E22" s="3" t="s">
        <v>38</v>
      </c>
      <c r="F22" s="3" t="s">
        <v>38</v>
      </c>
      <c r="G22" s="3" t="s">
        <v>38</v>
      </c>
      <c r="H22" s="3">
        <f>IF(AND(ISNUMBER(H21),ISNUMBER(C21)),IF(C21=0,"n/a",H21/C21-1),"n/a")</f>
        <v>-0.17447242255567874</v>
      </c>
      <c r="I22" s="3">
        <f>IF(AND(ISNUMBER(I21),ISNUMBER(D21)),IF(D21=0,"n/a",I21/D21-1),"n/a")</f>
        <v>0.9646302250848431</v>
      </c>
      <c r="J22" s="9" t="str">
        <f>IF(AND(ISNUMBER(J21),ISNUMBER(E21)),IF(E21=0,"n/a",J21/E21-1),"n/a")</f>
        <v>n/a</v>
      </c>
      <c r="K22" s="7"/>
    </row>
    <row r="23">
      <c r="A23" s="1"/>
      <c r="B23" s="5" t="s">
        <v>89</v>
      </c>
      <c r="C23" s="12" t="s">
        <v>38</v>
      </c>
      <c r="D23" s="12">
        <f>IF(AND(ISNUMBER(D21),ISNUMBER(C21)),D21-C21,"n/a")</f>
        <v>-1.2529222222183307</v>
      </c>
      <c r="E23" s="12" t="str">
        <f>IF(AND(ISNUMBER(E21),ISNUMBER(D21)),E21-D21,"n/a")</f>
        <v>n/a</v>
      </c>
      <c r="F23" s="12" t="str">
        <f>IF(AND(ISNUMBER(F21),ISNUMBER(E21)),F21-E21,"n/a")</f>
        <v>n/a</v>
      </c>
      <c r="G23" s="12" t="s">
        <v>38</v>
      </c>
      <c r="H23" s="12" t="str">
        <f>IF(AND(ISNUMBER(H21),ISNUMBER(F21)),H21-F21,"n/a")</f>
        <v>n/a</v>
      </c>
      <c r="I23" s="12">
        <f>IF(AND(ISNUMBER(I21),ISNUMBER(H21)),I21-H21,"n/a")</f>
        <v>-0.32580000000234577</v>
      </c>
      <c r="J23" s="8">
        <f>IF(AND(ISNUMBER(J21),ISNUMBER(I21)),J21-I21,"n/a")</f>
        <v>0</v>
      </c>
      <c r="K23" s="7"/>
    </row>
    <row r="24">
      <c r="A24" s="1"/>
      <c r="B24" s="5" t="s">
        <v>353</v>
      </c>
      <c r="C24" s="4" t="s">
        <v>354</v>
      </c>
      <c r="D24" s="4" t="s">
        <v>354</v>
      </c>
      <c r="E24" s="4" t="s">
        <v>354</v>
      </c>
      <c r="F24" s="4" t="s">
        <v>354</v>
      </c>
      <c r="G24" s="4" t="s">
        <v>354</v>
      </c>
      <c r="H24" s="4" t="s">
        <v>354</v>
      </c>
      <c r="I24" s="4" t="s">
        <v>354</v>
      </c>
      <c r="J24" s="24" t="s">
        <v>354</v>
      </c>
      <c r="K24" s="7" t="s">
        <v>355</v>
      </c>
    </row>
    <row r="25">
      <c r="A25" s="1"/>
      <c r="B25" s="5" t="s">
        <v>356</v>
      </c>
      <c r="C25" s="4" t="s">
        <v>357</v>
      </c>
      <c r="D25" s="4" t="s">
        <v>357</v>
      </c>
      <c r="E25" s="4" t="s">
        <v>357</v>
      </c>
      <c r="F25" s="4" t="s">
        <v>357</v>
      </c>
      <c r="G25" s="4" t="s">
        <v>357</v>
      </c>
      <c r="H25" s="4" t="s">
        <v>357</v>
      </c>
      <c r="I25" s="4" t="s">
        <v>357</v>
      </c>
      <c r="J25" s="24" t="s">
        <v>357</v>
      </c>
      <c r="K25" s="7" t="s">
        <v>358</v>
      </c>
    </row>
    <row r="26">
      <c r="A26" s="1"/>
      <c r="B26" s="5" t="s">
        <v>217</v>
      </c>
      <c r="C26" s="55">
        <v>5</v>
      </c>
      <c r="D26" s="15">
        <f>$C26</f>
        <v>5</v>
      </c>
      <c r="E26" s="15">
        <f>$C26</f>
        <v>5</v>
      </c>
      <c r="F26" s="15">
        <f>$C26</f>
        <v>5</v>
      </c>
      <c r="G26" s="15">
        <f>$C26</f>
        <v>5</v>
      </c>
      <c r="H26" s="15">
        <f>$C26</f>
        <v>5</v>
      </c>
      <c r="I26" s="15">
        <f>$C26</f>
        <v>5</v>
      </c>
      <c r="J26" s="76">
        <f>$C26</f>
        <v>5</v>
      </c>
      <c r="K26" s="7"/>
    </row>
    <row r="27">
      <c r="A27" s="1"/>
      <c r="B27" s="5" t="s">
        <v>359</v>
      </c>
      <c r="C27" s="12">
        <f>C17/C26</f>
        <v>5185.732764444444</v>
      </c>
      <c r="D27" s="12">
        <f>D17/D26</f>
        <v>5185.7754</v>
      </c>
      <c r="E27" s="12">
        <f>E17/E26</f>
        <v>5186</v>
      </c>
      <c r="F27" s="12">
        <f>F17/F26</f>
        <v>5186.2</v>
      </c>
      <c r="G27" s="12">
        <f>G17/G26</f>
        <v>5186.1114</v>
      </c>
      <c r="H27" s="12">
        <f>H17/H26</f>
        <v>5186.262895555557</v>
      </c>
      <c r="I27" s="12">
        <f>I17/I26</f>
        <v>5186.3542</v>
      </c>
      <c r="J27" s="8">
        <f>J17/J26</f>
        <v>5186.3542</v>
      </c>
      <c r="K27" s="7"/>
    </row>
    <row r="28">
      <c r="A28" s="1"/>
      <c r="B28" s="18" t="s">
        <v>88</v>
      </c>
      <c r="C28" s="3" t="s">
        <v>38</v>
      </c>
      <c r="D28" s="3" t="s">
        <v>38</v>
      </c>
      <c r="E28" s="3" t="s">
        <v>38</v>
      </c>
      <c r="F28" s="3" t="s">
        <v>38</v>
      </c>
      <c r="G28" s="3" t="s">
        <v>38</v>
      </c>
      <c r="H28" s="3">
        <f>IF(AND(ISNUMBER(H27),ISNUMBER(C27)),IF(C27=0,"n/a",H27/C27-1),"n/a")</f>
        <v>0.00010222877560295274</v>
      </c>
      <c r="I28" s="3">
        <f>IF(AND(ISNUMBER(I27),ISNUMBER(D27)),IF(D27=0,"n/a",I27/D27-1),"n/a")</f>
        <v>0.00011161300969564358</v>
      </c>
      <c r="J28" s="9">
        <f>IF(AND(ISNUMBER(J27),ISNUMBER(E27)),IF(E27=0,"n/a",J27/E27-1),"n/a")</f>
        <v>0.00006829926725804292</v>
      </c>
      <c r="K28" s="7"/>
    </row>
    <row r="29">
      <c r="A29" s="1"/>
      <c r="B29" s="5" t="s">
        <v>89</v>
      </c>
      <c r="C29" s="12" t="s">
        <v>38</v>
      </c>
      <c r="D29" s="12">
        <f>IF(AND(ISNUMBER(D27),ISNUMBER(C27)),D27-C27,"n/a")</f>
        <v>0.04263555555644416</v>
      </c>
      <c r="E29" s="12">
        <f>IF(AND(ISNUMBER(E27),ISNUMBER(D27)),E27-D27,"n/a")</f>
        <v>0.2245999999995547</v>
      </c>
      <c r="F29" s="12">
        <f>IF(AND(ISNUMBER(F27),ISNUMBER(E27)),F27-E27,"n/a")</f>
        <v>0.1999999999998181</v>
      </c>
      <c r="G29" s="12" t="s">
        <v>38</v>
      </c>
      <c r="H29" s="12">
        <f>IF(AND(ISNUMBER(H27),ISNUMBER(F27)),H27-F27,"n/a")</f>
        <v>0.06289555555758852</v>
      </c>
      <c r="I29" s="12">
        <f>IF(AND(ISNUMBER(I27),ISNUMBER(H27)),I27-H27,"n/a")</f>
        <v>0.09130444444235764</v>
      </c>
      <c r="J29" s="8">
        <f>IF(AND(ISNUMBER(J27),ISNUMBER(I27)),J27-I27,"n/a")</f>
        <v>0</v>
      </c>
      <c r="K29" s="7"/>
    </row>
    <row r="30">
      <c r="A30" s="1"/>
      <c r="B30" s="11" t="s">
        <v>360</v>
      </c>
      <c r="C30" s="14"/>
      <c r="D30" s="14"/>
      <c r="E30" s="14"/>
      <c r="F30" s="14"/>
      <c r="G30" s="14"/>
      <c r="H30" s="14"/>
      <c r="I30" s="14"/>
      <c r="J30" s="70">
        <f>J17</f>
        <v>25931.771</v>
      </c>
      <c r="K30" s="7"/>
    </row>
    <row r="31">
      <c r="A31" s="1"/>
      <c r="B31" s="5"/>
      <c r="C31" s="4"/>
      <c r="D31" s="4"/>
      <c r="E31" s="4"/>
      <c r="F31" s="4"/>
      <c r="G31" s="4"/>
      <c r="H31" s="4"/>
      <c r="I31" s="4"/>
      <c r="J31" s="24"/>
      <c r="K31" s="7"/>
    </row>
    <row r="32">
      <c r="A32" s="1"/>
      <c r="B32" s="11" t="s">
        <v>361</v>
      </c>
      <c r="C32" s="22"/>
      <c r="D32" s="22"/>
      <c r="E32" s="22"/>
      <c r="F32" s="22"/>
      <c r="G32" s="22"/>
      <c r="H32" s="22"/>
      <c r="I32" s="22"/>
      <c r="J32" s="33"/>
      <c r="K32" s="7"/>
    </row>
    <row r="33">
      <c r="A33" s="1"/>
      <c r="B33" s="5" t="s">
        <v>362</v>
      </c>
      <c r="C33" s="16"/>
      <c r="D33" s="16"/>
      <c r="E33" s="29">
        <v>5</v>
      </c>
      <c r="F33" s="29">
        <v>6</v>
      </c>
      <c r="G33" s="16"/>
      <c r="H33" s="29">
        <v>6</v>
      </c>
      <c r="I33" s="29">
        <v>7</v>
      </c>
      <c r="J33" s="67">
        <v>7</v>
      </c>
      <c r="K33" s="7" t="s">
        <v>363</v>
      </c>
    </row>
    <row r="34">
      <c r="A34" s="1"/>
      <c r="B34" s="18" t="s">
        <v>97</v>
      </c>
      <c r="C34" s="3" t="s">
        <v>38</v>
      </c>
      <c r="D34" s="3" t="s">
        <v>38</v>
      </c>
      <c r="E34" s="3" t="s">
        <v>38</v>
      </c>
      <c r="F34" s="3" t="s">
        <v>38</v>
      </c>
      <c r="G34" s="3" t="s">
        <v>38</v>
      </c>
      <c r="H34" s="3" t="str">
        <f>IF(AND(ISNUMBER(H33),ISNUMBER(C33)),IF(C33=0,"n/a",H33/C33-1),"n/a")</f>
        <v>n/a</v>
      </c>
      <c r="I34" s="3" t="str">
        <f>IF(AND(ISNUMBER(I33),ISNUMBER(D33)),IF(D33=0,"n/a",I33/D33-1),"n/a")</f>
        <v>n/a</v>
      </c>
      <c r="J34" s="9">
        <f>IF(AND(ISNUMBER(J33),ISNUMBER(E33)),IF(E33=0,"n/a",J33/E33-1),"n/a")</f>
        <v>0.3999999999999999</v>
      </c>
      <c r="K34" s="7"/>
    </row>
    <row r="35">
      <c r="A35" s="1"/>
      <c r="B35" s="5" t="s">
        <v>99</v>
      </c>
      <c r="C35" s="16" t="s">
        <v>38</v>
      </c>
      <c r="D35" s="16" t="str">
        <f>IF(AND(ISNUMBER(D33),ISNUMBER(C33)),D33-C33,"n/a")</f>
        <v>n/a</v>
      </c>
      <c r="E35" s="16" t="str">
        <f>IF(AND(ISNUMBER(E33),ISNUMBER(D33)),E33-D33,"n/a")</f>
        <v>n/a</v>
      </c>
      <c r="F35" s="16">
        <f>IF(AND(ISNUMBER(F33),ISNUMBER(E33)),F33-E33,"n/a")</f>
        <v>1</v>
      </c>
      <c r="G35" s="16" t="s">
        <v>38</v>
      </c>
      <c r="H35" s="16">
        <f>IF(AND(ISNUMBER(H33),ISNUMBER(F33)),H33-F33,"n/a")</f>
        <v>0</v>
      </c>
      <c r="I35" s="16">
        <f>IF(AND(ISNUMBER(I33),ISNUMBER(H33)),I33-H33,"n/a")</f>
        <v>1</v>
      </c>
      <c r="J35" s="20">
        <f>IF(AND(ISNUMBER(J33),ISNUMBER(I33)),J33-I33,"n/a")</f>
        <v>0</v>
      </c>
      <c r="K35" s="7"/>
    </row>
    <row r="36">
      <c r="A36" s="1"/>
      <c r="B36" s="5" t="s">
        <v>364</v>
      </c>
      <c r="C36" s="16"/>
      <c r="D36" s="16"/>
      <c r="E36" s="16"/>
      <c r="F36" s="16"/>
      <c r="G36" s="16"/>
      <c r="H36" s="29">
        <v>5</v>
      </c>
      <c r="I36" s="29">
        <v>6</v>
      </c>
      <c r="J36" s="67">
        <v>6</v>
      </c>
      <c r="K36" s="7"/>
    </row>
    <row r="37">
      <c r="A37" s="1"/>
      <c r="B37" s="18" t="s">
        <v>97</v>
      </c>
      <c r="C37" s="3" t="s">
        <v>38</v>
      </c>
      <c r="D37" s="3" t="s">
        <v>38</v>
      </c>
      <c r="E37" s="3" t="s">
        <v>38</v>
      </c>
      <c r="F37" s="3" t="s">
        <v>38</v>
      </c>
      <c r="G37" s="3" t="s">
        <v>38</v>
      </c>
      <c r="H37" s="3" t="str">
        <f>IF(AND(ISNUMBER(H36),ISNUMBER(C36)),IF(C36=0,"n/a",H36/C36-1),"n/a")</f>
        <v>n/a</v>
      </c>
      <c r="I37" s="3" t="str">
        <f>IF(AND(ISNUMBER(I36),ISNUMBER(D36)),IF(D36=0,"n/a",I36/D36-1),"n/a")</f>
        <v>n/a</v>
      </c>
      <c r="J37" s="9" t="str">
        <f>IF(AND(ISNUMBER(J36),ISNUMBER(E36)),IF(E36=0,"n/a",J36/E36-1),"n/a")</f>
        <v>n/a</v>
      </c>
      <c r="K37" s="7"/>
    </row>
    <row r="38">
      <c r="A38" s="1"/>
      <c r="B38" s="5" t="s">
        <v>99</v>
      </c>
      <c r="C38" s="16" t="s">
        <v>38</v>
      </c>
      <c r="D38" s="16" t="str">
        <f>IF(AND(ISNUMBER(D36),ISNUMBER(C36)),D36-C36,"n/a")</f>
        <v>n/a</v>
      </c>
      <c r="E38" s="16" t="str">
        <f>IF(AND(ISNUMBER(E36),ISNUMBER(D36)),E36-D36,"n/a")</f>
        <v>n/a</v>
      </c>
      <c r="F38" s="16" t="str">
        <f>IF(AND(ISNUMBER(F36),ISNUMBER(E36)),F36-E36,"n/a")</f>
        <v>n/a</v>
      </c>
      <c r="G38" s="16" t="s">
        <v>38</v>
      </c>
      <c r="H38" s="16" t="str">
        <f>IF(AND(ISNUMBER(H36),ISNUMBER(F36)),H36-F36,"n/a")</f>
        <v>n/a</v>
      </c>
      <c r="I38" s="16">
        <f>IF(AND(ISNUMBER(I36),ISNUMBER(H36)),I36-H36,"n/a")</f>
        <v>1</v>
      </c>
      <c r="J38" s="20">
        <f>IF(AND(ISNUMBER(J36),ISNUMBER(I36)),J36-I36,"n/a")</f>
        <v>0</v>
      </c>
      <c r="K38" s="7"/>
    </row>
    <row r="39">
      <c r="A39" s="1"/>
      <c r="B39" s="5" t="s">
        <v>365</v>
      </c>
      <c r="C39" s="12"/>
      <c r="D39" s="12"/>
      <c r="E39" s="12"/>
      <c r="F39" s="12"/>
      <c r="G39" s="12"/>
      <c r="H39" s="12">
        <f>H33*F9</f>
        <v>155598</v>
      </c>
      <c r="I39" s="12">
        <f>I33*H9</f>
        <v>181524</v>
      </c>
      <c r="J39" s="8">
        <f>J33*I9</f>
        <v>181524</v>
      </c>
      <c r="K39" s="7"/>
    </row>
    <row r="40">
      <c r="A40" s="1"/>
      <c r="B40" s="18" t="s">
        <v>97</v>
      </c>
      <c r="C40" s="3" t="s">
        <v>38</v>
      </c>
      <c r="D40" s="3" t="s">
        <v>38</v>
      </c>
      <c r="E40" s="3" t="s">
        <v>38</v>
      </c>
      <c r="F40" s="3" t="s">
        <v>38</v>
      </c>
      <c r="G40" s="3" t="s">
        <v>38</v>
      </c>
      <c r="H40" s="3" t="str">
        <f>IF(AND(ISNUMBER(H39),ISNUMBER(C39)),IF(C39=0,"n/a",H39/C39-1),"n/a")</f>
        <v>n/a</v>
      </c>
      <c r="I40" s="3" t="str">
        <f>IF(AND(ISNUMBER(I39),ISNUMBER(D39)),IF(D39=0,"n/a",I39/D39-1),"n/a")</f>
        <v>n/a</v>
      </c>
      <c r="J40" s="9" t="str">
        <f>IF(AND(ISNUMBER(J39),ISNUMBER(E39)),IF(E39=0,"n/a",J39/E39-1),"n/a")</f>
        <v>n/a</v>
      </c>
      <c r="K40" s="7"/>
    </row>
    <row r="41">
      <c r="A41" s="1"/>
      <c r="B41" s="5" t="s">
        <v>99</v>
      </c>
      <c r="C41" s="12" t="s">
        <v>38</v>
      </c>
      <c r="D41" s="12" t="str">
        <f>IF(AND(ISNUMBER(D39),ISNUMBER(C39)),D39-C39,"n/a")</f>
        <v>n/a</v>
      </c>
      <c r="E41" s="12" t="str">
        <f>IF(AND(ISNUMBER(E39),ISNUMBER(D39)),E39-D39,"n/a")</f>
        <v>n/a</v>
      </c>
      <c r="F41" s="12" t="str">
        <f>IF(AND(ISNUMBER(F39),ISNUMBER(E39)),F39-E39,"n/a")</f>
        <v>n/a</v>
      </c>
      <c r="G41" s="12" t="s">
        <v>38</v>
      </c>
      <c r="H41" s="12" t="str">
        <f>IF(AND(ISNUMBER(H39),ISNUMBER(F39)),H39-F39,"n/a")</f>
        <v>n/a</v>
      </c>
      <c r="I41" s="12">
        <f>IF(AND(ISNUMBER(I39),ISNUMBER(H39)),I39-H39,"n/a")</f>
        <v>25926</v>
      </c>
      <c r="J41" s="8">
        <f>IF(AND(ISNUMBER(J39),ISNUMBER(I39)),J39-I39,"n/a")</f>
        <v>0</v>
      </c>
      <c r="K41" s="7"/>
    </row>
    <row r="42">
      <c r="A42" s="1"/>
      <c r="B42" s="5" t="s">
        <v>366</v>
      </c>
      <c r="C42" s="12"/>
      <c r="D42" s="12"/>
      <c r="E42" s="12"/>
      <c r="F42" s="12"/>
      <c r="G42" s="12"/>
      <c r="H42" s="12">
        <f>H36*F9</f>
        <v>129665</v>
      </c>
      <c r="I42" s="12">
        <f>I36*H9</f>
        <v>155592</v>
      </c>
      <c r="J42" s="8">
        <f>J36*I9</f>
        <v>155592</v>
      </c>
      <c r="K42" s="7" t="s">
        <v>367</v>
      </c>
    </row>
    <row r="43">
      <c r="A43" s="1"/>
      <c r="B43" s="18" t="s">
        <v>97</v>
      </c>
      <c r="C43" s="3" t="s">
        <v>38</v>
      </c>
      <c r="D43" s="3" t="s">
        <v>38</v>
      </c>
      <c r="E43" s="3" t="s">
        <v>38</v>
      </c>
      <c r="F43" s="3" t="s">
        <v>38</v>
      </c>
      <c r="G43" s="3" t="s">
        <v>38</v>
      </c>
      <c r="H43" s="3" t="str">
        <f>IF(AND(ISNUMBER(H42),ISNUMBER(C42)),IF(C42=0,"n/a",H42/C42-1),"n/a")</f>
        <v>n/a</v>
      </c>
      <c r="I43" s="3" t="str">
        <f>IF(AND(ISNUMBER(I42),ISNUMBER(D42)),IF(D42=0,"n/a",I42/D42-1),"n/a")</f>
        <v>n/a</v>
      </c>
      <c r="J43" s="9" t="str">
        <f>IF(AND(ISNUMBER(J42),ISNUMBER(E42)),IF(E42=0,"n/a",J42/E42-1),"n/a")</f>
        <v>n/a</v>
      </c>
      <c r="K43" s="7"/>
    </row>
    <row r="44">
      <c r="A44" s="1"/>
      <c r="B44" s="5" t="s">
        <v>99</v>
      </c>
      <c r="C44" s="12" t="s">
        <v>38</v>
      </c>
      <c r="D44" s="12" t="str">
        <f>IF(AND(ISNUMBER(D42),ISNUMBER(C42)),D42-C42,"n/a")</f>
        <v>n/a</v>
      </c>
      <c r="E44" s="12" t="str">
        <f>IF(AND(ISNUMBER(E42),ISNUMBER(D42)),E42-D42,"n/a")</f>
        <v>n/a</v>
      </c>
      <c r="F44" s="12" t="str">
        <f>IF(AND(ISNUMBER(F42),ISNUMBER(E42)),F42-E42,"n/a")</f>
        <v>n/a</v>
      </c>
      <c r="G44" s="12" t="s">
        <v>38</v>
      </c>
      <c r="H44" s="12" t="str">
        <f>IF(AND(ISNUMBER(H42),ISNUMBER(F42)),H42-F42,"n/a")</f>
        <v>n/a</v>
      </c>
      <c r="I44" s="12">
        <f>IF(AND(ISNUMBER(I42),ISNUMBER(H42)),I42-H42,"n/a")</f>
        <v>25927</v>
      </c>
      <c r="J44" s="8">
        <f>IF(AND(ISNUMBER(J42),ISNUMBER(I42)),J42-I42,"n/a")</f>
        <v>0</v>
      </c>
      <c r="K44" s="7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3" width="12" customWidth="1"/>
    <col min="4" max="4" width="9" customWidth="1"/>
    <col min="5" max="8" width="12" customWidth="1"/>
    <col min="9" max="9" width="26" customWidth="1"/>
    <col min="10" max="10" width="12" customWidth="1"/>
    <col min="11" max="11" width="4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368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369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48" t="s">
        <v>4</v>
      </c>
      <c r="D5" s="13"/>
      <c r="E5" s="13"/>
      <c r="F5" s="13"/>
      <c r="G5" s="13"/>
      <c r="H5" s="13"/>
      <c r="I5" s="13"/>
      <c r="J5" s="13"/>
      <c r="K5" s="19"/>
    </row>
    <row r="6">
      <c r="A6" s="1"/>
      <c r="B6" s="49" t="s">
        <v>5</v>
      </c>
      <c r="C6" s="32">
        <v>46295</v>
      </c>
      <c r="D6" s="28"/>
      <c r="E6" s="28"/>
      <c r="F6" s="28"/>
      <c r="G6" s="28"/>
      <c r="H6" s="28"/>
      <c r="I6" s="28"/>
      <c r="J6" s="28"/>
      <c r="K6" s="17"/>
    </row>
    <row r="7">
      <c r="A7" s="1"/>
      <c r="B7" s="30" t="s">
        <v>6</v>
      </c>
      <c r="C7" s="21">
        <f>C6-DATE(2026,6,30)</f>
        <v>92</v>
      </c>
      <c r="D7" s="27"/>
      <c r="E7" s="27"/>
      <c r="F7" s="27"/>
      <c r="G7" s="27"/>
      <c r="H7" s="27"/>
      <c r="I7" s="27"/>
      <c r="J7" s="27"/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370</v>
      </c>
      <c r="C9" s="22"/>
      <c r="D9" s="22"/>
      <c r="E9" s="22"/>
      <c r="F9" s="22"/>
      <c r="G9" s="22"/>
      <c r="H9" s="22"/>
      <c r="I9" s="22"/>
      <c r="J9" s="22"/>
      <c r="K9" s="7"/>
    </row>
    <row r="10">
      <c r="A10" s="1"/>
      <c r="B10" s="23" t="s">
        <v>371</v>
      </c>
      <c r="C10" s="51" t="s">
        <v>372</v>
      </c>
      <c r="D10" s="51" t="s">
        <v>3</v>
      </c>
      <c r="E10" s="51" t="s">
        <v>373</v>
      </c>
      <c r="F10" s="51" t="s">
        <v>374</v>
      </c>
      <c r="G10" s="51" t="s">
        <v>375</v>
      </c>
      <c r="H10" s="51" t="s">
        <v>376</v>
      </c>
      <c r="I10" s="51" t="s">
        <v>377</v>
      </c>
      <c r="J10" s="51" t="s">
        <v>378</v>
      </c>
      <c r="K10" s="7"/>
    </row>
    <row r="11">
      <c r="A11" s="1"/>
      <c r="B11" s="5" t="s">
        <v>379</v>
      </c>
      <c r="C11" s="45">
        <v>45673</v>
      </c>
      <c r="D11" s="4" t="s">
        <v>78</v>
      </c>
      <c r="E11" s="38">
        <v>25</v>
      </c>
      <c r="F11" s="38">
        <v>25.8</v>
      </c>
      <c r="G11" s="39">
        <f>AVERAGE(E11:F11)</f>
        <v>25.4</v>
      </c>
      <c r="H11" s="65">
        <f>'Revenue summary'!C30/1000</f>
        <v>25.53</v>
      </c>
      <c r="I11" s="4" t="str">
        <f>IF(H11&gt;F11,"Beat (above range)",IF(H11&gt;=G11,"Beat (upper half)",IF(H11&gt;=E11,"Miss (lower half)","Miss (below range)")))</f>
        <v>Beat (upper half)</v>
      </c>
      <c r="J11" s="39">
        <f>H11-G11</f>
        <v>0.13000000000000256</v>
      </c>
      <c r="K11" s="7"/>
    </row>
    <row r="12">
      <c r="A12" s="1"/>
      <c r="B12" s="18" t="s">
        <v>380</v>
      </c>
      <c r="C12" s="50">
        <v>45673</v>
      </c>
      <c r="D12" s="44" t="s">
        <v>78</v>
      </c>
      <c r="E12" s="42">
        <v>0.57</v>
      </c>
      <c r="F12" s="42">
        <v>0.59</v>
      </c>
      <c r="G12" s="3">
        <f>AVERAGE(E12:F12)</f>
        <v>0.58</v>
      </c>
      <c r="H12" s="37">
        <f>'Income Statement'!C19</f>
        <v>0.5879078324321362</v>
      </c>
      <c r="I12" s="44" t="str">
        <f>IF(H12&gt;F12,"Beat (above range)",IF(H12&gt;=G12,"Beat (upper half)",IF(H12&gt;=E12,"Miss (lower half)","Miss (below range)")))</f>
        <v>Beat (upper half)</v>
      </c>
      <c r="J12" s="3">
        <f>(H12-G12)</f>
        <v>0.00790783243213622</v>
      </c>
      <c r="K12" s="7"/>
    </row>
    <row r="13">
      <c r="A13" s="1"/>
      <c r="B13" s="18" t="s">
        <v>381</v>
      </c>
      <c r="C13" s="50">
        <v>45673</v>
      </c>
      <c r="D13" s="44" t="s">
        <v>78</v>
      </c>
      <c r="E13" s="42">
        <v>0.465</v>
      </c>
      <c r="F13" s="42">
        <v>0.485</v>
      </c>
      <c r="G13" s="3">
        <f>AVERAGE(E13:F13)</f>
        <v>0.475</v>
      </c>
      <c r="H13" s="37">
        <f>'Income Statement'!C49</f>
        <v>0.48505458419024516</v>
      </c>
      <c r="I13" s="44" t="str">
        <f>IF(H13&gt;F13,"Beat (above range)",IF(H13&gt;=G13,"Beat (upper half)",IF(H13&gt;=E13,"Miss (lower half)","Miss (below range)")))</f>
        <v>Beat (above range)</v>
      </c>
      <c r="J13" s="3">
        <f>(H13-G13)</f>
        <v>0.010054584190245186</v>
      </c>
      <c r="K13" s="7"/>
    </row>
    <row r="14">
      <c r="A14" s="1"/>
      <c r="B14" s="5" t="s">
        <v>382</v>
      </c>
      <c r="C14" s="45">
        <v>45673</v>
      </c>
      <c r="D14" s="4" t="s">
        <v>78</v>
      </c>
      <c r="E14" s="40">
        <v>32.8</v>
      </c>
      <c r="F14" s="40">
        <v>32.8</v>
      </c>
      <c r="G14" s="54">
        <f>AVERAGE(E14:F14)</f>
        <v>32.8</v>
      </c>
      <c r="H14" s="52">
        <f>'Revenue summary'!C27</f>
        <v>32.88</v>
      </c>
      <c r="I14" s="4" t="s">
        <v>383</v>
      </c>
      <c r="J14" s="54">
        <f>H14-G14</f>
        <v>0.0800000000000054</v>
      </c>
      <c r="K14" s="7"/>
    </row>
    <row r="15">
      <c r="A15" s="1"/>
      <c r="B15" s="5" t="s">
        <v>384</v>
      </c>
      <c r="C15" s="45">
        <v>45764</v>
      </c>
      <c r="D15" s="4" t="s">
        <v>79</v>
      </c>
      <c r="E15" s="38">
        <v>28.4</v>
      </c>
      <c r="F15" s="38">
        <v>29.2</v>
      </c>
      <c r="G15" s="39">
        <f>AVERAGE(E15:F15)</f>
        <v>28.799999999999997</v>
      </c>
      <c r="H15" s="65">
        <f>'Revenue summary'!D30/1000</f>
        <v>30.07</v>
      </c>
      <c r="I15" s="4" t="str">
        <f>IF(H15&gt;F15,"Beat (above range)",IF(H15&gt;=G15,"Beat (upper half)",IF(H15&gt;=E15,"Miss (lower half)","Miss (below range)")))</f>
        <v>Beat (above range)</v>
      </c>
      <c r="J15" s="39">
        <f>H15-G15</f>
        <v>1.2700000000000031</v>
      </c>
      <c r="K15" s="7"/>
    </row>
    <row r="16">
      <c r="A16" s="1"/>
      <c r="B16" s="18" t="s">
        <v>385</v>
      </c>
      <c r="C16" s="50">
        <v>45764</v>
      </c>
      <c r="D16" s="44" t="s">
        <v>79</v>
      </c>
      <c r="E16" s="42">
        <v>0.57</v>
      </c>
      <c r="F16" s="42">
        <v>0.59</v>
      </c>
      <c r="G16" s="3">
        <f>AVERAGE(E16:F16)</f>
        <v>0.58</v>
      </c>
      <c r="H16" s="37">
        <f>'Income Statement'!D19</f>
        <v>0.5861819334498475</v>
      </c>
      <c r="I16" s="44" t="str">
        <f>IF(H16&gt;F16,"Beat (above range)",IF(H16&gt;=G16,"Beat (upper half)",IF(H16&gt;=E16,"Miss (lower half)","Miss (below range)")))</f>
        <v>Beat (upper half)</v>
      </c>
      <c r="J16" s="3">
        <f>(H16-G16)</f>
        <v>0.006181933449847521</v>
      </c>
      <c r="K16" s="7"/>
    </row>
    <row r="17">
      <c r="A17" s="1"/>
      <c r="B17" s="18" t="s">
        <v>386</v>
      </c>
      <c r="C17" s="50">
        <v>45764</v>
      </c>
      <c r="D17" s="44" t="s">
        <v>79</v>
      </c>
      <c r="E17" s="42">
        <v>0.47</v>
      </c>
      <c r="F17" s="42">
        <v>0.49</v>
      </c>
      <c r="G17" s="3">
        <f>AVERAGE(E17:F17)</f>
        <v>0.48</v>
      </c>
      <c r="H17" s="37">
        <f>'Income Statement'!D49</f>
        <v>0.4962796854117405</v>
      </c>
      <c r="I17" s="44" t="str">
        <f>IF(H17&gt;F17,"Beat (above range)",IF(H17&gt;=G17,"Beat (upper half)",IF(H17&gt;=E17,"Miss (lower half)","Miss (below range)")))</f>
        <v>Beat (above range)</v>
      </c>
      <c r="J17" s="3">
        <f>(H17-G17)</f>
        <v>0.01627968541174052</v>
      </c>
      <c r="K17" s="7"/>
    </row>
    <row r="18">
      <c r="A18" s="1"/>
      <c r="B18" s="5" t="s">
        <v>387</v>
      </c>
      <c r="C18" s="45">
        <v>45764</v>
      </c>
      <c r="D18" s="4" t="s">
        <v>79</v>
      </c>
      <c r="E18" s="40">
        <v>32.5</v>
      </c>
      <c r="F18" s="40">
        <v>32.5</v>
      </c>
      <c r="G18" s="54">
        <f>AVERAGE(E18:F18)</f>
        <v>32.5</v>
      </c>
      <c r="H18" s="52">
        <f>'Revenue summary'!D27</f>
        <v>31.05</v>
      </c>
      <c r="I18" s="4" t="s">
        <v>383</v>
      </c>
      <c r="J18" s="54">
        <f>H18-G18</f>
        <v>-1.4499999999999993</v>
      </c>
      <c r="K18" s="7"/>
    </row>
    <row r="19">
      <c r="A19" s="1"/>
      <c r="B19" s="5" t="s">
        <v>388</v>
      </c>
      <c r="C19" s="45">
        <v>45855</v>
      </c>
      <c r="D19" s="4" t="s">
        <v>80</v>
      </c>
      <c r="E19" s="38">
        <v>31.8</v>
      </c>
      <c r="F19" s="38">
        <v>33</v>
      </c>
      <c r="G19" s="39">
        <f>AVERAGE(E19:F19)</f>
        <v>32.4</v>
      </c>
      <c r="H19" s="65">
        <f>'Revenue summary'!E30/1000</f>
        <v>33.1</v>
      </c>
      <c r="I19" s="4" t="str">
        <f>IF(H19&gt;F19,"Beat (above range)",IF(H19&gt;=G19,"Beat (upper half)",IF(H19&gt;=E19,"Miss (lower half)","Miss (below range)")))</f>
        <v>Beat (above range)</v>
      </c>
      <c r="J19" s="39">
        <f>H19-G19</f>
        <v>0.7000000000000028</v>
      </c>
      <c r="K19" s="7"/>
    </row>
    <row r="20">
      <c r="A20" s="1"/>
      <c r="B20" s="18" t="s">
        <v>389</v>
      </c>
      <c r="C20" s="50">
        <v>45855</v>
      </c>
      <c r="D20" s="44" t="s">
        <v>80</v>
      </c>
      <c r="E20" s="42">
        <v>0.555</v>
      </c>
      <c r="F20" s="42">
        <v>0.575</v>
      </c>
      <c r="G20" s="3">
        <f>AVERAGE(E20:F20)</f>
        <v>0.565</v>
      </c>
      <c r="H20" s="37">
        <f>'Income Statement'!E19</f>
        <v>0.5945320723534676</v>
      </c>
      <c r="I20" s="44" t="str">
        <f>IF(H20&gt;F20,"Beat (above range)",IF(H20&gt;=G20,"Beat (upper half)",IF(H20&gt;=E20,"Miss (lower half)","Miss (below range)")))</f>
        <v>Beat (above range)</v>
      </c>
      <c r="J20" s="3">
        <f>(H20-G20)</f>
        <v>0.029532072353467664</v>
      </c>
      <c r="K20" s="7"/>
    </row>
    <row r="21">
      <c r="A21" s="1"/>
      <c r="B21" s="18" t="s">
        <v>390</v>
      </c>
      <c r="C21" s="50">
        <v>45855</v>
      </c>
      <c r="D21" s="44" t="s">
        <v>80</v>
      </c>
      <c r="E21" s="42">
        <v>0.455</v>
      </c>
      <c r="F21" s="42">
        <v>0.475</v>
      </c>
      <c r="G21" s="3">
        <f>AVERAGE(E21:F21)</f>
        <v>0.46499999999999997</v>
      </c>
      <c r="H21" s="37">
        <f>'Income Statement'!E49</f>
        <v>0.5057873480429692</v>
      </c>
      <c r="I21" s="44" t="str">
        <f>IF(H21&gt;F21,"Beat (above range)",IF(H21&gt;=G21,"Beat (upper half)",IF(H21&gt;=E21,"Miss (lower half)","Miss (below range)")))</f>
        <v>Beat (above range)</v>
      </c>
      <c r="J21" s="3">
        <f>(H21-G21)</f>
        <v>0.04078734804296924</v>
      </c>
      <c r="K21" s="7"/>
    </row>
    <row r="22">
      <c r="A22" s="1"/>
      <c r="B22" s="5" t="s">
        <v>391</v>
      </c>
      <c r="C22" s="45">
        <v>45855</v>
      </c>
      <c r="D22" s="4" t="s">
        <v>80</v>
      </c>
      <c r="E22" s="40">
        <v>29</v>
      </c>
      <c r="F22" s="40">
        <v>29</v>
      </c>
      <c r="G22" s="54">
        <f>AVERAGE(E22:F22)</f>
        <v>29</v>
      </c>
      <c r="H22" s="52">
        <f>'Revenue summary'!E27</f>
        <v>29.91</v>
      </c>
      <c r="I22" s="4" t="s">
        <v>383</v>
      </c>
      <c r="J22" s="54">
        <f>H22-G22</f>
        <v>0.9100000000000001</v>
      </c>
      <c r="K22" s="7"/>
    </row>
    <row r="23">
      <c r="A23" s="1"/>
      <c r="B23" s="5" t="s">
        <v>392</v>
      </c>
      <c r="C23" s="45">
        <v>45946</v>
      </c>
      <c r="D23" s="4" t="s">
        <v>81</v>
      </c>
      <c r="E23" s="38">
        <v>32.2</v>
      </c>
      <c r="F23" s="38">
        <v>33.4</v>
      </c>
      <c r="G23" s="39">
        <f>AVERAGE(E23:F23)</f>
        <v>32.8</v>
      </c>
      <c r="H23" s="65">
        <f>'Revenue summary'!F30/1000</f>
        <v>33.73</v>
      </c>
      <c r="I23" s="4" t="str">
        <f>IF(H23&gt;F23,"Beat (above range)",IF(H23&gt;=G23,"Beat (upper half)",IF(H23&gt;=E23,"Miss (lower half)","Miss (below range)")))</f>
        <v>Beat (above range)</v>
      </c>
      <c r="J23" s="39">
        <f>H23-G23</f>
        <v>0.9299999999999997</v>
      </c>
      <c r="K23" s="7"/>
    </row>
    <row r="24">
      <c r="A24" s="1"/>
      <c r="B24" s="18" t="s">
        <v>393</v>
      </c>
      <c r="C24" s="50">
        <v>45946</v>
      </c>
      <c r="D24" s="44" t="s">
        <v>81</v>
      </c>
      <c r="E24" s="42">
        <v>0.59</v>
      </c>
      <c r="F24" s="42">
        <v>0.61</v>
      </c>
      <c r="G24" s="3">
        <f>AVERAGE(E24:F24)</f>
        <v>0.6</v>
      </c>
      <c r="H24" s="37">
        <f>'Income Statement'!F19</f>
        <v>0.6232637727155407</v>
      </c>
      <c r="I24" s="44" t="str">
        <f>IF(H24&gt;F24,"Beat (above range)",IF(H24&gt;=G24,"Beat (upper half)",IF(H24&gt;=E24,"Miss (lower half)","Miss (below range)")))</f>
        <v>Beat (above range)</v>
      </c>
      <c r="J24" s="3">
        <f>(H24-G24)</f>
        <v>0.023263772715540698</v>
      </c>
      <c r="K24" s="7"/>
    </row>
    <row r="25">
      <c r="A25" s="1"/>
      <c r="B25" s="18" t="s">
        <v>394</v>
      </c>
      <c r="C25" s="50">
        <v>45946</v>
      </c>
      <c r="D25" s="44" t="s">
        <v>81</v>
      </c>
      <c r="E25" s="42">
        <v>0.49</v>
      </c>
      <c r="F25" s="42">
        <v>0.51</v>
      </c>
      <c r="G25" s="3">
        <f>AVERAGE(E25:F25)</f>
        <v>0.5</v>
      </c>
      <c r="H25" s="37">
        <f>'Income Statement'!F49</f>
        <v>0.5400108977239052</v>
      </c>
      <c r="I25" s="44" t="str">
        <f>IF(H25&gt;F25,"Beat (above range)",IF(H25&gt;=G25,"Beat (upper half)",IF(H25&gt;=E25,"Miss (lower half)","Miss (below range)")))</f>
        <v>Beat (above range)</v>
      </c>
      <c r="J25" s="3">
        <f>(H25-G25)</f>
        <v>0.0400108977239052</v>
      </c>
      <c r="K25" s="7"/>
    </row>
    <row r="26">
      <c r="A26" s="1"/>
      <c r="B26" s="5" t="s">
        <v>395</v>
      </c>
      <c r="C26" s="45">
        <v>45946</v>
      </c>
      <c r="D26" s="4" t="s">
        <v>81</v>
      </c>
      <c r="E26" s="40">
        <v>30.6</v>
      </c>
      <c r="F26" s="40">
        <v>30.6</v>
      </c>
      <c r="G26" s="54">
        <f>AVERAGE(E26:F26)</f>
        <v>30.6</v>
      </c>
      <c r="H26" s="52">
        <f>'Revenue summary'!F27</f>
        <v>31.01</v>
      </c>
      <c r="I26" s="4" t="s">
        <v>383</v>
      </c>
      <c r="J26" s="54">
        <f>H26-G26</f>
        <v>0.41000000000000014</v>
      </c>
      <c r="K26" s="7"/>
    </row>
    <row r="27">
      <c r="A27" s="1"/>
      <c r="B27" s="5" t="s">
        <v>396</v>
      </c>
      <c r="C27" s="45">
        <v>46037</v>
      </c>
      <c r="D27" s="4" t="s">
        <v>83</v>
      </c>
      <c r="E27" s="38">
        <v>34.6</v>
      </c>
      <c r="F27" s="38">
        <v>35.8</v>
      </c>
      <c r="G27" s="39">
        <f>AVERAGE(E27:F27)</f>
        <v>35.2</v>
      </c>
      <c r="H27" s="65">
        <f>'Revenue summary'!H30/1000</f>
        <v>35.9</v>
      </c>
      <c r="I27" s="4" t="str">
        <f>IF(H27&gt;F27,"Beat (above range)",IF(H27&gt;=G27,"Beat (upper half)",IF(H27&gt;=E27,"Miss (lower half)","Miss (below range)")))</f>
        <v>Beat (above range)</v>
      </c>
      <c r="J27" s="39">
        <f>H27-G27</f>
        <v>0.6999999999999957</v>
      </c>
      <c r="K27" s="7"/>
    </row>
    <row r="28">
      <c r="A28" s="1"/>
      <c r="B28" s="18" t="s">
        <v>397</v>
      </c>
      <c r="C28" s="50">
        <v>46037</v>
      </c>
      <c r="D28" s="44" t="s">
        <v>83</v>
      </c>
      <c r="E28" s="42">
        <v>0.63</v>
      </c>
      <c r="F28" s="42">
        <v>0.65</v>
      </c>
      <c r="G28" s="3">
        <f>AVERAGE(E28:F28)</f>
        <v>0.64</v>
      </c>
      <c r="H28" s="37">
        <f>'Income Statement'!H19</f>
        <v>0.6624645204183395</v>
      </c>
      <c r="I28" s="44" t="str">
        <f>IF(H28&gt;F28,"Beat (above range)",IF(H28&gt;=G28,"Beat (upper half)",IF(H28&gt;=E28,"Miss (lower half)","Miss (below range)")))</f>
        <v>Beat (above range)</v>
      </c>
      <c r="J28" s="3">
        <f>(H28-G28)</f>
        <v>0.022464520418339462</v>
      </c>
      <c r="K28" s="7"/>
    </row>
    <row r="29">
      <c r="A29" s="1"/>
      <c r="B29" s="18" t="s">
        <v>398</v>
      </c>
      <c r="C29" s="50">
        <v>46037</v>
      </c>
      <c r="D29" s="44" t="s">
        <v>83</v>
      </c>
      <c r="E29" s="42">
        <v>0.54</v>
      </c>
      <c r="F29" s="42">
        <v>0.56</v>
      </c>
      <c r="G29" s="3">
        <f>AVERAGE(E29:F29)</f>
        <v>0.55</v>
      </c>
      <c r="H29" s="37">
        <f>'Income Statement'!H49</f>
        <v>0.5810521619288548</v>
      </c>
      <c r="I29" s="44" t="str">
        <f>IF(H29&gt;F29,"Beat (above range)",IF(H29&gt;=G29,"Beat (upper half)",IF(H29&gt;=E29,"Miss (lower half)","Miss (below range)")))</f>
        <v>Beat (above range)</v>
      </c>
      <c r="J29" s="3">
        <f>(H29-G29)</f>
        <v>0.031052161928854738</v>
      </c>
      <c r="K29" s="7"/>
    </row>
    <row r="30">
      <c r="A30" s="1"/>
      <c r="B30" s="5" t="s">
        <v>399</v>
      </c>
      <c r="C30" s="45">
        <v>46037</v>
      </c>
      <c r="D30" s="4" t="s">
        <v>83</v>
      </c>
      <c r="E30" s="40">
        <v>31.6</v>
      </c>
      <c r="F30" s="40">
        <v>31.6</v>
      </c>
      <c r="G30" s="54">
        <f>AVERAGE(E30:F30)</f>
        <v>31.6</v>
      </c>
      <c r="H30" s="52">
        <f>'Revenue summary'!H27</f>
        <v>31.59</v>
      </c>
      <c r="I30" s="4" t="s">
        <v>383</v>
      </c>
      <c r="J30" s="54">
        <f>H30-G30</f>
        <v>-0.010000000000001563</v>
      </c>
      <c r="K30" s="7"/>
    </row>
    <row r="31">
      <c r="A31" s="1"/>
      <c r="B31" s="5" t="s">
        <v>400</v>
      </c>
      <c r="C31" s="45">
        <v>46128</v>
      </c>
      <c r="D31" s="4" t="s">
        <v>84</v>
      </c>
      <c r="E31" s="38">
        <v>39</v>
      </c>
      <c r="F31" s="38">
        <v>40.2</v>
      </c>
      <c r="G31" s="39">
        <f>AVERAGE(E31:F31)</f>
        <v>39.6</v>
      </c>
      <c r="H31" s="65">
        <f>'Revenue summary'!I30/1000</f>
        <v>40.2</v>
      </c>
      <c r="I31" s="4" t="str">
        <f>IF(H31&gt;F31,"Beat (above range)",IF(H31&gt;=G31,"Beat (upper half)",IF(H31&gt;=E31,"Miss (lower half)","Miss (below range)")))</f>
        <v>Beat (upper half)</v>
      </c>
      <c r="J31" s="39">
        <f>H31-G31</f>
        <v>0.6000000000000014</v>
      </c>
      <c r="K31" s="7"/>
    </row>
    <row r="32">
      <c r="A32" s="1"/>
      <c r="B32" s="18" t="s">
        <v>401</v>
      </c>
      <c r="C32" s="50">
        <v>46128</v>
      </c>
      <c r="D32" s="44" t="s">
        <v>84</v>
      </c>
      <c r="E32" s="42">
        <v>0.655</v>
      </c>
      <c r="F32" s="42">
        <v>0.675</v>
      </c>
      <c r="G32" s="3">
        <f>AVERAGE(E32:F32)</f>
        <v>0.665</v>
      </c>
      <c r="H32" s="37">
        <f>'Income Statement'!I19</f>
        <v>0.6772068200066121</v>
      </c>
      <c r="I32" s="44" t="str">
        <f>IF(H32&gt;F32,"Beat (above range)",IF(H32&gt;=G32,"Beat (upper half)",IF(H32&gt;=E32,"Miss (lower half)","Miss (below range)")))</f>
        <v>Beat (above range)</v>
      </c>
      <c r="J32" s="3">
        <f>(H32-G32)</f>
        <v>0.012206820006612107</v>
      </c>
      <c r="K32" s="7"/>
    </row>
    <row r="33">
      <c r="A33" s="1"/>
      <c r="B33" s="18" t="s">
        <v>402</v>
      </c>
      <c r="C33" s="50">
        <v>46128</v>
      </c>
      <c r="D33" s="44" t="s">
        <v>84</v>
      </c>
      <c r="E33" s="42">
        <v>0.565</v>
      </c>
      <c r="F33" s="42">
        <v>0.585</v>
      </c>
      <c r="G33" s="3">
        <f>AVERAGE(E33:F33)</f>
        <v>0.575</v>
      </c>
      <c r="H33" s="37">
        <f>'Income Statement'!I49</f>
        <v>0.6034414899478896</v>
      </c>
      <c r="I33" s="44" t="str">
        <f>IF(H33&gt;F33,"Beat (above range)",IF(H33&gt;=G33,"Beat (upper half)",IF(H33&gt;=E33,"Miss (lower half)","Miss (below range)")))</f>
        <v>Beat (above range)</v>
      </c>
      <c r="J33" s="3">
        <f>(H33-G33)</f>
        <v>0.028441489947889642</v>
      </c>
      <c r="K33" s="7"/>
    </row>
    <row r="34">
      <c r="A34" s="1"/>
      <c r="B34" s="5" t="s">
        <v>403</v>
      </c>
      <c r="C34" s="45">
        <v>46128</v>
      </c>
      <c r="D34" s="4" t="s">
        <v>84</v>
      </c>
      <c r="E34" s="40">
        <v>31.7</v>
      </c>
      <c r="F34" s="40">
        <v>31.7</v>
      </c>
      <c r="G34" s="54">
        <f>AVERAGE(E34:F34)</f>
        <v>31.7</v>
      </c>
      <c r="H34" s="52">
        <f>'Revenue summary'!I27</f>
        <v>31.6</v>
      </c>
      <c r="I34" s="4" t="s">
        <v>383</v>
      </c>
      <c r="J34" s="54">
        <f>H34-G34</f>
        <v>-0.09999999999999787</v>
      </c>
      <c r="K34" s="7"/>
    </row>
    <row r="35">
      <c r="A35" s="1"/>
      <c r="B35" s="5" t="s">
        <v>404</v>
      </c>
      <c r="C35" s="45">
        <v>46219</v>
      </c>
      <c r="D35" s="4" t="s">
        <v>4</v>
      </c>
      <c r="E35" s="38">
        <v>44.6</v>
      </c>
      <c r="F35" s="38">
        <v>45.8</v>
      </c>
      <c r="G35" s="39">
        <f>AVERAGE(E35:F35)</f>
        <v>45.2</v>
      </c>
      <c r="H35" s="65">
        <f>'Revenue summary'!J30/1000</f>
        <v>46.70078540822163</v>
      </c>
      <c r="I35" s="4" t="s">
        <v>405</v>
      </c>
      <c r="J35" s="39">
        <f>H35-G35</f>
        <v>1.500785408221624</v>
      </c>
      <c r="K35" s="7" t="s">
        <v>406</v>
      </c>
    </row>
    <row r="36">
      <c r="A36" s="1"/>
      <c r="B36" s="18" t="s">
        <v>407</v>
      </c>
      <c r="C36" s="50">
        <v>46219</v>
      </c>
      <c r="D36" s="44" t="s">
        <v>4</v>
      </c>
      <c r="E36" s="42">
        <v>0.65</v>
      </c>
      <c r="F36" s="42">
        <v>0.67</v>
      </c>
      <c r="G36" s="3">
        <f>AVERAGE(E36:F36)</f>
        <v>0.66</v>
      </c>
      <c r="H36" s="37">
        <f>'Income Statement'!J19</f>
        <v>0.672</v>
      </c>
      <c r="I36" s="44" t="s">
        <v>405</v>
      </c>
      <c r="J36" s="3">
        <f>(H36-G36)</f>
        <v>0.01200000000000001</v>
      </c>
      <c r="K36" s="7"/>
    </row>
    <row r="37">
      <c r="A37" s="1"/>
      <c r="B37" s="18" t="s">
        <v>408</v>
      </c>
      <c r="C37" s="50">
        <v>46219</v>
      </c>
      <c r="D37" s="44" t="s">
        <v>4</v>
      </c>
      <c r="E37" s="42">
        <v>0.56</v>
      </c>
      <c r="F37" s="42">
        <v>0.58</v>
      </c>
      <c r="G37" s="3">
        <f>AVERAGE(E37:F37)</f>
        <v>0.5700000000000001</v>
      </c>
      <c r="H37" s="37">
        <f>'Income Statement'!J49</f>
        <v>0.6021192644034471</v>
      </c>
      <c r="I37" s="44" t="s">
        <v>405</v>
      </c>
      <c r="J37" s="3">
        <f>(H37-G37)</f>
        <v>0.032119264403447034</v>
      </c>
      <c r="K37" s="7"/>
    </row>
    <row r="38">
      <c r="A38" s="1"/>
      <c r="B38" s="5" t="s">
        <v>409</v>
      </c>
      <c r="C38" s="45">
        <v>46219</v>
      </c>
      <c r="D38" s="4" t="s">
        <v>4</v>
      </c>
      <c r="E38" s="40">
        <v>32</v>
      </c>
      <c r="F38" s="40">
        <v>32</v>
      </c>
      <c r="G38" s="54">
        <f>AVERAGE(E38:F38)</f>
        <v>32</v>
      </c>
      <c r="H38" s="134">
        <f>'Revenue summary'!J27</f>
        <v>31.9961</v>
      </c>
      <c r="I38" s="4" t="s">
        <v>383</v>
      </c>
      <c r="J38" s="139">
        <f>H38-G38</f>
        <v>-0.003900000000001569</v>
      </c>
      <c r="K38" s="7"/>
    </row>
    <row r="39">
      <c r="A39" s="1"/>
      <c r="B39" s="5" t="s">
        <v>410</v>
      </c>
      <c r="C39" s="45">
        <v>46037</v>
      </c>
      <c r="D39" s="4" t="s">
        <v>411</v>
      </c>
      <c r="E39" s="6" t="s">
        <v>412</v>
      </c>
      <c r="F39" s="4"/>
      <c r="G39" s="4"/>
      <c r="H39" s="4" t="s">
        <v>413</v>
      </c>
      <c r="I39" s="4" t="s">
        <v>38</v>
      </c>
      <c r="J39" s="4" t="s">
        <v>38</v>
      </c>
      <c r="K39" s="7"/>
    </row>
    <row r="40">
      <c r="A40" s="1"/>
      <c r="B40" s="5" t="s">
        <v>410</v>
      </c>
      <c r="C40" s="45">
        <v>46219</v>
      </c>
      <c r="D40" s="4" t="s">
        <v>411</v>
      </c>
      <c r="E40" s="6" t="s">
        <v>414</v>
      </c>
      <c r="F40" s="4"/>
      <c r="G40" s="4"/>
      <c r="H40" s="4" t="s">
        <v>413</v>
      </c>
      <c r="I40" s="4" t="s">
        <v>38</v>
      </c>
      <c r="J40" s="4" t="s">
        <v>38</v>
      </c>
      <c r="K40" s="7"/>
    </row>
    <row r="41">
      <c r="A41" s="1"/>
      <c r="B41" s="5" t="s">
        <v>415</v>
      </c>
      <c r="C41" s="45">
        <v>46037</v>
      </c>
      <c r="D41" s="4" t="s">
        <v>411</v>
      </c>
      <c r="E41" s="38">
        <v>52</v>
      </c>
      <c r="F41" s="38">
        <v>56</v>
      </c>
      <c r="G41" s="39">
        <f>AVERAGE(E41:F41)</f>
        <v>54</v>
      </c>
      <c r="H41" s="39" t="s">
        <v>413</v>
      </c>
      <c r="I41" s="4" t="s">
        <v>416</v>
      </c>
      <c r="J41" s="39" t="s">
        <v>38</v>
      </c>
      <c r="K41" s="7"/>
    </row>
    <row r="42">
      <c r="A42" s="1"/>
      <c r="B42" s="5" t="s">
        <v>415</v>
      </c>
      <c r="C42" s="45">
        <v>46219</v>
      </c>
      <c r="D42" s="4" t="s">
        <v>411</v>
      </c>
      <c r="E42" s="38">
        <v>60</v>
      </c>
      <c r="F42" s="38">
        <v>64</v>
      </c>
      <c r="G42" s="39">
        <f>AVERAGE(E42:F42)</f>
        <v>62</v>
      </c>
      <c r="H42" s="39" t="s">
        <v>413</v>
      </c>
      <c r="I42" s="4" t="s">
        <v>38</v>
      </c>
      <c r="J42" s="39" t="s">
        <v>38</v>
      </c>
      <c r="K42" s="7"/>
    </row>
    <row r="43">
      <c r="A43" s="1"/>
      <c r="B43" s="5"/>
      <c r="C43" s="4"/>
      <c r="D43" s="4"/>
      <c r="E43" s="4"/>
      <c r="F43" s="4"/>
      <c r="G43" s="4"/>
      <c r="H43" s="4"/>
      <c r="I43" s="4"/>
      <c r="J43" s="4"/>
      <c r="K43" s="7"/>
    </row>
    <row r="44">
      <c r="A44" s="1"/>
      <c r="B44" s="11" t="s">
        <v>417</v>
      </c>
      <c r="C44" s="22"/>
      <c r="D44" s="22"/>
      <c r="E44" s="22"/>
      <c r="F44" s="22"/>
      <c r="G44" s="22"/>
      <c r="H44" s="22"/>
      <c r="I44" s="22"/>
      <c r="J44" s="22"/>
      <c r="K44" s="7"/>
    </row>
    <row r="45">
      <c r="A45" s="1"/>
      <c r="B45" s="5" t="s">
        <v>418</v>
      </c>
      <c r="C45" s="39">
        <f>AVERAGE(J11,J15,J19,J23,J27,J31)</f>
        <v>0.7216666666666676</v>
      </c>
      <c r="D45" s="4"/>
      <c r="E45" s="39"/>
      <c r="F45" s="39"/>
      <c r="G45" s="39"/>
      <c r="H45" s="39"/>
      <c r="I45" s="4"/>
      <c r="J45" s="39"/>
      <c r="K45" s="7"/>
    </row>
    <row r="46">
      <c r="A46" s="1"/>
      <c r="B46" s="18" t="s">
        <v>419</v>
      </c>
      <c r="C46" s="43">
        <f>AVERAGE(J12,J16,J20,J24,J28,J32)*10000</f>
        <v>169.26158562657278</v>
      </c>
      <c r="D46" s="44"/>
      <c r="E46" s="43"/>
      <c r="F46" s="43"/>
      <c r="G46" s="43"/>
      <c r="H46" s="43"/>
      <c r="I46" s="44"/>
      <c r="J46" s="43"/>
      <c r="K46" s="7"/>
    </row>
    <row r="47">
      <c r="A47" s="1"/>
      <c r="B47" s="18" t="s">
        <v>420</v>
      </c>
      <c r="C47" s="43">
        <f>AVERAGE(J13,J17,J21,J25,J29,J33)*10000</f>
        <v>277.71027874267423</v>
      </c>
      <c r="D47" s="44"/>
      <c r="E47" s="43"/>
      <c r="F47" s="43"/>
      <c r="G47" s="43"/>
      <c r="H47" s="43"/>
      <c r="I47" s="44"/>
      <c r="J47" s="43"/>
      <c r="K47" s="7"/>
    </row>
    <row r="48">
      <c r="A48" s="1"/>
      <c r="B48" s="5" t="s">
        <v>421</v>
      </c>
      <c r="C48" s="66">
        <f>(H12&gt;F12)+(H16&gt;F16)+(H20&gt;F20)+(H24&gt;F24)+(H28&gt;F28)+(H32&gt;F32)</f>
        <v>4</v>
      </c>
      <c r="D48" s="4"/>
      <c r="E48" s="66"/>
      <c r="F48" s="66"/>
      <c r="G48" s="66"/>
      <c r="H48" s="66"/>
      <c r="I48" s="4"/>
      <c r="J48" s="66"/>
      <c r="K48" s="7"/>
    </row>
    <row r="49">
      <c r="A49" s="1"/>
      <c r="B49" s="5"/>
      <c r="C49" s="4"/>
      <c r="D49" s="4"/>
      <c r="E49" s="4"/>
      <c r="F49" s="4"/>
      <c r="G49" s="4"/>
      <c r="H49" s="4"/>
      <c r="I49" s="4"/>
      <c r="J49" s="4"/>
      <c r="K49" s="7"/>
    </row>
    <row r="50">
      <c r="A50" s="1"/>
      <c r="B50" s="11" t="s">
        <v>422</v>
      </c>
      <c r="C50" s="22"/>
      <c r="D50" s="22"/>
      <c r="E50" s="22"/>
      <c r="F50" s="22"/>
      <c r="G50" s="22"/>
      <c r="H50" s="22"/>
      <c r="I50" s="22"/>
      <c r="J50" s="22"/>
      <c r="K50" s="7"/>
    </row>
    <row r="51">
      <c r="A51" s="1"/>
      <c r="B51" s="5" t="s">
        <v>423</v>
      </c>
      <c r="C51" s="12">
        <f>G35*G38*1000</f>
        <v>1446400</v>
      </c>
      <c r="D51" s="4"/>
      <c r="E51" s="12"/>
      <c r="F51" s="12"/>
      <c r="G51" s="12"/>
      <c r="H51" s="12"/>
      <c r="I51" s="4"/>
      <c r="J51" s="12"/>
      <c r="K51" s="7"/>
    </row>
    <row r="52">
      <c r="A52" s="1"/>
      <c r="B52" s="5" t="s">
        <v>424</v>
      </c>
      <c r="C52" s="12">
        <f>C51*G37</f>
        <v>824448.0000000001</v>
      </c>
      <c r="D52" s="4"/>
      <c r="E52" s="12"/>
      <c r="F52" s="12"/>
      <c r="G52" s="12"/>
      <c r="H52" s="12"/>
      <c r="I52" s="4"/>
      <c r="J52" s="12"/>
      <c r="K52" s="7"/>
    </row>
    <row r="53">
      <c r="A53" s="1"/>
      <c r="B53" s="5" t="s">
        <v>425</v>
      </c>
      <c r="C53" s="41">
        <f>'Income Statement'!J62</f>
        <v>29400</v>
      </c>
      <c r="D53" s="4"/>
      <c r="E53" s="12"/>
      <c r="F53" s="12"/>
      <c r="G53" s="12"/>
      <c r="H53" s="12"/>
      <c r="I53" s="4"/>
      <c r="J53" s="12"/>
      <c r="K53" s="7"/>
    </row>
    <row r="54">
      <c r="A54" s="1"/>
      <c r="B54" s="11" t="s">
        <v>426</v>
      </c>
      <c r="C54" s="14">
        <f>C52+C53</f>
        <v>853848.0000000001</v>
      </c>
      <c r="D54" s="58"/>
      <c r="E54" s="14"/>
      <c r="F54" s="14"/>
      <c r="G54" s="14"/>
      <c r="H54" s="14"/>
      <c r="I54" s="58"/>
      <c r="J54" s="14"/>
      <c r="K54" s="7"/>
    </row>
    <row r="55">
      <c r="A55" s="1"/>
      <c r="B55" s="5" t="s">
        <v>427</v>
      </c>
      <c r="C55" s="41">
        <f>-C54*'Income Statement'!J74</f>
        <v>-132346.44000000003</v>
      </c>
      <c r="D55" s="4"/>
      <c r="E55" s="12"/>
      <c r="F55" s="12"/>
      <c r="G55" s="12"/>
      <c r="H55" s="12"/>
      <c r="I55" s="4"/>
      <c r="J55" s="12"/>
      <c r="K55" s="7"/>
    </row>
    <row r="56">
      <c r="A56" s="1"/>
      <c r="B56" s="5" t="s">
        <v>428</v>
      </c>
      <c r="C56" s="41">
        <f>-'Income Statement'!J78</f>
        <v>-271.5</v>
      </c>
      <c r="D56" s="4"/>
      <c r="E56" s="12"/>
      <c r="F56" s="12"/>
      <c r="G56" s="12"/>
      <c r="H56" s="12"/>
      <c r="I56" s="4"/>
      <c r="J56" s="12"/>
      <c r="K56" s="7"/>
    </row>
    <row r="57">
      <c r="A57" s="1"/>
      <c r="B57" s="11" t="s">
        <v>429</v>
      </c>
      <c r="C57" s="14">
        <f>C54+C55+C56</f>
        <v>721230.06</v>
      </c>
      <c r="D57" s="58"/>
      <c r="E57" s="14"/>
      <c r="F57" s="14"/>
      <c r="G57" s="14"/>
      <c r="H57" s="14"/>
      <c r="I57" s="58"/>
      <c r="J57" s="14"/>
      <c r="K57" s="7"/>
    </row>
    <row r="58">
      <c r="A58" s="1"/>
      <c r="B58" s="5" t="s">
        <v>430</v>
      </c>
      <c r="C58" s="53">
        <f>C57/'Share Count'!J17</f>
        <v>27.812603311975877</v>
      </c>
      <c r="D58" s="4"/>
      <c r="E58" s="16"/>
      <c r="F58" s="16"/>
      <c r="G58" s="16"/>
      <c r="H58" s="16"/>
      <c r="I58" s="4"/>
      <c r="J58" s="16"/>
      <c r="K58" s="7"/>
    </row>
    <row r="59">
      <c r="A59" s="1"/>
      <c r="B59" s="11" t="s">
        <v>431</v>
      </c>
      <c r="C59" s="64">
        <f>C58*'Share Count'!J26/G38</f>
        <v>4.34571926749623</v>
      </c>
      <c r="D59" s="58"/>
      <c r="E59" s="71"/>
      <c r="F59" s="71"/>
      <c r="G59" s="71"/>
      <c r="H59" s="71"/>
      <c r="I59" s="58"/>
      <c r="J59" s="71"/>
      <c r="K59" s="7"/>
    </row>
    <row r="60">
      <c r="A60" s="1"/>
      <c r="B60" s="5" t="s">
        <v>432</v>
      </c>
      <c r="C60" s="65">
        <f>(G42-'Cash Flow Statement'!H68-'Cash Flow Statement'!I68)/2</f>
        <v>17.6</v>
      </c>
      <c r="D60" s="4"/>
      <c r="E60" s="39"/>
      <c r="F60" s="39"/>
      <c r="G60" s="39"/>
      <c r="H60" s="39"/>
      <c r="I60" s="4"/>
      <c r="J60" s="39"/>
      <c r="K60" s="7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3" width="12" customWidth="1"/>
    <col min="4" max="4" width="40" customWidth="1"/>
    <col min="5" max="5" width="74" customWidth="1"/>
    <col min="6" max="6" width="66" customWidth="1"/>
    <col min="7" max="7" width="27" customWidth="1"/>
    <col min="8" max="8" width="60" customWidth="1"/>
    <col min="9" max="10" width="12" customWidth="1"/>
    <col min="11" max="11" width="8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433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434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48" t="s">
        <v>4</v>
      </c>
      <c r="D5" s="13"/>
      <c r="E5" s="13"/>
      <c r="F5" s="13"/>
      <c r="G5" s="13"/>
      <c r="H5" s="13"/>
      <c r="I5" s="13"/>
      <c r="J5" s="13"/>
      <c r="K5" s="19"/>
    </row>
    <row r="6">
      <c r="A6" s="1"/>
      <c r="B6" s="49" t="s">
        <v>5</v>
      </c>
      <c r="C6" s="32">
        <v>46295</v>
      </c>
      <c r="D6" s="28"/>
      <c r="E6" s="28"/>
      <c r="F6" s="28"/>
      <c r="G6" s="28"/>
      <c r="H6" s="28"/>
      <c r="I6" s="28"/>
      <c r="J6" s="28"/>
      <c r="K6" s="17"/>
    </row>
    <row r="7">
      <c r="A7" s="1"/>
      <c r="B7" s="30" t="s">
        <v>6</v>
      </c>
      <c r="C7" s="21">
        <f>C6-DATE(2026,6,30)</f>
        <v>92</v>
      </c>
      <c r="D7" s="27"/>
      <c r="E7" s="27"/>
      <c r="F7" s="27"/>
      <c r="G7" s="27"/>
      <c r="H7" s="27"/>
      <c r="I7" s="27"/>
      <c r="J7" s="27"/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23" t="s">
        <v>435</v>
      </c>
      <c r="C9" s="137" t="s">
        <v>62</v>
      </c>
      <c r="D9" s="10" t="s">
        <v>436</v>
      </c>
      <c r="E9" s="10" t="s">
        <v>437</v>
      </c>
      <c r="F9" s="10" t="s">
        <v>438</v>
      </c>
      <c r="G9" s="10" t="s">
        <v>439</v>
      </c>
      <c r="H9" s="10" t="s">
        <v>440</v>
      </c>
      <c r="I9" s="10"/>
      <c r="J9" s="10"/>
      <c r="K9" s="7"/>
    </row>
    <row r="10">
      <c r="A10" s="1"/>
      <c r="B10" s="5" t="s">
        <v>441</v>
      </c>
      <c r="C10" s="136">
        <v>46306</v>
      </c>
      <c r="D10" s="6" t="s">
        <v>442</v>
      </c>
      <c r="E10" s="6" t="s">
        <v>443</v>
      </c>
      <c r="F10" s="6" t="s">
        <v>444</v>
      </c>
      <c r="G10" s="6" t="s">
        <v>445</v>
      </c>
      <c r="H10" s="6" t="s">
        <v>446</v>
      </c>
      <c r="I10" s="6"/>
      <c r="J10" s="6"/>
      <c r="K10" s="7"/>
    </row>
    <row r="11">
      <c r="A11" s="1"/>
      <c r="B11" s="5" t="s">
        <v>447</v>
      </c>
      <c r="C11" s="136">
        <v>46306</v>
      </c>
      <c r="D11" s="6" t="s">
        <v>442</v>
      </c>
      <c r="E11" s="6" t="s">
        <v>448</v>
      </c>
      <c r="F11" s="6" t="s">
        <v>449</v>
      </c>
      <c r="G11" s="6" t="s">
        <v>445</v>
      </c>
      <c r="H11" s="6" t="s">
        <v>450</v>
      </c>
      <c r="I11" s="6"/>
      <c r="J11" s="6"/>
      <c r="K11" s="7"/>
    </row>
    <row r="12">
      <c r="A12" s="1"/>
      <c r="B12" s="5" t="s">
        <v>451</v>
      </c>
      <c r="C12" s="136">
        <v>46219</v>
      </c>
      <c r="D12" s="6" t="s">
        <v>452</v>
      </c>
      <c r="E12" s="6" t="s">
        <v>453</v>
      </c>
      <c r="F12" s="6" t="s">
        <v>454</v>
      </c>
      <c r="G12" s="6" t="s">
        <v>455</v>
      </c>
      <c r="H12" s="6" t="s">
        <v>456</v>
      </c>
      <c r="I12" s="6"/>
      <c r="J12" s="6"/>
      <c r="K12" s="7"/>
    </row>
    <row r="13">
      <c r="A13" s="1"/>
      <c r="B13" s="5" t="s">
        <v>457</v>
      </c>
      <c r="C13" s="136">
        <v>46219</v>
      </c>
      <c r="D13" s="6" t="s">
        <v>458</v>
      </c>
      <c r="E13" s="6" t="s">
        <v>459</v>
      </c>
      <c r="F13" s="6" t="s">
        <v>460</v>
      </c>
      <c r="G13" s="6" t="s">
        <v>455</v>
      </c>
      <c r="H13" s="6" t="s">
        <v>461</v>
      </c>
      <c r="I13" s="6"/>
      <c r="J13" s="6"/>
      <c r="K13" s="7"/>
    </row>
    <row r="14">
      <c r="A14" s="1"/>
      <c r="B14" s="5" t="s">
        <v>462</v>
      </c>
      <c r="C14" s="136">
        <v>46219</v>
      </c>
      <c r="D14" s="6" t="s">
        <v>463</v>
      </c>
      <c r="E14" s="6" t="s">
        <v>464</v>
      </c>
      <c r="F14" s="6" t="s">
        <v>465</v>
      </c>
      <c r="G14" s="6" t="s">
        <v>455</v>
      </c>
      <c r="H14" s="6" t="s">
        <v>466</v>
      </c>
      <c r="I14" s="6"/>
      <c r="J14" s="6"/>
      <c r="K14" s="7"/>
    </row>
    <row r="15">
      <c r="A15" s="1"/>
      <c r="B15" s="5" t="s">
        <v>467</v>
      </c>
      <c r="C15" s="136">
        <v>46245</v>
      </c>
      <c r="D15" s="6" t="s">
        <v>452</v>
      </c>
      <c r="E15" s="6" t="s">
        <v>468</v>
      </c>
      <c r="F15" s="6" t="s">
        <v>469</v>
      </c>
      <c r="G15" s="6" t="s">
        <v>455</v>
      </c>
      <c r="H15" s="6" t="s">
        <v>470</v>
      </c>
      <c r="I15" s="6"/>
      <c r="J15" s="6"/>
      <c r="K15" s="7"/>
    </row>
    <row r="16">
      <c r="A16" s="1"/>
      <c r="B16" s="5" t="s">
        <v>471</v>
      </c>
      <c r="C16" s="136">
        <v>46128</v>
      </c>
      <c r="D16" s="6" t="s">
        <v>452</v>
      </c>
      <c r="E16" s="6" t="s">
        <v>472</v>
      </c>
      <c r="F16" s="6" t="s">
        <v>473</v>
      </c>
      <c r="G16" s="6" t="s">
        <v>455</v>
      </c>
      <c r="H16" s="6" t="s">
        <v>474</v>
      </c>
      <c r="I16" s="6"/>
      <c r="J16" s="6"/>
      <c r="K16" s="7"/>
    </row>
    <row r="17">
      <c r="A17" s="1"/>
      <c r="B17" s="5" t="s">
        <v>475</v>
      </c>
      <c r="C17" s="136">
        <v>46128</v>
      </c>
      <c r="D17" s="6" t="s">
        <v>458</v>
      </c>
      <c r="E17" s="6" t="s">
        <v>476</v>
      </c>
      <c r="F17" s="6" t="s">
        <v>477</v>
      </c>
      <c r="G17" s="6" t="s">
        <v>455</v>
      </c>
      <c r="H17" s="6" t="s">
        <v>478</v>
      </c>
      <c r="I17" s="6"/>
      <c r="J17" s="6"/>
      <c r="K17" s="7"/>
    </row>
    <row r="18">
      <c r="A18" s="1"/>
      <c r="B18" s="5" t="s">
        <v>479</v>
      </c>
      <c r="C18" s="136">
        <v>46037</v>
      </c>
      <c r="D18" s="6" t="s">
        <v>452</v>
      </c>
      <c r="E18" s="6" t="s">
        <v>480</v>
      </c>
      <c r="F18" s="6" t="s">
        <v>481</v>
      </c>
      <c r="G18" s="6" t="s">
        <v>455</v>
      </c>
      <c r="H18" s="6" t="s">
        <v>482</v>
      </c>
      <c r="I18" s="6"/>
      <c r="J18" s="6"/>
      <c r="K18" s="7"/>
    </row>
    <row r="19">
      <c r="A19" s="1"/>
      <c r="B19" s="5" t="s">
        <v>483</v>
      </c>
      <c r="C19" s="136">
        <v>46037</v>
      </c>
      <c r="D19" s="6" t="s">
        <v>458</v>
      </c>
      <c r="E19" s="6" t="s">
        <v>484</v>
      </c>
      <c r="F19" s="6" t="s">
        <v>485</v>
      </c>
      <c r="G19" s="6" t="s">
        <v>455</v>
      </c>
      <c r="H19" s="6" t="s">
        <v>486</v>
      </c>
      <c r="I19" s="6"/>
      <c r="J19" s="6"/>
      <c r="K19" s="7"/>
    </row>
    <row r="20">
      <c r="A20" s="1"/>
      <c r="B20" s="5" t="s">
        <v>487</v>
      </c>
      <c r="C20" s="136">
        <v>45946</v>
      </c>
      <c r="D20" s="6" t="s">
        <v>452</v>
      </c>
      <c r="E20" s="6" t="s">
        <v>488</v>
      </c>
      <c r="F20" s="6" t="s">
        <v>489</v>
      </c>
      <c r="G20" s="6" t="s">
        <v>455</v>
      </c>
      <c r="H20" s="6" t="s">
        <v>490</v>
      </c>
      <c r="I20" s="6"/>
      <c r="J20" s="6"/>
      <c r="K20" s="7"/>
    </row>
    <row r="21">
      <c r="A21" s="1"/>
      <c r="B21" s="5" t="s">
        <v>491</v>
      </c>
      <c r="C21" s="136">
        <v>46063</v>
      </c>
      <c r="D21" s="6" t="s">
        <v>492</v>
      </c>
      <c r="E21" s="6" t="s">
        <v>493</v>
      </c>
      <c r="F21" s="6" t="s">
        <v>494</v>
      </c>
      <c r="G21" s="6" t="s">
        <v>455</v>
      </c>
      <c r="H21" s="6" t="s">
        <v>495</v>
      </c>
      <c r="I21" s="6"/>
      <c r="J21" s="6"/>
      <c r="K21" s="7"/>
    </row>
    <row r="22">
      <c r="A22" s="1"/>
      <c r="B22" s="5" t="s">
        <v>496</v>
      </c>
      <c r="C22" s="136">
        <v>46031</v>
      </c>
      <c r="D22" s="6" t="s">
        <v>452</v>
      </c>
      <c r="E22" s="6" t="s">
        <v>497</v>
      </c>
      <c r="F22" s="6" t="s">
        <v>498</v>
      </c>
      <c r="G22" s="6" t="s">
        <v>455</v>
      </c>
      <c r="H22" s="6" t="s">
        <v>499</v>
      </c>
      <c r="I22" s="6"/>
      <c r="J22" s="6"/>
      <c r="K22" s="7"/>
    </row>
    <row r="23">
      <c r="A23" s="1"/>
      <c r="B23" s="5" t="s">
        <v>500</v>
      </c>
      <c r="C23" s="136">
        <v>46244</v>
      </c>
      <c r="D23" s="6" t="s">
        <v>452</v>
      </c>
      <c r="E23" s="6" t="s">
        <v>501</v>
      </c>
      <c r="F23" s="6" t="s">
        <v>502</v>
      </c>
      <c r="G23" s="6" t="s">
        <v>455</v>
      </c>
      <c r="H23" s="6" t="s">
        <v>503</v>
      </c>
      <c r="I23" s="6"/>
      <c r="J23" s="6"/>
      <c r="K23" s="7"/>
    </row>
    <row r="24">
      <c r="A24" s="1"/>
      <c r="B24" s="5" t="s">
        <v>504</v>
      </c>
      <c r="C24" s="136">
        <v>46275</v>
      </c>
      <c r="D24" s="6" t="s">
        <v>492</v>
      </c>
      <c r="E24" s="6" t="s">
        <v>505</v>
      </c>
      <c r="F24" s="6" t="s">
        <v>506</v>
      </c>
      <c r="G24" s="6" t="s">
        <v>455</v>
      </c>
      <c r="H24" s="6" t="s">
        <v>507</v>
      </c>
      <c r="I24" s="6"/>
      <c r="J24" s="6"/>
      <c r="K24" s="7"/>
    </row>
    <row r="25">
      <c r="A25" s="1"/>
      <c r="B25" s="5" t="s">
        <v>508</v>
      </c>
      <c r="C25" s="136">
        <v>46303</v>
      </c>
      <c r="D25" s="6" t="s">
        <v>509</v>
      </c>
      <c r="E25" s="6" t="s">
        <v>510</v>
      </c>
      <c r="F25" s="6" t="s">
        <v>511</v>
      </c>
      <c r="G25" s="6" t="s">
        <v>455</v>
      </c>
      <c r="H25" s="6" t="s">
        <v>512</v>
      </c>
      <c r="I25" s="6"/>
      <c r="J25" s="6"/>
      <c r="K25" s="7"/>
    </row>
    <row r="26">
      <c r="A26" s="1"/>
      <c r="B26" s="5" t="s">
        <v>513</v>
      </c>
      <c r="C26" s="136">
        <v>46219</v>
      </c>
      <c r="D26" s="6" t="s">
        <v>452</v>
      </c>
      <c r="E26" s="6" t="s">
        <v>514</v>
      </c>
      <c r="F26" s="6" t="s">
        <v>515</v>
      </c>
      <c r="G26" s="6" t="s">
        <v>455</v>
      </c>
      <c r="H26" s="6" t="s">
        <v>516</v>
      </c>
      <c r="I26" s="6"/>
      <c r="J26" s="6"/>
      <c r="K26" s="7"/>
    </row>
    <row r="27">
      <c r="A27" s="1"/>
      <c r="B27" s="5" t="s">
        <v>517</v>
      </c>
      <c r="C27" s="136">
        <v>46300</v>
      </c>
      <c r="D27" s="6" t="s">
        <v>518</v>
      </c>
      <c r="E27" s="6" t="s">
        <v>519</v>
      </c>
      <c r="F27" s="6" t="s">
        <v>520</v>
      </c>
      <c r="G27" s="6" t="s">
        <v>455</v>
      </c>
      <c r="H27" s="6" t="s">
        <v>521</v>
      </c>
      <c r="I27" s="6"/>
      <c r="J27" s="6"/>
      <c r="K27" s="7"/>
    </row>
    <row r="28">
      <c r="A28" s="1"/>
      <c r="B28" s="5" t="s">
        <v>522</v>
      </c>
      <c r="C28" s="136">
        <v>46160</v>
      </c>
      <c r="D28" s="6" t="s">
        <v>523</v>
      </c>
      <c r="E28" s="6" t="s">
        <v>524</v>
      </c>
      <c r="F28" s="6" t="s">
        <v>525</v>
      </c>
      <c r="G28" s="6" t="s">
        <v>455</v>
      </c>
      <c r="H28" s="6" t="s">
        <v>526</v>
      </c>
      <c r="I28" s="6"/>
      <c r="J28" s="6"/>
      <c r="K28" s="7"/>
    </row>
    <row r="29">
      <c r="A29" s="1"/>
      <c r="B29" s="5" t="s">
        <v>527</v>
      </c>
      <c r="C29" s="136">
        <v>46245</v>
      </c>
      <c r="D29" s="6" t="s">
        <v>492</v>
      </c>
      <c r="E29" s="6" t="s">
        <v>528</v>
      </c>
      <c r="F29" s="6" t="s">
        <v>529</v>
      </c>
      <c r="G29" s="6" t="s">
        <v>455</v>
      </c>
      <c r="H29" s="6" t="s">
        <v>530</v>
      </c>
      <c r="I29" s="6"/>
      <c r="J29" s="6"/>
      <c r="K29" s="7"/>
    </row>
    <row r="30">
      <c r="A30" s="1"/>
      <c r="B30" s="5" t="s">
        <v>531</v>
      </c>
      <c r="C30" s="136">
        <v>46245</v>
      </c>
      <c r="D30" s="6" t="s">
        <v>452</v>
      </c>
      <c r="E30" s="6" t="s">
        <v>532</v>
      </c>
      <c r="F30" s="6" t="s">
        <v>533</v>
      </c>
      <c r="G30" s="6" t="s">
        <v>455</v>
      </c>
      <c r="H30" s="6" t="s">
        <v>534</v>
      </c>
      <c r="I30" s="6"/>
      <c r="J30" s="6"/>
      <c r="K30" s="7"/>
    </row>
    <row r="31">
      <c r="A31" s="1"/>
      <c r="B31" s="5" t="s">
        <v>535</v>
      </c>
      <c r="C31" s="136">
        <v>46304</v>
      </c>
      <c r="D31" s="6" t="s">
        <v>536</v>
      </c>
      <c r="E31" s="6" t="s">
        <v>537</v>
      </c>
      <c r="F31" s="6" t="s">
        <v>538</v>
      </c>
      <c r="G31" s="6" t="s">
        <v>455</v>
      </c>
      <c r="H31" s="6" t="s">
        <v>539</v>
      </c>
      <c r="I31" s="6"/>
      <c r="J31" s="6"/>
      <c r="K31" s="7"/>
    </row>
    <row r="32">
      <c r="A32" s="1"/>
      <c r="B32" s="5" t="s">
        <v>540</v>
      </c>
      <c r="C32" s="136">
        <v>46303</v>
      </c>
      <c r="D32" s="6" t="s">
        <v>541</v>
      </c>
      <c r="E32" s="6" t="s">
        <v>542</v>
      </c>
      <c r="F32" s="6" t="s">
        <v>543</v>
      </c>
      <c r="G32" s="6" t="s">
        <v>455</v>
      </c>
      <c r="H32" s="6" t="s">
        <v>544</v>
      </c>
      <c r="I32" s="6"/>
      <c r="J32" s="6"/>
      <c r="K32" s="7"/>
    </row>
    <row r="33">
      <c r="A33" s="1"/>
      <c r="B33" s="5" t="s">
        <v>545</v>
      </c>
      <c r="C33" s="136">
        <v>46293</v>
      </c>
      <c r="D33" s="6" t="s">
        <v>546</v>
      </c>
      <c r="E33" s="6" t="s">
        <v>547</v>
      </c>
      <c r="F33" s="6" t="s">
        <v>548</v>
      </c>
      <c r="G33" s="6" t="s">
        <v>455</v>
      </c>
      <c r="H33" s="6" t="s">
        <v>549</v>
      </c>
      <c r="I33" s="6"/>
      <c r="J33" s="6"/>
      <c r="K33" s="7"/>
    </row>
    <row r="34">
      <c r="A34" s="1"/>
      <c r="B34" s="5" t="s">
        <v>550</v>
      </c>
      <c r="C34" s="136">
        <v>45855</v>
      </c>
      <c r="D34" s="6" t="s">
        <v>452</v>
      </c>
      <c r="E34" s="6" t="s">
        <v>551</v>
      </c>
      <c r="F34" s="6" t="s">
        <v>552</v>
      </c>
      <c r="G34" s="6" t="s">
        <v>455</v>
      </c>
      <c r="H34" s="6" t="s">
        <v>553</v>
      </c>
      <c r="I34" s="6"/>
      <c r="J34" s="6"/>
      <c r="K34" s="7"/>
    </row>
    <row r="35">
      <c r="A35" s="1"/>
      <c r="B35" s="5" t="s">
        <v>554</v>
      </c>
      <c r="C35" s="136">
        <v>46234</v>
      </c>
      <c r="D35" s="6" t="s">
        <v>555</v>
      </c>
      <c r="E35" s="6" t="s">
        <v>556</v>
      </c>
      <c r="F35" s="6" t="s">
        <v>557</v>
      </c>
      <c r="G35" s="6" t="s">
        <v>455</v>
      </c>
      <c r="H35" s="6" t="s">
        <v>558</v>
      </c>
      <c r="I35" s="6"/>
      <c r="J35" s="6"/>
      <c r="K35" s="7"/>
    </row>
    <row r="36">
      <c r="A36" s="1"/>
      <c r="B36" s="5"/>
      <c r="C36" s="6"/>
      <c r="D36" s="6"/>
      <c r="E36" s="6"/>
      <c r="F36" s="6"/>
      <c r="G36" s="6"/>
      <c r="H36" s="6"/>
      <c r="I36" s="6"/>
      <c r="J36" s="6"/>
      <c r="K36" s="7"/>
    </row>
    <row r="37">
      <c r="A37" s="1"/>
      <c r="B37" s="11" t="s">
        <v>559</v>
      </c>
      <c r="C37" s="25"/>
      <c r="D37" s="25"/>
      <c r="E37" s="25"/>
      <c r="F37" s="25"/>
      <c r="G37" s="25"/>
      <c r="H37" s="25"/>
      <c r="I37" s="25"/>
      <c r="J37" s="25"/>
      <c r="K37" s="7"/>
    </row>
    <row r="38">
      <c r="A38" s="1"/>
      <c r="B38" s="5" t="s">
        <v>560</v>
      </c>
      <c r="C38" s="6"/>
      <c r="D38" s="6"/>
      <c r="E38" s="6"/>
      <c r="F38" s="6"/>
      <c r="G38" s="6"/>
      <c r="H38" s="6"/>
      <c r="I38" s="6"/>
      <c r="J38" s="6"/>
      <c r="K38" s="7"/>
    </row>
    <row r="39">
      <c r="A39" s="1"/>
      <c r="B39" s="5" t="s">
        <v>561</v>
      </c>
      <c r="C39" s="6"/>
      <c r="D39" s="6"/>
      <c r="E39" s="6"/>
      <c r="F39" s="6"/>
      <c r="G39" s="6"/>
      <c r="H39" s="6"/>
      <c r="I39" s="6"/>
      <c r="J39" s="6"/>
      <c r="K39" s="7"/>
    </row>
    <row r="40">
      <c r="A40" s="1"/>
      <c r="B40" s="5" t="s">
        <v>562</v>
      </c>
      <c r="C40" s="6"/>
      <c r="D40" s="6"/>
      <c r="E40" s="6"/>
      <c r="F40" s="6"/>
      <c r="G40" s="6"/>
      <c r="H40" s="6"/>
      <c r="I40" s="6"/>
      <c r="J40" s="6"/>
      <c r="K40" s="7"/>
    </row>
    <row r="41">
      <c r="A41" s="1"/>
      <c r="B41" s="5" t="s">
        <v>563</v>
      </c>
      <c r="C41" s="6"/>
      <c r="D41" s="6"/>
      <c r="E41" s="6"/>
      <c r="F41" s="6"/>
      <c r="G41" s="6"/>
      <c r="H41" s="6"/>
      <c r="I41" s="6"/>
      <c r="J41" s="6"/>
      <c r="K41" s="7"/>
    </row>
    <row r="42">
      <c r="A42" s="1"/>
      <c r="B42" s="5" t="s">
        <v>564</v>
      </c>
      <c r="C42" s="6"/>
      <c r="D42" s="6"/>
      <c r="E42" s="6"/>
      <c r="F42" s="6"/>
      <c r="G42" s="6"/>
      <c r="H42" s="6"/>
      <c r="I42" s="6"/>
      <c r="J42" s="6"/>
      <c r="K42" s="7"/>
    </row>
    <row r="43">
      <c r="A43" s="1"/>
      <c r="B43" s="111" t="s">
        <v>565</v>
      </c>
      <c r="C43" s="1"/>
      <c r="D43" s="1"/>
      <c r="E43" s="1"/>
      <c r="F43" s="1"/>
      <c r="G43" s="1"/>
      <c r="H43" s="1"/>
      <c r="I43" s="1"/>
      <c r="J43" s="1"/>
      <c r="K43" s="1"/>
    </row>
    <row r="44">
      <c r="A44" s="1"/>
      <c r="B44" s="111" t="s">
        <v>566</v>
      </c>
      <c r="C44" s="1"/>
      <c r="D44" s="1"/>
      <c r="E44" s="1"/>
      <c r="F44" s="1"/>
      <c r="G44" s="1"/>
      <c r="H44" s="1"/>
      <c r="I44" s="1"/>
      <c r="J44" s="1"/>
      <c r="K44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K12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9" width="24" customWidth="1"/>
    <col min="10" max="10" width="12" customWidth="1"/>
    <col min="11" max="11" width="4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60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4" t="s">
        <v>567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5" t="s">
        <v>568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9" t="s">
        <v>3</v>
      </c>
      <c r="C5" s="48" t="s">
        <v>4</v>
      </c>
      <c r="D5" s="13"/>
      <c r="E5" s="13"/>
      <c r="F5" s="13"/>
      <c r="G5" s="13"/>
      <c r="H5" s="13"/>
      <c r="I5" s="13"/>
      <c r="J5" s="13"/>
      <c r="K5" s="19"/>
    </row>
    <row r="6">
      <c r="A6" s="1"/>
      <c r="B6" s="49" t="s">
        <v>5</v>
      </c>
      <c r="C6" s="32">
        <v>46295</v>
      </c>
      <c r="D6" s="28"/>
      <c r="E6" s="28"/>
      <c r="F6" s="28"/>
      <c r="G6" s="28"/>
      <c r="H6" s="28"/>
      <c r="I6" s="28"/>
      <c r="J6" s="28"/>
      <c r="K6" s="17"/>
    </row>
    <row r="7">
      <c r="A7" s="1"/>
      <c r="B7" s="30" t="s">
        <v>6</v>
      </c>
      <c r="C7" s="21">
        <f>C6-DATE(2026,6,30)</f>
        <v>92</v>
      </c>
      <c r="D7" s="27"/>
      <c r="E7" s="27"/>
      <c r="F7" s="27"/>
      <c r="G7" s="27"/>
      <c r="H7" s="27"/>
      <c r="I7" s="27"/>
      <c r="J7" s="27"/>
      <c r="K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1" t="s">
        <v>569</v>
      </c>
      <c r="C9" s="22"/>
      <c r="D9" s="22"/>
      <c r="E9" s="22"/>
      <c r="F9" s="22"/>
      <c r="G9" s="22"/>
      <c r="H9" s="22"/>
      <c r="I9" s="22"/>
      <c r="J9" s="22"/>
      <c r="K9" s="7"/>
    </row>
    <row r="10">
      <c r="A10" s="1"/>
      <c r="B10" s="5" t="s">
        <v>570</v>
      </c>
      <c r="C10" s="87" t="s">
        <v>571</v>
      </c>
      <c r="D10" s="6"/>
      <c r="E10" s="6"/>
      <c r="F10" s="6"/>
      <c r="G10" s="6"/>
      <c r="H10" s="6"/>
      <c r="I10" s="6"/>
      <c r="J10" s="6"/>
      <c r="K10" s="7"/>
    </row>
    <row r="11">
      <c r="A11" s="1"/>
      <c r="B11" s="5" t="s">
        <v>572</v>
      </c>
      <c r="C11" s="87" t="s">
        <v>573</v>
      </c>
      <c r="D11" s="6"/>
      <c r="E11" s="6"/>
      <c r="F11" s="6"/>
      <c r="G11" s="6"/>
      <c r="H11" s="6"/>
      <c r="I11" s="6"/>
      <c r="J11" s="6"/>
      <c r="K11" s="7"/>
    </row>
    <row r="12">
      <c r="A12" s="1"/>
      <c r="B12" s="5" t="s">
        <v>574</v>
      </c>
      <c r="C12" s="87" t="s">
        <v>575</v>
      </c>
      <c r="D12" s="6"/>
      <c r="E12" s="6"/>
      <c r="F12" s="6"/>
      <c r="G12" s="6"/>
      <c r="H12" s="6"/>
      <c r="I12" s="6"/>
      <c r="J12" s="6"/>
      <c r="K12" s="7"/>
    </row>
    <row r="13">
      <c r="A13" s="1"/>
      <c r="B13" s="5" t="s">
        <v>576</v>
      </c>
      <c r="C13" s="87" t="s">
        <v>577</v>
      </c>
      <c r="D13" s="6"/>
      <c r="E13" s="6"/>
      <c r="F13" s="6"/>
      <c r="G13" s="6"/>
      <c r="H13" s="6"/>
      <c r="I13" s="6"/>
      <c r="J13" s="6"/>
      <c r="K13" s="7"/>
    </row>
    <row r="14">
      <c r="A14" s="1"/>
      <c r="B14" s="5" t="s">
        <v>578</v>
      </c>
      <c r="C14" s="136">
        <v>46295</v>
      </c>
      <c r="D14" s="6"/>
      <c r="E14" s="6"/>
      <c r="F14" s="6"/>
      <c r="G14" s="6"/>
      <c r="H14" s="6"/>
      <c r="I14" s="6"/>
      <c r="J14" s="6"/>
      <c r="K14" s="7"/>
    </row>
    <row r="15">
      <c r="A15" s="1"/>
      <c r="B15" s="5" t="s">
        <v>579</v>
      </c>
      <c r="C15" s="136">
        <v>46306</v>
      </c>
      <c r="D15" s="6"/>
      <c r="E15" s="6"/>
      <c r="F15" s="6"/>
      <c r="G15" s="6"/>
      <c r="H15" s="6"/>
      <c r="I15" s="6"/>
      <c r="J15" s="6"/>
      <c r="K15" s="7"/>
    </row>
    <row r="16">
      <c r="A16" s="1"/>
      <c r="B16" s="5" t="s">
        <v>580</v>
      </c>
      <c r="C16" s="140">
        <v>8</v>
      </c>
      <c r="D16" s="12"/>
      <c r="E16" s="12"/>
      <c r="F16" s="12"/>
      <c r="G16" s="12"/>
      <c r="H16" s="12"/>
      <c r="I16" s="12"/>
      <c r="J16" s="12"/>
      <c r="K16" s="7"/>
    </row>
    <row r="17">
      <c r="A17" s="1"/>
      <c r="B17" s="5" t="s">
        <v>581</v>
      </c>
      <c r="C17" s="85">
        <v>4.46</v>
      </c>
      <c r="D17" s="73"/>
      <c r="E17" s="73"/>
      <c r="F17" s="73"/>
      <c r="G17" s="73"/>
      <c r="H17" s="73"/>
      <c r="I17" s="73"/>
      <c r="J17" s="73"/>
      <c r="K17" s="7"/>
    </row>
    <row r="18">
      <c r="A18" s="1"/>
      <c r="B18" s="5" t="s">
        <v>582</v>
      </c>
      <c r="C18" s="87" t="s">
        <v>583</v>
      </c>
      <c r="D18" s="6"/>
      <c r="E18" s="6"/>
      <c r="F18" s="6"/>
      <c r="G18" s="6"/>
      <c r="H18" s="6"/>
      <c r="I18" s="6"/>
      <c r="J18" s="6"/>
      <c r="K18" s="7"/>
    </row>
    <row r="19">
      <c r="A19" s="1"/>
      <c r="B19" s="5" t="s">
        <v>584</v>
      </c>
      <c r="C19" s="46">
        <v>1457602.44</v>
      </c>
      <c r="D19" s="12"/>
      <c r="E19" s="12"/>
      <c r="F19" s="12"/>
      <c r="G19" s="12"/>
      <c r="H19" s="12"/>
      <c r="I19" s="12"/>
      <c r="J19" s="12"/>
      <c r="K19" s="7"/>
    </row>
    <row r="20">
      <c r="A20" s="1"/>
      <c r="B20" s="5" t="s">
        <v>585</v>
      </c>
      <c r="C20" s="87" t="s">
        <v>586</v>
      </c>
      <c r="D20" s="6"/>
      <c r="E20" s="6"/>
      <c r="F20" s="6"/>
      <c r="G20" s="6"/>
      <c r="H20" s="6"/>
      <c r="I20" s="6"/>
      <c r="J20" s="6"/>
      <c r="K20" s="7"/>
    </row>
    <row r="21">
      <c r="A21" s="1"/>
      <c r="B21" s="5" t="s">
        <v>587</v>
      </c>
      <c r="C21" s="87" t="s">
        <v>588</v>
      </c>
      <c r="D21" s="6"/>
      <c r="E21" s="6"/>
      <c r="F21" s="6"/>
      <c r="G21" s="6"/>
      <c r="H21" s="6"/>
      <c r="I21" s="6"/>
      <c r="J21" s="6"/>
      <c r="K21" s="7"/>
    </row>
    <row r="22">
      <c r="A22" s="1"/>
      <c r="B22" s="5" t="s">
        <v>589</v>
      </c>
      <c r="C22" s="87" t="s">
        <v>590</v>
      </c>
      <c r="D22" s="6"/>
      <c r="E22" s="6"/>
      <c r="F22" s="6"/>
      <c r="G22" s="6"/>
      <c r="H22" s="6"/>
      <c r="I22" s="6"/>
      <c r="J22" s="6"/>
      <c r="K22" s="7"/>
    </row>
    <row r="23">
      <c r="A23" s="1"/>
      <c r="B23" s="5" t="s">
        <v>591</v>
      </c>
      <c r="C23" s="87" t="s">
        <v>592</v>
      </c>
      <c r="D23" s="6"/>
      <c r="E23" s="6"/>
      <c r="F23" s="6"/>
      <c r="G23" s="6"/>
      <c r="H23" s="6"/>
      <c r="I23" s="6"/>
      <c r="J23" s="6"/>
      <c r="K23" s="7"/>
    </row>
    <row r="24">
      <c r="A24" s="1"/>
      <c r="B24" s="5" t="s">
        <v>593</v>
      </c>
      <c r="C24" s="87" t="s">
        <v>594</v>
      </c>
      <c r="D24" s="6"/>
      <c r="E24" s="6"/>
      <c r="F24" s="6"/>
      <c r="G24" s="6"/>
      <c r="H24" s="6"/>
      <c r="I24" s="6"/>
      <c r="J24" s="6"/>
      <c r="K24" s="7"/>
    </row>
    <row r="25">
      <c r="A25" s="1"/>
      <c r="B25" s="5" t="s">
        <v>595</v>
      </c>
      <c r="C25" s="87" t="s">
        <v>596</v>
      </c>
      <c r="D25" s="6"/>
      <c r="E25" s="6"/>
      <c r="F25" s="6"/>
      <c r="G25" s="6"/>
      <c r="H25" s="6"/>
      <c r="I25" s="6"/>
      <c r="J25" s="6"/>
      <c r="K25" s="7"/>
    </row>
    <row r="26">
      <c r="A26" s="1"/>
      <c r="B26" s="5"/>
      <c r="C26" s="4"/>
      <c r="D26" s="4"/>
      <c r="E26" s="4"/>
      <c r="F26" s="4"/>
      <c r="G26" s="4"/>
      <c r="H26" s="4"/>
      <c r="I26" s="4"/>
      <c r="J26" s="4"/>
      <c r="K26" s="7"/>
    </row>
    <row r="27">
      <c r="A27" s="1"/>
      <c r="B27" s="11" t="s">
        <v>597</v>
      </c>
      <c r="C27" s="22"/>
      <c r="D27" s="22"/>
      <c r="E27" s="22"/>
      <c r="F27" s="22"/>
      <c r="G27" s="22"/>
      <c r="H27" s="22"/>
      <c r="I27" s="22"/>
      <c r="J27" s="22"/>
      <c r="K27" s="7"/>
    </row>
    <row r="28">
      <c r="A28" s="1"/>
      <c r="B28" s="5" t="s">
        <v>572</v>
      </c>
      <c r="C28" s="87" t="s">
        <v>573</v>
      </c>
      <c r="D28" s="6"/>
      <c r="E28" s="6"/>
      <c r="F28" s="6"/>
      <c r="G28" s="6"/>
      <c r="H28" s="6"/>
      <c r="I28" s="6"/>
      <c r="J28" s="6"/>
      <c r="K28" s="7"/>
    </row>
    <row r="29">
      <c r="A29" s="1"/>
      <c r="B29" s="5" t="s">
        <v>598</v>
      </c>
      <c r="C29" s="87" t="s">
        <v>575</v>
      </c>
      <c r="D29" s="6"/>
      <c r="E29" s="6"/>
      <c r="F29" s="6"/>
      <c r="G29" s="6"/>
      <c r="H29" s="6"/>
      <c r="I29" s="6"/>
      <c r="J29" s="6"/>
      <c r="K29" s="7"/>
    </row>
    <row r="30">
      <c r="A30" s="1"/>
      <c r="B30" s="5" t="s">
        <v>599</v>
      </c>
      <c r="C30" s="87" t="s">
        <v>600</v>
      </c>
      <c r="D30" s="6"/>
      <c r="E30" s="6"/>
      <c r="F30" s="6"/>
      <c r="G30" s="6"/>
      <c r="H30" s="6"/>
      <c r="I30" s="6"/>
      <c r="J30" s="6"/>
      <c r="K30" s="7"/>
    </row>
    <row r="31">
      <c r="A31" s="1"/>
      <c r="B31" s="5" t="s">
        <v>601</v>
      </c>
      <c r="C31" s="87">
        <v>380075</v>
      </c>
      <c r="D31" s="6"/>
      <c r="E31" s="6"/>
      <c r="F31" s="6"/>
      <c r="G31" s="6"/>
      <c r="H31" s="6"/>
      <c r="I31" s="6"/>
      <c r="J31" s="6"/>
      <c r="K31" s="7"/>
    </row>
    <row r="32">
      <c r="A32" s="1"/>
      <c r="B32" s="5" t="s">
        <v>602</v>
      </c>
      <c r="C32" s="87" t="s">
        <v>603</v>
      </c>
      <c r="D32" s="6"/>
      <c r="E32" s="6"/>
      <c r="F32" s="6"/>
      <c r="G32" s="6"/>
      <c r="H32" s="6"/>
      <c r="I32" s="6"/>
      <c r="J32" s="6"/>
      <c r="K32" s="7"/>
    </row>
    <row r="33">
      <c r="A33" s="1"/>
      <c r="B33" s="5" t="s">
        <v>604</v>
      </c>
      <c r="C33" s="6"/>
      <c r="D33" s="6"/>
      <c r="E33" s="6"/>
      <c r="F33" s="6"/>
      <c r="G33" s="6"/>
      <c r="H33" s="6"/>
      <c r="I33" s="6"/>
      <c r="J33" s="6"/>
      <c r="K33" s="7" t="s">
        <v>605</v>
      </c>
    </row>
    <row r="34">
      <c r="A34" s="1"/>
      <c r="B34" s="5" t="s">
        <v>606</v>
      </c>
      <c r="C34" s="87" t="s">
        <v>577</v>
      </c>
      <c r="D34" s="6"/>
      <c r="E34" s="6"/>
      <c r="F34" s="6"/>
      <c r="G34" s="6"/>
      <c r="H34" s="6"/>
      <c r="I34" s="6"/>
      <c r="J34" s="6"/>
      <c r="K34" s="7"/>
    </row>
    <row r="35">
      <c r="A35" s="1"/>
      <c r="B35" s="5" t="s">
        <v>607</v>
      </c>
      <c r="C35" s="136">
        <v>46295</v>
      </c>
      <c r="D35" s="6"/>
      <c r="E35" s="6"/>
      <c r="F35" s="6"/>
      <c r="G35" s="6"/>
      <c r="H35" s="6"/>
      <c r="I35" s="6"/>
      <c r="J35" s="6"/>
      <c r="K35" s="7"/>
    </row>
    <row r="36">
      <c r="A36" s="1"/>
      <c r="B36" s="5" t="s">
        <v>608</v>
      </c>
      <c r="C36" s="136">
        <v>46311</v>
      </c>
      <c r="D36" s="6"/>
      <c r="E36" s="6"/>
      <c r="F36" s="6"/>
      <c r="G36" s="6"/>
      <c r="H36" s="6"/>
      <c r="I36" s="6"/>
      <c r="J36" s="6"/>
      <c r="K36" s="7"/>
    </row>
    <row r="37">
      <c r="A37" s="1"/>
      <c r="B37" s="5" t="s">
        <v>609</v>
      </c>
      <c r="C37" s="87" t="s">
        <v>610</v>
      </c>
      <c r="D37" s="6"/>
      <c r="E37" s="6"/>
      <c r="F37" s="6"/>
      <c r="G37" s="6"/>
      <c r="H37" s="6"/>
      <c r="I37" s="6"/>
      <c r="J37" s="6"/>
      <c r="K37" s="7"/>
    </row>
    <row r="38">
      <c r="A38" s="1"/>
      <c r="B38" s="5" t="s">
        <v>611</v>
      </c>
      <c r="C38" s="89">
        <v>36</v>
      </c>
      <c r="D38" s="66"/>
      <c r="E38" s="66"/>
      <c r="F38" s="66"/>
      <c r="G38" s="66"/>
      <c r="H38" s="66"/>
      <c r="I38" s="66"/>
      <c r="J38" s="66"/>
      <c r="K38" s="7"/>
    </row>
    <row r="39">
      <c r="A39" s="1"/>
      <c r="B39" s="5" t="s">
        <v>612</v>
      </c>
      <c r="C39" s="85">
        <v>4.46</v>
      </c>
      <c r="D39" s="73"/>
      <c r="E39" s="73"/>
      <c r="F39" s="73"/>
      <c r="G39" s="73"/>
      <c r="H39" s="73"/>
      <c r="I39" s="73"/>
      <c r="J39" s="73"/>
      <c r="K39" s="7"/>
    </row>
    <row r="40">
      <c r="A40" s="1"/>
      <c r="B40" s="5" t="s">
        <v>613</v>
      </c>
      <c r="C40" s="85">
        <v>4.46</v>
      </c>
      <c r="D40" s="73"/>
      <c r="E40" s="73"/>
      <c r="F40" s="73"/>
      <c r="G40" s="73"/>
      <c r="H40" s="73"/>
      <c r="I40" s="73"/>
      <c r="J40" s="73"/>
      <c r="K40" s="7"/>
    </row>
    <row r="41">
      <c r="A41" s="1"/>
      <c r="B41" s="5" t="s">
        <v>614</v>
      </c>
      <c r="C41" s="85">
        <v>4.72</v>
      </c>
      <c r="D41" s="73"/>
      <c r="E41" s="73"/>
      <c r="F41" s="73"/>
      <c r="G41" s="73"/>
      <c r="H41" s="73"/>
      <c r="I41" s="73"/>
      <c r="J41" s="73"/>
      <c r="K41" s="7"/>
    </row>
    <row r="42">
      <c r="A42" s="1"/>
      <c r="B42" s="5" t="s">
        <v>615</v>
      </c>
      <c r="C42" s="85">
        <v>4.26</v>
      </c>
      <c r="D42" s="73"/>
      <c r="E42" s="73"/>
      <c r="F42" s="73"/>
      <c r="G42" s="73"/>
      <c r="H42" s="73"/>
      <c r="I42" s="73"/>
      <c r="J42" s="73"/>
      <c r="K42" s="7"/>
    </row>
    <row r="43">
      <c r="A43" s="1"/>
      <c r="B43" s="5" t="s">
        <v>616</v>
      </c>
      <c r="C43" s="85">
        <v>0.15</v>
      </c>
      <c r="D43" s="73"/>
      <c r="E43" s="73"/>
      <c r="F43" s="73"/>
      <c r="G43" s="73"/>
      <c r="H43" s="73"/>
      <c r="I43" s="73"/>
      <c r="J43" s="73"/>
      <c r="K43" s="7"/>
    </row>
    <row r="44">
      <c r="A44" s="1"/>
      <c r="B44" s="5" t="s">
        <v>617</v>
      </c>
      <c r="C44" s="89">
        <v>8</v>
      </c>
      <c r="D44" s="66"/>
      <c r="E44" s="66"/>
      <c r="F44" s="66"/>
      <c r="G44" s="66"/>
      <c r="H44" s="66"/>
      <c r="I44" s="66"/>
      <c r="J44" s="66"/>
      <c r="K44" s="7"/>
    </row>
    <row r="45">
      <c r="A45" s="1"/>
      <c r="B45" s="5" t="s">
        <v>618</v>
      </c>
      <c r="C45" s="6"/>
      <c r="D45" s="6"/>
      <c r="E45" s="6"/>
      <c r="F45" s="6"/>
      <c r="G45" s="6"/>
      <c r="H45" s="6"/>
      <c r="I45" s="6"/>
      <c r="J45" s="6"/>
      <c r="K45" s="7" t="s">
        <v>605</v>
      </c>
    </row>
    <row r="46">
      <c r="A46" s="1"/>
      <c r="B46" s="5" t="s">
        <v>619</v>
      </c>
      <c r="C46" s="6"/>
      <c r="D46" s="6"/>
      <c r="E46" s="6"/>
      <c r="F46" s="6"/>
      <c r="G46" s="6"/>
      <c r="H46" s="6"/>
      <c r="I46" s="6"/>
      <c r="J46" s="6"/>
      <c r="K46" s="7" t="s">
        <v>605</v>
      </c>
    </row>
    <row r="47">
      <c r="A47" s="1"/>
      <c r="B47" s="5" t="s">
        <v>620</v>
      </c>
      <c r="C47" s="6"/>
      <c r="D47" s="6"/>
      <c r="E47" s="6"/>
      <c r="F47" s="6"/>
      <c r="G47" s="6"/>
      <c r="H47" s="6"/>
      <c r="I47" s="6"/>
      <c r="J47" s="6"/>
      <c r="K47" s="7" t="s">
        <v>605</v>
      </c>
    </row>
    <row r="48">
      <c r="A48" s="1"/>
      <c r="B48" s="5" t="s">
        <v>621</v>
      </c>
      <c r="C48" s="85">
        <v>4.43</v>
      </c>
      <c r="D48" s="73"/>
      <c r="E48" s="73"/>
      <c r="F48" s="73"/>
      <c r="G48" s="73"/>
      <c r="H48" s="73"/>
      <c r="I48" s="73"/>
      <c r="J48" s="73"/>
      <c r="K48" s="7"/>
    </row>
    <row r="49">
      <c r="A49" s="1"/>
      <c r="B49" s="5" t="s">
        <v>622</v>
      </c>
      <c r="C49" s="85">
        <v>4.38</v>
      </c>
      <c r="D49" s="73"/>
      <c r="E49" s="73"/>
      <c r="F49" s="73"/>
      <c r="G49" s="73"/>
      <c r="H49" s="73"/>
      <c r="I49" s="73"/>
      <c r="J49" s="73"/>
      <c r="K49" s="7"/>
    </row>
    <row r="50">
      <c r="A50" s="1"/>
      <c r="B50" s="5" t="s">
        <v>623</v>
      </c>
      <c r="C50" s="85">
        <v>4.72</v>
      </c>
      <c r="D50" s="73"/>
      <c r="E50" s="73"/>
      <c r="F50" s="73"/>
      <c r="G50" s="73"/>
      <c r="H50" s="73"/>
      <c r="I50" s="73"/>
      <c r="J50" s="73"/>
      <c r="K50" s="7"/>
    </row>
    <row r="51">
      <c r="A51" s="1"/>
      <c r="B51" s="5" t="s">
        <v>624</v>
      </c>
      <c r="C51" s="85">
        <v>4.26</v>
      </c>
      <c r="D51" s="73"/>
      <c r="E51" s="73"/>
      <c r="F51" s="73"/>
      <c r="G51" s="73"/>
      <c r="H51" s="73"/>
      <c r="I51" s="73"/>
      <c r="J51" s="73"/>
      <c r="K51" s="7"/>
    </row>
    <row r="52">
      <c r="A52" s="1"/>
      <c r="B52" s="5" t="s">
        <v>625</v>
      </c>
      <c r="C52" s="85">
        <v>0.15</v>
      </c>
      <c r="D52" s="73"/>
      <c r="E52" s="73"/>
      <c r="F52" s="73"/>
      <c r="G52" s="73"/>
      <c r="H52" s="73"/>
      <c r="I52" s="73"/>
      <c r="J52" s="73"/>
      <c r="K52" s="7"/>
    </row>
    <row r="53">
      <c r="A53" s="1"/>
      <c r="B53" s="5" t="s">
        <v>626</v>
      </c>
      <c r="C53" s="89">
        <v>6</v>
      </c>
      <c r="D53" s="66"/>
      <c r="E53" s="66"/>
      <c r="F53" s="66"/>
      <c r="G53" s="66"/>
      <c r="H53" s="66"/>
      <c r="I53" s="66"/>
      <c r="J53" s="66"/>
      <c r="K53" s="7"/>
    </row>
    <row r="54">
      <c r="A54" s="1"/>
      <c r="B54" s="5" t="s">
        <v>627</v>
      </c>
      <c r="C54" s="6"/>
      <c r="D54" s="6"/>
      <c r="E54" s="6"/>
      <c r="F54" s="6"/>
      <c r="G54" s="6"/>
      <c r="H54" s="6"/>
      <c r="I54" s="6"/>
      <c r="J54" s="6"/>
      <c r="K54" s="7" t="s">
        <v>605</v>
      </c>
    </row>
    <row r="55">
      <c r="A55" s="1"/>
      <c r="B55" s="5" t="s">
        <v>628</v>
      </c>
      <c r="C55" s="46">
        <v>1457602.44</v>
      </c>
      <c r="D55" s="12"/>
      <c r="E55" s="12"/>
      <c r="F55" s="12"/>
      <c r="G55" s="12"/>
      <c r="H55" s="12"/>
      <c r="I55" s="12"/>
      <c r="J55" s="12"/>
      <c r="K55" s="7"/>
    </row>
    <row r="56">
      <c r="A56" s="1"/>
      <c r="B56" s="5" t="s">
        <v>629</v>
      </c>
      <c r="C56" s="46">
        <v>1458370</v>
      </c>
      <c r="D56" s="12"/>
      <c r="E56" s="12"/>
      <c r="F56" s="12"/>
      <c r="G56" s="12"/>
      <c r="H56" s="12"/>
      <c r="I56" s="12"/>
      <c r="J56" s="12"/>
      <c r="K56" s="7"/>
    </row>
    <row r="57">
      <c r="A57" s="1"/>
      <c r="B57" s="5" t="s">
        <v>630</v>
      </c>
      <c r="C57" s="46">
        <v>1495000</v>
      </c>
      <c r="D57" s="12"/>
      <c r="E57" s="12"/>
      <c r="F57" s="12"/>
      <c r="G57" s="12"/>
      <c r="H57" s="12"/>
      <c r="I57" s="12"/>
      <c r="J57" s="12"/>
      <c r="K57" s="7"/>
    </row>
    <row r="58">
      <c r="A58" s="1"/>
      <c r="B58" s="5" t="s">
        <v>631</v>
      </c>
      <c r="C58" s="46">
        <v>1423000</v>
      </c>
      <c r="D58" s="12"/>
      <c r="E58" s="12"/>
      <c r="F58" s="12"/>
      <c r="G58" s="12"/>
      <c r="H58" s="12"/>
      <c r="I58" s="12"/>
      <c r="J58" s="12"/>
      <c r="K58" s="7"/>
    </row>
    <row r="59">
      <c r="A59" s="1"/>
      <c r="B59" s="5" t="s">
        <v>632</v>
      </c>
      <c r="C59" s="46">
        <v>14491.95</v>
      </c>
      <c r="D59" s="12"/>
      <c r="E59" s="12"/>
      <c r="F59" s="12"/>
      <c r="G59" s="12"/>
      <c r="H59" s="12"/>
      <c r="I59" s="12"/>
      <c r="J59" s="12"/>
      <c r="K59" s="7"/>
    </row>
    <row r="60">
      <c r="A60" s="1"/>
      <c r="B60" s="5" t="s">
        <v>633</v>
      </c>
      <c r="C60" s="89">
        <v>27</v>
      </c>
      <c r="D60" s="66"/>
      <c r="E60" s="66"/>
      <c r="F60" s="66"/>
      <c r="G60" s="66"/>
      <c r="H60" s="66"/>
      <c r="I60" s="66"/>
      <c r="J60" s="66"/>
      <c r="K60" s="7"/>
    </row>
    <row r="61">
      <c r="A61" s="1"/>
      <c r="B61" s="5" t="s">
        <v>634</v>
      </c>
      <c r="C61" s="6"/>
      <c r="D61" s="6"/>
      <c r="E61" s="6"/>
      <c r="F61" s="6"/>
      <c r="G61" s="6"/>
      <c r="H61" s="6"/>
      <c r="I61" s="6"/>
      <c r="J61" s="6"/>
      <c r="K61" s="7" t="s">
        <v>605</v>
      </c>
    </row>
    <row r="62">
      <c r="A62" s="1"/>
      <c r="B62" s="5" t="s">
        <v>635</v>
      </c>
      <c r="C62" s="46">
        <v>1436164.6</v>
      </c>
      <c r="D62" s="12"/>
      <c r="E62" s="12"/>
      <c r="F62" s="12"/>
      <c r="G62" s="12"/>
      <c r="H62" s="12"/>
      <c r="I62" s="12"/>
      <c r="J62" s="12"/>
      <c r="K62" s="7"/>
    </row>
    <row r="63">
      <c r="A63" s="1"/>
      <c r="B63" s="5" t="s">
        <v>636</v>
      </c>
      <c r="C63" s="46">
        <v>1474805.8</v>
      </c>
      <c r="D63" s="12"/>
      <c r="E63" s="12"/>
      <c r="F63" s="12"/>
      <c r="G63" s="12"/>
      <c r="H63" s="12"/>
      <c r="I63" s="12"/>
      <c r="J63" s="12"/>
      <c r="K63" s="7"/>
    </row>
    <row r="64">
      <c r="A64" s="1"/>
      <c r="B64" s="5" t="s">
        <v>637</v>
      </c>
      <c r="C64" s="46">
        <v>1072079.24</v>
      </c>
      <c r="D64" s="12"/>
      <c r="E64" s="12"/>
      <c r="F64" s="12"/>
      <c r="G64" s="12"/>
      <c r="H64" s="12"/>
      <c r="I64" s="12"/>
      <c r="J64" s="12"/>
      <c r="K64" s="7"/>
    </row>
    <row r="65">
      <c r="A65" s="1"/>
      <c r="B65" s="5" t="s">
        <v>638</v>
      </c>
      <c r="C65" s="46">
        <v>849572.78</v>
      </c>
      <c r="D65" s="12"/>
      <c r="E65" s="12"/>
      <c r="F65" s="12"/>
      <c r="G65" s="12"/>
      <c r="H65" s="12"/>
      <c r="I65" s="12"/>
      <c r="J65" s="12"/>
      <c r="K65" s="7"/>
    </row>
    <row r="66">
      <c r="A66" s="1"/>
      <c r="B66" s="5" t="s">
        <v>639</v>
      </c>
      <c r="C66" s="46">
        <v>885016.12</v>
      </c>
      <c r="D66" s="12"/>
      <c r="E66" s="12"/>
      <c r="F66" s="12"/>
      <c r="G66" s="12"/>
      <c r="H66" s="12"/>
      <c r="I66" s="12"/>
      <c r="J66" s="12"/>
      <c r="K66" s="7"/>
    </row>
    <row r="67">
      <c r="A67" s="1"/>
      <c r="B67" s="5" t="s">
        <v>640</v>
      </c>
      <c r="C67" s="46">
        <v>881859.95</v>
      </c>
      <c r="D67" s="12"/>
      <c r="E67" s="12"/>
      <c r="F67" s="12"/>
      <c r="G67" s="12"/>
      <c r="H67" s="12"/>
      <c r="I67" s="12"/>
      <c r="J67" s="12"/>
      <c r="K67" s="7"/>
    </row>
    <row r="68">
      <c r="A68" s="1"/>
      <c r="B68" s="5" t="s">
        <v>641</v>
      </c>
      <c r="C68" s="46">
        <v>733207.07</v>
      </c>
      <c r="D68" s="12"/>
      <c r="E68" s="12"/>
      <c r="F68" s="12"/>
      <c r="G68" s="12"/>
      <c r="H68" s="12"/>
      <c r="I68" s="12"/>
      <c r="J68" s="12"/>
      <c r="K68" s="7"/>
    </row>
    <row r="69">
      <c r="A69" s="1"/>
      <c r="B69" s="5" t="s">
        <v>642</v>
      </c>
      <c r="C69" s="46">
        <v>724002.61</v>
      </c>
      <c r="D69" s="12"/>
      <c r="E69" s="12"/>
      <c r="F69" s="12"/>
      <c r="G69" s="12"/>
      <c r="H69" s="12"/>
      <c r="I69" s="12"/>
      <c r="J69" s="12"/>
      <c r="K69" s="7"/>
    </row>
    <row r="70">
      <c r="A70" s="1"/>
      <c r="B70" s="5" t="s">
        <v>643</v>
      </c>
      <c r="C70" s="6"/>
      <c r="D70" s="6"/>
      <c r="E70" s="6"/>
      <c r="F70" s="6"/>
      <c r="G70" s="6"/>
      <c r="H70" s="6"/>
      <c r="I70" s="6"/>
      <c r="J70" s="6"/>
      <c r="K70" s="7" t="s">
        <v>605</v>
      </c>
    </row>
    <row r="71">
      <c r="A71" s="1"/>
      <c r="B71" s="5" t="s">
        <v>644</v>
      </c>
      <c r="C71" s="6"/>
      <c r="D71" s="6"/>
      <c r="E71" s="6"/>
      <c r="F71" s="6"/>
      <c r="G71" s="6"/>
      <c r="H71" s="6"/>
      <c r="I71" s="6"/>
      <c r="J71" s="6"/>
      <c r="K71" s="7" t="s">
        <v>605</v>
      </c>
    </row>
    <row r="72">
      <c r="A72" s="1"/>
      <c r="B72" s="5" t="s">
        <v>645</v>
      </c>
      <c r="C72" s="6"/>
      <c r="D72" s="6"/>
      <c r="E72" s="6"/>
      <c r="F72" s="6"/>
      <c r="G72" s="6"/>
      <c r="H72" s="6"/>
      <c r="I72" s="6"/>
      <c r="J72" s="6"/>
      <c r="K72" s="7" t="s">
        <v>605</v>
      </c>
    </row>
    <row r="73">
      <c r="A73" s="1"/>
      <c r="B73" s="5" t="s">
        <v>646</v>
      </c>
      <c r="C73" s="6"/>
      <c r="D73" s="6"/>
      <c r="E73" s="6"/>
      <c r="F73" s="6"/>
      <c r="G73" s="6"/>
      <c r="H73" s="6"/>
      <c r="I73" s="6"/>
      <c r="J73" s="6"/>
      <c r="K73" s="7" t="s">
        <v>605</v>
      </c>
    </row>
    <row r="74">
      <c r="A74" s="1"/>
      <c r="B74" s="5" t="s">
        <v>647</v>
      </c>
      <c r="C74" s="6"/>
      <c r="D74" s="6"/>
      <c r="E74" s="6"/>
      <c r="F74" s="6"/>
      <c r="G74" s="6"/>
      <c r="H74" s="6"/>
      <c r="I74" s="6"/>
      <c r="J74" s="6"/>
      <c r="K74" s="7" t="s">
        <v>605</v>
      </c>
    </row>
    <row r="75">
      <c r="A75" s="1"/>
      <c r="B75" s="5" t="s">
        <v>648</v>
      </c>
      <c r="C75" s="6"/>
      <c r="D75" s="6"/>
      <c r="E75" s="6"/>
      <c r="F75" s="6"/>
      <c r="G75" s="6"/>
      <c r="H75" s="6"/>
      <c r="I75" s="6"/>
      <c r="J75" s="6"/>
      <c r="K75" s="7" t="s">
        <v>605</v>
      </c>
    </row>
    <row r="76">
      <c r="A76" s="1"/>
      <c r="B76" s="5" t="s">
        <v>649</v>
      </c>
      <c r="C76" s="46">
        <v>-2842.5</v>
      </c>
      <c r="D76" s="12"/>
      <c r="E76" s="12"/>
      <c r="F76" s="12"/>
      <c r="G76" s="12"/>
      <c r="H76" s="12"/>
      <c r="I76" s="12"/>
      <c r="J76" s="12"/>
      <c r="K76" s="7"/>
    </row>
    <row r="77">
      <c r="A77" s="1"/>
      <c r="B77" s="5" t="s">
        <v>650</v>
      </c>
      <c r="C77" s="46">
        <v>-2587255.52</v>
      </c>
      <c r="D77" s="12"/>
      <c r="E77" s="12"/>
      <c r="F77" s="12"/>
      <c r="G77" s="12"/>
      <c r="H77" s="12"/>
      <c r="I77" s="12"/>
      <c r="J77" s="12"/>
      <c r="K77" s="7"/>
    </row>
    <row r="78">
      <c r="A78" s="1"/>
      <c r="B78" s="5" t="s">
        <v>651</v>
      </c>
      <c r="C78" s="6"/>
      <c r="D78" s="6"/>
      <c r="E78" s="6"/>
      <c r="F78" s="6"/>
      <c r="G78" s="6"/>
      <c r="H78" s="6"/>
      <c r="I78" s="6"/>
      <c r="J78" s="6"/>
      <c r="K78" s="7" t="s">
        <v>605</v>
      </c>
    </row>
    <row r="79">
      <c r="A79" s="1"/>
      <c r="B79" s="5" t="s">
        <v>652</v>
      </c>
      <c r="C79" s="6"/>
      <c r="D79" s="6"/>
      <c r="E79" s="6"/>
      <c r="F79" s="6"/>
      <c r="G79" s="6"/>
      <c r="H79" s="6"/>
      <c r="I79" s="6"/>
      <c r="J79" s="6"/>
      <c r="K79" s="7" t="s">
        <v>605</v>
      </c>
    </row>
    <row r="80">
      <c r="A80" s="1"/>
      <c r="B80" s="5" t="s">
        <v>653</v>
      </c>
      <c r="C80" s="6"/>
      <c r="D80" s="6"/>
      <c r="E80" s="6"/>
      <c r="F80" s="6"/>
      <c r="G80" s="6"/>
      <c r="H80" s="6"/>
      <c r="I80" s="6"/>
      <c r="J80" s="6"/>
      <c r="K80" s="7" t="s">
        <v>605</v>
      </c>
    </row>
    <row r="81">
      <c r="A81" s="1"/>
      <c r="B81" s="5" t="s">
        <v>654</v>
      </c>
      <c r="C81" s="6"/>
      <c r="D81" s="6"/>
      <c r="E81" s="6"/>
      <c r="F81" s="6"/>
      <c r="G81" s="6"/>
      <c r="H81" s="6"/>
      <c r="I81" s="6"/>
      <c r="J81" s="6"/>
      <c r="K81" s="7" t="s">
        <v>605</v>
      </c>
    </row>
    <row r="82">
      <c r="A82" s="1"/>
      <c r="B82" s="5" t="s">
        <v>655</v>
      </c>
      <c r="C82" s="6"/>
      <c r="D82" s="6"/>
      <c r="E82" s="6"/>
      <c r="F82" s="6"/>
      <c r="G82" s="6"/>
      <c r="H82" s="6"/>
      <c r="I82" s="6"/>
      <c r="J82" s="6"/>
      <c r="K82" s="7" t="s">
        <v>605</v>
      </c>
    </row>
    <row r="83">
      <c r="A83" s="1"/>
      <c r="B83" s="5" t="s">
        <v>656</v>
      </c>
      <c r="C83" s="6"/>
      <c r="D83" s="6"/>
      <c r="E83" s="6"/>
      <c r="F83" s="6"/>
      <c r="G83" s="6"/>
      <c r="H83" s="6"/>
      <c r="I83" s="6"/>
      <c r="J83" s="6"/>
      <c r="K83" s="7" t="s">
        <v>605</v>
      </c>
    </row>
    <row r="84">
      <c r="A84" s="1"/>
      <c r="B84" s="5" t="s">
        <v>657</v>
      </c>
      <c r="C84" s="46">
        <v>3277.94</v>
      </c>
      <c r="D84" s="12"/>
      <c r="E84" s="12"/>
      <c r="F84" s="12"/>
      <c r="G84" s="12"/>
      <c r="H84" s="12"/>
      <c r="I84" s="12"/>
      <c r="J84" s="12"/>
      <c r="K84" s="7"/>
    </row>
    <row r="85">
      <c r="A85" s="1"/>
      <c r="B85" s="5" t="s">
        <v>658</v>
      </c>
      <c r="C85" s="46">
        <v>3220</v>
      </c>
      <c r="D85" s="12"/>
      <c r="E85" s="12"/>
      <c r="F85" s="12"/>
      <c r="G85" s="12"/>
      <c r="H85" s="12"/>
      <c r="I85" s="12"/>
      <c r="J85" s="12"/>
      <c r="K85" s="7"/>
    </row>
    <row r="86">
      <c r="A86" s="1"/>
      <c r="B86" s="5" t="s">
        <v>659</v>
      </c>
      <c r="C86" s="46">
        <v>4410</v>
      </c>
      <c r="D86" s="12"/>
      <c r="E86" s="12"/>
      <c r="F86" s="12"/>
      <c r="G86" s="12"/>
      <c r="H86" s="12"/>
      <c r="I86" s="12"/>
      <c r="J86" s="12"/>
      <c r="K86" s="7"/>
    </row>
    <row r="87">
      <c r="A87" s="1"/>
      <c r="B87" s="5" t="s">
        <v>660</v>
      </c>
      <c r="C87" s="46">
        <v>2650</v>
      </c>
      <c r="D87" s="12"/>
      <c r="E87" s="12"/>
      <c r="F87" s="12"/>
      <c r="G87" s="12"/>
      <c r="H87" s="12"/>
      <c r="I87" s="12"/>
      <c r="J87" s="12"/>
      <c r="K87" s="7"/>
    </row>
    <row r="88">
      <c r="A88" s="1"/>
      <c r="B88" s="5" t="s">
        <v>661</v>
      </c>
      <c r="C88" s="46">
        <v>345.72</v>
      </c>
      <c r="D88" s="12"/>
      <c r="E88" s="12"/>
      <c r="F88" s="12"/>
      <c r="G88" s="12"/>
      <c r="H88" s="12"/>
      <c r="I88" s="12"/>
      <c r="J88" s="12"/>
      <c r="K88" s="7"/>
    </row>
    <row r="89">
      <c r="A89" s="1"/>
      <c r="B89" s="5" t="s">
        <v>662</v>
      </c>
      <c r="C89" s="89">
        <v>35</v>
      </c>
      <c r="D89" s="66"/>
      <c r="E89" s="66"/>
      <c r="F89" s="66"/>
      <c r="G89" s="66"/>
      <c r="H89" s="66"/>
      <c r="I89" s="66"/>
      <c r="J89" s="66"/>
      <c r="K89" s="7"/>
    </row>
    <row r="90">
      <c r="A90" s="1"/>
      <c r="B90" s="5" t="s">
        <v>663</v>
      </c>
      <c r="C90" s="87" t="s">
        <v>664</v>
      </c>
      <c r="D90" s="6"/>
      <c r="E90" s="6"/>
      <c r="F90" s="6"/>
      <c r="G90" s="6"/>
      <c r="H90" s="6"/>
      <c r="I90" s="6"/>
      <c r="J90" s="6"/>
      <c r="K90" s="7"/>
    </row>
    <row r="91">
      <c r="A91" s="1"/>
      <c r="B91" s="5" t="s">
        <v>665</v>
      </c>
      <c r="C91" s="40">
        <v>1.38</v>
      </c>
      <c r="D91" s="54"/>
      <c r="E91" s="54"/>
      <c r="F91" s="54"/>
      <c r="G91" s="54"/>
      <c r="H91" s="54"/>
      <c r="I91" s="54"/>
      <c r="J91" s="54"/>
      <c r="K91" s="7"/>
    </row>
    <row r="92">
      <c r="A92" s="1"/>
      <c r="B92" s="5" t="s">
        <v>666</v>
      </c>
      <c r="C92" s="46">
        <v>283</v>
      </c>
      <c r="D92" s="12"/>
      <c r="E92" s="12"/>
      <c r="F92" s="12"/>
      <c r="G92" s="12"/>
      <c r="H92" s="12"/>
      <c r="I92" s="12"/>
      <c r="J92" s="12"/>
      <c r="K92" s="7"/>
    </row>
    <row r="93">
      <c r="A93" s="1"/>
      <c r="B93" s="5" t="s">
        <v>667</v>
      </c>
      <c r="C93" s="87" t="s">
        <v>668</v>
      </c>
      <c r="D93" s="6"/>
      <c r="E93" s="6"/>
      <c r="F93" s="6"/>
      <c r="G93" s="6"/>
      <c r="H93" s="6"/>
      <c r="I93" s="6"/>
      <c r="J93" s="6"/>
      <c r="K93" s="7"/>
    </row>
    <row r="94">
      <c r="A94" s="1"/>
      <c r="B94" s="5" t="s">
        <v>585</v>
      </c>
      <c r="C94" s="87" t="s">
        <v>669</v>
      </c>
      <c r="D94" s="6"/>
      <c r="E94" s="6"/>
      <c r="F94" s="6"/>
      <c r="G94" s="6"/>
      <c r="H94" s="6"/>
      <c r="I94" s="6"/>
      <c r="J94" s="6"/>
      <c r="K94" s="7"/>
    </row>
    <row r="95">
      <c r="A95" s="1"/>
      <c r="B95" s="5" t="s">
        <v>670</v>
      </c>
      <c r="C95" s="87" t="s">
        <v>592</v>
      </c>
      <c r="D95" s="6"/>
      <c r="E95" s="6"/>
      <c r="F95" s="6"/>
      <c r="G95" s="6"/>
      <c r="H95" s="6"/>
      <c r="I95" s="6"/>
      <c r="J95" s="6"/>
      <c r="K95" s="7"/>
    </row>
    <row r="96">
      <c r="A96" s="1"/>
      <c r="B96" s="5" t="s">
        <v>671</v>
      </c>
      <c r="C96" s="136">
        <v>46306</v>
      </c>
      <c r="D96" s="6"/>
      <c r="E96" s="6"/>
      <c r="F96" s="6"/>
      <c r="G96" s="6"/>
      <c r="H96" s="6"/>
      <c r="I96" s="6"/>
      <c r="J96" s="6"/>
      <c r="K96" s="7"/>
    </row>
    <row r="97">
      <c r="A97" s="1"/>
      <c r="B97" s="5" t="s">
        <v>672</v>
      </c>
      <c r="C97" s="87" t="s">
        <v>673</v>
      </c>
      <c r="D97" s="6"/>
      <c r="E97" s="6"/>
      <c r="F97" s="6"/>
      <c r="G97" s="6"/>
      <c r="H97" s="6"/>
      <c r="I97" s="6"/>
      <c r="J97" s="6"/>
      <c r="K97" s="7"/>
    </row>
    <row r="98">
      <c r="A98" s="1"/>
      <c r="B98" s="5"/>
      <c r="C98" s="4"/>
      <c r="D98" s="4"/>
      <c r="E98" s="4"/>
      <c r="F98" s="4"/>
      <c r="G98" s="4"/>
      <c r="H98" s="4"/>
      <c r="I98" s="4"/>
      <c r="J98" s="4"/>
      <c r="K98" s="7"/>
    </row>
    <row r="99">
      <c r="A99" s="1"/>
      <c r="B99" s="11" t="s">
        <v>674</v>
      </c>
      <c r="C99" s="22"/>
      <c r="D99" s="22"/>
      <c r="E99" s="22"/>
      <c r="F99" s="22"/>
      <c r="G99" s="22"/>
      <c r="H99" s="22"/>
      <c r="I99" s="22"/>
      <c r="J99" s="22"/>
      <c r="K99" s="7"/>
    </row>
    <row r="100">
      <c r="A100" s="1"/>
      <c r="B100" s="143" t="s">
        <v>578</v>
      </c>
      <c r="C100" s="113" t="s">
        <v>675</v>
      </c>
      <c r="D100" s="113" t="s">
        <v>676</v>
      </c>
      <c r="E100" s="113" t="s">
        <v>677</v>
      </c>
      <c r="F100" s="113" t="s">
        <v>678</v>
      </c>
      <c r="G100" s="113" t="s">
        <v>679</v>
      </c>
      <c r="H100" s="113" t="s">
        <v>680</v>
      </c>
      <c r="I100" s="113" t="s">
        <v>681</v>
      </c>
      <c r="J100" s="6"/>
      <c r="K100" s="7"/>
    </row>
    <row r="101">
      <c r="A101" s="1"/>
      <c r="B101" s="144">
        <v>45747</v>
      </c>
      <c r="C101" s="45">
        <v>45764</v>
      </c>
      <c r="D101" s="85">
        <v>2.05</v>
      </c>
      <c r="E101" s="85">
        <v>2.12</v>
      </c>
      <c r="F101" s="85">
        <v>2.05</v>
      </c>
      <c r="G101" s="85">
        <v>2.12</v>
      </c>
      <c r="H101" s="46">
        <v>835854</v>
      </c>
      <c r="I101" s="46">
        <v>839254</v>
      </c>
      <c r="J101" s="4"/>
      <c r="K101" s="7"/>
    </row>
    <row r="102">
      <c r="A102" s="1"/>
      <c r="B102" s="144">
        <v>45838</v>
      </c>
      <c r="C102" s="45">
        <v>45855</v>
      </c>
      <c r="D102" s="85">
        <v>2.31</v>
      </c>
      <c r="E102" s="85">
        <v>2.47</v>
      </c>
      <c r="F102" s="85">
        <v>2.33</v>
      </c>
      <c r="G102" s="85">
        <v>2.47</v>
      </c>
      <c r="H102" s="46">
        <v>919105.97</v>
      </c>
      <c r="I102" s="46">
        <v>933792</v>
      </c>
      <c r="J102" s="4"/>
      <c r="K102" s="7"/>
    </row>
    <row r="103">
      <c r="A103" s="1"/>
      <c r="B103" s="144">
        <v>45930</v>
      </c>
      <c r="C103" s="45">
        <v>45946</v>
      </c>
      <c r="D103" s="85">
        <v>2.63</v>
      </c>
      <c r="E103" s="85">
        <v>2.92</v>
      </c>
      <c r="F103" s="85">
        <v>2.6</v>
      </c>
      <c r="G103" s="85">
        <v>2.92</v>
      </c>
      <c r="H103" s="46">
        <v>967146.11</v>
      </c>
      <c r="I103" s="46">
        <v>989918</v>
      </c>
      <c r="J103" s="4"/>
      <c r="K103" s="7"/>
    </row>
    <row r="104">
      <c r="A104" s="1"/>
      <c r="B104" s="144">
        <v>46022</v>
      </c>
      <c r="C104" s="45">
        <v>46037</v>
      </c>
      <c r="D104" s="85">
        <v>2.98</v>
      </c>
      <c r="E104" s="85">
        <v>3.14</v>
      </c>
      <c r="F104" s="85">
        <v>2.98</v>
      </c>
      <c r="G104" s="85">
        <v>3.14</v>
      </c>
      <c r="H104" s="46">
        <v>1035818.84</v>
      </c>
      <c r="I104" s="46">
        <v>1046090</v>
      </c>
      <c r="J104" s="4"/>
      <c r="K104" s="7"/>
    </row>
    <row r="105">
      <c r="A105" s="1"/>
      <c r="B105" s="144">
        <v>46112</v>
      </c>
      <c r="C105" s="45">
        <v>46128</v>
      </c>
      <c r="D105" s="85">
        <v>3.33</v>
      </c>
      <c r="E105" s="85">
        <v>3.49</v>
      </c>
      <c r="F105" s="85">
        <v>3.34</v>
      </c>
      <c r="G105" s="85">
        <v>3.49</v>
      </c>
      <c r="H105" s="46">
        <v>1122209.44</v>
      </c>
      <c r="I105" s="46">
        <v>1134103</v>
      </c>
      <c r="J105" s="4"/>
      <c r="K105" s="7"/>
    </row>
    <row r="106">
      <c r="A106" s="1"/>
      <c r="B106" s="144">
        <v>46203</v>
      </c>
      <c r="C106" s="45">
        <v>46219</v>
      </c>
      <c r="D106" s="85">
        <v>3.89</v>
      </c>
      <c r="E106" s="85">
        <v>4.31</v>
      </c>
      <c r="F106" s="85">
        <v>3.94</v>
      </c>
      <c r="G106" s="85">
        <v>4.31</v>
      </c>
      <c r="H106" s="46">
        <v>1264406.46</v>
      </c>
      <c r="I106" s="46">
        <v>1270380</v>
      </c>
      <c r="J106" s="4"/>
      <c r="K106" s="7"/>
    </row>
    <row r="107">
      <c r="A107" s="1"/>
      <c r="B107" s="5"/>
      <c r="C107" s="4"/>
      <c r="D107" s="4"/>
      <c r="E107" s="4"/>
      <c r="F107" s="4"/>
      <c r="G107" s="4"/>
      <c r="H107" s="4"/>
      <c r="I107" s="4"/>
      <c r="J107" s="4"/>
      <c r="K107" s="7"/>
    </row>
    <row r="108">
      <c r="A108" s="1"/>
      <c r="B108" s="11" t="s">
        <v>682</v>
      </c>
      <c r="C108" s="22"/>
      <c r="D108" s="22"/>
      <c r="E108" s="22"/>
      <c r="F108" s="22"/>
      <c r="G108" s="22"/>
      <c r="H108" s="22"/>
      <c r="I108" s="22"/>
      <c r="J108" s="22"/>
      <c r="K108" s="7"/>
    </row>
    <row r="109">
      <c r="A109" s="1"/>
      <c r="B109" s="11" t="s">
        <v>683</v>
      </c>
      <c r="C109" s="138" t="s">
        <v>684</v>
      </c>
      <c r="D109" s="138" t="s">
        <v>685</v>
      </c>
      <c r="E109" s="138" t="s">
        <v>686</v>
      </c>
      <c r="F109" s="138" t="s">
        <v>687</v>
      </c>
      <c r="G109" s="138" t="s">
        <v>688</v>
      </c>
      <c r="H109" s="25"/>
      <c r="I109" s="25"/>
      <c r="J109" s="25"/>
      <c r="K109" s="7"/>
    </row>
    <row r="110">
      <c r="A110" s="1"/>
      <c r="B110" s="5" t="s">
        <v>689</v>
      </c>
      <c r="C110" s="86">
        <f>B101</f>
        <v>45747</v>
      </c>
      <c r="D110" s="73">
        <f>E101</f>
        <v>2.12</v>
      </c>
      <c r="E110" s="73">
        <f>D101</f>
        <v>2.05</v>
      </c>
      <c r="F110" s="73">
        <f>E101-D101</f>
        <v>0.07000000000000028</v>
      </c>
      <c r="G110" s="66">
        <f>IF(E101&gt;D101,1,0)</f>
        <v>1</v>
      </c>
      <c r="H110" s="4"/>
      <c r="I110" s="4"/>
      <c r="J110" s="4"/>
      <c r="K110" s="7"/>
    </row>
    <row r="111">
      <c r="A111" s="1"/>
      <c r="B111" s="5" t="s">
        <v>690</v>
      </c>
      <c r="C111" s="86">
        <f>B102</f>
        <v>45838</v>
      </c>
      <c r="D111" s="73">
        <f>E102</f>
        <v>2.47</v>
      </c>
      <c r="E111" s="73">
        <f>D102</f>
        <v>2.31</v>
      </c>
      <c r="F111" s="73">
        <f>E102-D102</f>
        <v>0.16000000000000014</v>
      </c>
      <c r="G111" s="66">
        <f>IF(E102&gt;D102,1,0)</f>
        <v>1</v>
      </c>
      <c r="H111" s="4"/>
      <c r="I111" s="4"/>
      <c r="J111" s="4"/>
      <c r="K111" s="7"/>
    </row>
    <row r="112">
      <c r="A112" s="1"/>
      <c r="B112" s="5" t="s">
        <v>691</v>
      </c>
      <c r="C112" s="86">
        <f>B103</f>
        <v>45930</v>
      </c>
      <c r="D112" s="73">
        <f>E103</f>
        <v>2.92</v>
      </c>
      <c r="E112" s="73">
        <f>D103</f>
        <v>2.63</v>
      </c>
      <c r="F112" s="73">
        <f>E103-D103</f>
        <v>0.29000000000000004</v>
      </c>
      <c r="G112" s="66">
        <f>IF(E103&gt;D103,1,0)</f>
        <v>1</v>
      </c>
      <c r="H112" s="4"/>
      <c r="I112" s="4"/>
      <c r="J112" s="4"/>
      <c r="K112" s="7"/>
    </row>
    <row r="113">
      <c r="A113" s="1"/>
      <c r="B113" s="5" t="s">
        <v>692</v>
      </c>
      <c r="C113" s="86">
        <f>B104</f>
        <v>46022</v>
      </c>
      <c r="D113" s="73">
        <f>E104</f>
        <v>3.14</v>
      </c>
      <c r="E113" s="73">
        <f>D104</f>
        <v>2.98</v>
      </c>
      <c r="F113" s="73">
        <f>E104-D104</f>
        <v>0.16000000000000014</v>
      </c>
      <c r="G113" s="66">
        <f>IF(E104&gt;D104,1,0)</f>
        <v>1</v>
      </c>
      <c r="H113" s="4"/>
      <c r="I113" s="4"/>
      <c r="J113" s="4"/>
      <c r="K113" s="7"/>
    </row>
    <row r="114">
      <c r="A114" s="1"/>
      <c r="B114" s="5" t="s">
        <v>693</v>
      </c>
      <c r="C114" s="86">
        <f>B105</f>
        <v>46112</v>
      </c>
      <c r="D114" s="73">
        <f>E105</f>
        <v>3.49</v>
      </c>
      <c r="E114" s="73">
        <f>D105</f>
        <v>3.33</v>
      </c>
      <c r="F114" s="73">
        <f>E105-D105</f>
        <v>0.16000000000000014</v>
      </c>
      <c r="G114" s="66">
        <f>IF(E105&gt;D105,1,0)</f>
        <v>1</v>
      </c>
      <c r="H114" s="4"/>
      <c r="I114" s="4"/>
      <c r="J114" s="4"/>
      <c r="K114" s="7"/>
    </row>
    <row r="115">
      <c r="A115" s="1"/>
      <c r="B115" s="5" t="s">
        <v>694</v>
      </c>
      <c r="C115" s="86">
        <f>B106</f>
        <v>46203</v>
      </c>
      <c r="D115" s="73">
        <f>E106</f>
        <v>4.31</v>
      </c>
      <c r="E115" s="73">
        <f>D106</f>
        <v>3.89</v>
      </c>
      <c r="F115" s="73">
        <f>E106-D106</f>
        <v>0.4199999999999995</v>
      </c>
      <c r="G115" s="66">
        <f>IF(E106&gt;D106,1,0)</f>
        <v>1</v>
      </c>
      <c r="H115" s="4"/>
      <c r="I115" s="4"/>
      <c r="J115" s="4"/>
      <c r="K115" s="7"/>
    </row>
    <row r="116">
      <c r="A116" s="1"/>
      <c r="B116" s="5" t="s">
        <v>695</v>
      </c>
      <c r="C116" s="73"/>
      <c r="D116" s="73"/>
      <c r="E116" s="73"/>
      <c r="F116" s="73">
        <f>AVERAGE(F110:F115)</f>
        <v>0.21000000000000005</v>
      </c>
      <c r="G116" s="73"/>
      <c r="H116" s="73"/>
      <c r="I116" s="73"/>
      <c r="J116" s="73"/>
      <c r="K116" s="7"/>
    </row>
    <row r="117">
      <c r="A117" s="1"/>
      <c r="B117" s="5" t="s">
        <v>696</v>
      </c>
      <c r="C117" s="38">
        <v>2351</v>
      </c>
      <c r="D117" s="39"/>
      <c r="E117" s="39"/>
      <c r="F117" s="39"/>
      <c r="G117" s="39"/>
      <c r="H117" s="39"/>
      <c r="I117" s="39"/>
      <c r="J117" s="39"/>
      <c r="K117" s="7" t="s">
        <v>697</v>
      </c>
    </row>
    <row r="118">
      <c r="A118" s="1"/>
      <c r="B118" s="5" t="s">
        <v>698</v>
      </c>
      <c r="C118" s="6" t="str">
        <f>IF(C117&gt;10,"large",IF(C117&gt;=2,"mid","small"))</f>
        <v>large</v>
      </c>
      <c r="D118" s="6"/>
      <c r="E118" s="6"/>
      <c r="F118" s="6"/>
      <c r="G118" s="6"/>
      <c r="H118" s="6"/>
      <c r="I118" s="6"/>
      <c r="J118" s="6"/>
      <c r="K118" s="7" t="s">
        <v>699</v>
      </c>
    </row>
    <row r="119">
      <c r="A119" s="1"/>
      <c r="B119" s="5" t="s">
        <v>700</v>
      </c>
      <c r="C119" s="6" t="str">
        <f>C32</f>
        <v>N</v>
      </c>
      <c r="D119" s="6"/>
      <c r="E119" s="6"/>
      <c r="F119" s="6"/>
      <c r="G119" s="6"/>
      <c r="H119" s="6"/>
      <c r="I119" s="6"/>
      <c r="J119" s="6"/>
      <c r="K119" s="7"/>
    </row>
    <row r="120">
      <c r="A120" s="1"/>
      <c r="B120" s="18" t="s">
        <v>701</v>
      </c>
      <c r="C120" s="68">
        <f>IF(OR(C118="large",C119="Y"),0.78,IF(C118="mid",0.7,0.6))</f>
        <v>0.78</v>
      </c>
      <c r="D120" s="68"/>
      <c r="E120" s="68"/>
      <c r="F120" s="68"/>
      <c r="G120" s="68"/>
      <c r="H120" s="68"/>
      <c r="I120" s="68"/>
      <c r="J120" s="68"/>
      <c r="K120" s="7" t="s">
        <v>702</v>
      </c>
    </row>
    <row r="121">
      <c r="A121" s="1"/>
      <c r="B121" s="5" t="s">
        <v>703</v>
      </c>
      <c r="C121" s="66">
        <f>SUM(G110:G115)</f>
        <v>6</v>
      </c>
      <c r="D121" s="66"/>
      <c r="E121" s="66"/>
      <c r="F121" s="66"/>
      <c r="G121" s="66"/>
      <c r="H121" s="66"/>
      <c r="I121" s="66"/>
      <c r="J121" s="66"/>
      <c r="K121" s="7"/>
    </row>
    <row r="122">
      <c r="A122" s="1"/>
      <c r="B122" s="5" t="s">
        <v>704</v>
      </c>
      <c r="C122" s="66">
        <f>COUNT(F110:F115)</f>
        <v>6</v>
      </c>
      <c r="D122" s="66"/>
      <c r="E122" s="66"/>
      <c r="F122" s="66"/>
      <c r="G122" s="66"/>
      <c r="H122" s="66"/>
      <c r="I122" s="66"/>
      <c r="J122" s="66"/>
      <c r="K122" s="7"/>
    </row>
    <row r="123">
      <c r="A123" s="1"/>
      <c r="B123" s="5" t="s">
        <v>705</v>
      </c>
      <c r="C123" s="89">
        <v>8</v>
      </c>
      <c r="D123" s="66"/>
      <c r="E123" s="66"/>
      <c r="F123" s="66"/>
      <c r="G123" s="66"/>
      <c r="H123" s="66"/>
      <c r="I123" s="66"/>
      <c r="J123" s="66"/>
      <c r="K123" s="7"/>
    </row>
    <row r="124">
      <c r="A124" s="1"/>
      <c r="B124" s="18" t="s">
        <v>706</v>
      </c>
      <c r="C124" s="68">
        <f>(C123*C120+C121)/(C123+C122)</f>
        <v>0.8742857142857143</v>
      </c>
      <c r="D124" s="68"/>
      <c r="E124" s="68"/>
      <c r="F124" s="68"/>
      <c r="G124" s="68"/>
      <c r="H124" s="68"/>
      <c r="I124" s="68"/>
      <c r="J124" s="68"/>
      <c r="K124" s="7"/>
    </row>
    <row r="125">
      <c r="A125" s="1"/>
      <c r="B125" s="18" t="s">
        <v>707</v>
      </c>
      <c r="C125" s="91">
        <v>0.046</v>
      </c>
      <c r="D125" s="68"/>
      <c r="E125" s="68"/>
      <c r="F125" s="68"/>
      <c r="G125" s="68"/>
      <c r="H125" s="68"/>
      <c r="I125" s="68"/>
      <c r="J125" s="68"/>
      <c r="K125" s="7" t="s">
        <v>708</v>
      </c>
    </row>
    <row r="126">
      <c r="A126" s="1"/>
      <c r="B126" s="78" t="s">
        <v>709</v>
      </c>
      <c r="C126" s="90">
        <f>C124+C125</f>
        <v>0.9202857142857144</v>
      </c>
      <c r="D126" s="90"/>
      <c r="E126" s="90"/>
      <c r="F126" s="90"/>
      <c r="G126" s="90"/>
      <c r="H126" s="90"/>
      <c r="I126" s="90"/>
      <c r="J126" s="90"/>
      <c r="K126" s="7"/>
    </row>
    <row r="127">
      <c r="A127" s="1"/>
      <c r="B127" s="5" t="s">
        <v>54</v>
      </c>
      <c r="C127" s="87" t="s">
        <v>710</v>
      </c>
      <c r="D127" s="6"/>
      <c r="E127" s="6"/>
      <c r="F127" s="6"/>
      <c r="G127" s="6"/>
      <c r="H127" s="6"/>
      <c r="I127" s="6"/>
      <c r="J127" s="6"/>
      <c r="K127" s="7"/>
    </row>
    <row r="128">
      <c r="A128" s="1"/>
      <c r="B128" s="1" t="s">
        <v>711</v>
      </c>
      <c r="C128" s="116">
        <f>C92*'Share Count'!I27/1000</f>
        <v>1467.7382386</v>
      </c>
      <c r="D128" s="1"/>
      <c r="E128" s="1"/>
      <c r="F128" s="1"/>
      <c r="G128" s="1"/>
      <c r="H128" s="1"/>
      <c r="I128" s="1"/>
      <c r="J128" s="1"/>
      <c r="K128" s="115" t="s">
        <v>712</v>
      </c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</sheetData>
  <legacyDrawing r:id="rId2"/>
</worksheet>
</file>