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UnitedHealthcare" sheetId="3" r:id="rId4"/>
    <sheet name="Segment - Optum Health" sheetId="4" r:id="rId5"/>
    <sheet name="Segment - Optum Insight" sheetId="5" r:id="rId6"/>
    <sheet name="Segment - Optum Rx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10" authorId="0">
      <text>
        <t>Source: S3 "at least $16.25"</t>
      </text>
    </comment>
    <comment ref="B11" authorId="0">
      <text>
        <t>Source: S3 "at least $14.90"; 4Q25 $2.8bn charge</t>
      </text>
    </comment>
    <comment ref="B12" authorId="0">
      <text>
        <t>Source: S3 "At least $13,600"</t>
      </text>
    </comment>
    <comment ref="B13" authorId="0">
      <text>
        <t>Source: S5 "&gt;$17.75"</t>
      </text>
    </comment>
    <comment ref="B14" authorId="0">
      <text>
        <t>Source: S5</t>
      </text>
    </comment>
    <comment ref="B15" authorId="0">
      <text>
        <t>Source: S5 "&gt;$439.0 billion"</t>
      </text>
    </comment>
    <comment ref="B16" authorId="0">
      <text>
        <t>Source: S5</t>
      </text>
    </comment>
    <comment ref="B17" authorId="0">
      <text>
        <t>Source: S5</t>
      </text>
    </comment>
    <comment ref="B18" authorId="0">
      <text>
        <t>Source: S5 "88.8% ± 50 bps"</t>
      </text>
    </comment>
    <comment ref="B19" authorId="0">
      <text>
        <t>Source: S5 "12.8% ± 50 bps"</t>
      </text>
    </comment>
    <comment ref="B20" authorId="0">
      <text>
        <t>Source: S5 "~19.25%"</t>
      </text>
    </comment>
    <comment ref="B21" authorId="0">
      <text>
        <t>Source: S5</t>
      </text>
    </comment>
    <comment ref="B22" authorId="0">
      <text>
        <t>Source: S5 "~$2,500"</t>
      </text>
    </comment>
    <comment ref="B23" authorId="0">
      <text>
        <t>Source: S5 "~$3,800"</t>
      </text>
    </comment>
    <comment ref="B24" authorId="0">
      <text>
        <t>Source: S5</t>
      </text>
    </comment>
    <comment ref="B25" authorId="0">
      <text>
        <t>Source: S5</t>
      </text>
    </comment>
    <comment ref="B26" authorId="0">
      <text>
        <t>Source: S5</t>
      </text>
    </comment>
    <comment ref="B27" authorId="0">
      <text>
        <t>Source: S5</t>
      </text>
    </comment>
    <comment ref="B28" authorId="0">
      <text>
        <t>Source: S5</t>
      </text>
    </comment>
    <comment ref="B29" authorId="0">
      <text>
        <t>Source: S5</t>
      </text>
    </comment>
    <comment ref="B30" authorId="0">
      <text>
        <t>Source: S5</t>
      </text>
    </comment>
    <comment ref="B31" authorId="0">
      <text>
        <t>Source: S5</t>
      </text>
    </comment>
    <comment ref="B32" authorId="0">
      <text>
        <t>Source: S5</t>
      </text>
    </comment>
    <comment ref="B33" authorId="0">
      <text>
        <t>Source: S5</t>
      </text>
    </comment>
    <comment ref="B34" authorId="0">
      <text>
        <t>Source: S5</t>
      </text>
    </comment>
    <comment ref="B35" authorId="0">
      <text>
        <t>Source: S7 "&gt;$18.25"</t>
      </text>
    </comment>
    <comment ref="B36" authorId="0">
      <text>
        <t>Source: S7</t>
      </text>
    </comment>
    <comment ref="B37" authorId="0">
      <text>
        <t>Source: S7</t>
      </text>
    </comment>
    <comment ref="B38" authorId="0">
      <text>
        <t>Source: S9 "$19.50 - $20.00"</t>
      </text>
    </comment>
    <comment ref="B39" authorId="0">
      <text>
        <t>Source: S9</t>
      </text>
    </comment>
    <comment ref="B40" authorId="0">
      <text>
        <t>Source: S9 "&gt; $16,750"</t>
      </text>
    </comment>
    <comment ref="B41" authorId="0">
      <text>
        <t>Source: S9 "&gt; $17,725"</t>
      </text>
    </comment>
    <comment ref="B42" authorId="0">
      <text>
        <t>Source: S9 (adjusted &gt;$25,215)</t>
      </text>
    </comment>
    <comment ref="B43" authorId="0">
      <text>
        <t>Source: S9 "88.1% ± 25 bps"</t>
      </text>
    </comment>
    <comment ref="B44" authorId="0">
      <text>
        <t>Source: S9 "~18.5%"</t>
      </text>
    </comment>
    <comment ref="B45" authorId="0">
      <text>
        <t>Source: S9 "~$24,000"</t>
      </text>
    </comment>
    <comment ref="B46" authorId="0">
      <text>
        <t>Source: S9 "At Least $5,000"</t>
      </text>
    </comment>
    <comment ref="B47" authorId="0">
      <text>
        <t>Source: S9 "~1,345"</t>
      </text>
    </comment>
    <comment ref="B48" authorId="0">
      <text>
        <t>Source: S9</t>
      </text>
    </comment>
    <comment ref="B49" authorId="0">
      <text>
        <t>Source: S9 (adjusted &gt;$2,215)</t>
      </text>
    </comment>
    <comment ref="B50" authorId="0">
      <text>
        <t>Source: S9 (adjusted &gt;$4,750)</t>
      </text>
    </comment>
    <comment ref="B51" authorId="0">
      <text>
        <t>Source: S9</t>
      </text>
    </comment>
  </commentList>
</comments>
</file>

<file path=xl/sharedStrings.xml><?xml version="1.0" encoding="utf-8"?>
<sst xmlns="http://schemas.openxmlformats.org/spreadsheetml/2006/main" count="2836" uniqueCount="865">
  <si>
    <t>UnitedHealth Group Incorporated (NYSE: UNH)</t>
  </si>
  <si>
    <t>Cover — Company Model — built by Shortcut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</si>
  <si>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</si>
  <si>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</si>
  <si>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</si>
  <si>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</si>
  <si>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</si>
  <si>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</si>
  <si>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</si>
  <si>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</si>
  <si>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</si>
  <si>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</si>
  <si>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</si>
  <si>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Company Model — built by Shortcut</t>
  </si>
  <si>
    <t>Company</t>
  </si>
  <si>
    <t>UnitedHealth Group Incorporated</t>
  </si>
  <si>
    <t>Ticker</t>
  </si>
  <si>
    <t>UNH</t>
  </si>
  <si>
    <t>Exchange</t>
  </si>
  <si>
    <t>New York Stock Exchange (NYSE: UNH)</t>
  </si>
  <si>
    <t>Fiscal year end</t>
  </si>
  <si>
    <t>December 31 (calendar year)</t>
  </si>
  <si>
    <t>Currency</t>
  </si>
  <si>
    <t>USD</t>
  </si>
  <si>
    <t>EPS basis</t>
  </si>
  <si>
    <t>Adjusted (normalized) diluted EPS per common share, USD = CapIQ normalized basis</t>
  </si>
  <si>
    <t>Forecast period</t>
  </si>
  <si>
    <t>FQ3 2026 / 3Q26E — quarter ended 2026-09-30 (calendar quarter; supplied label matches)</t>
  </si>
  <si>
    <t>Information cutoff</t>
  </si>
  <si>
    <t>2026-10-11 22:24 UTC</t>
  </si>
  <si>
    <t>Expected report date</t>
  </si>
  <si>
    <t>2026-10-13, before market open (confirmed by issuer, S13)</t>
  </si>
  <si>
    <t>Consensus source</t>
  </si>
  <si>
    <t>S&amp;P Capital IQ snapshot captured 2026-10-11 (scoring baseline; frozen)</t>
  </si>
  <si>
    <t>Market cap ($m, Oct-9-2026)</t>
  </si>
  <si>
    <t>Headline: 3Q26E Shortcut estimate vs consensus vs guidance</t>
  </si>
  <si>
    <t>Metric</t>
  </si>
  <si>
    <t>Estimate</t>
  </si>
  <si>
    <t>Consensus</t>
  </si>
  <si>
    <t>Var. $</t>
  </si>
  <si>
    <t>Var. %</t>
  </si>
  <si>
    <t>Guidance</t>
  </si>
  <si>
    <t>Est.−guid.</t>
  </si>
  <si>
    <t>Consensus = CapIQ at cutoff; guidance = Shortcut derivation from FY26 guide (Guidance tab)</t>
  </si>
  <si>
    <t>Total revenue ($m)</t>
  </si>
  <si>
    <t>Adj. NI to common ($m)</t>
  </si>
  <si>
    <t>CapIQ net_income_excl_excep_m</t>
  </si>
  <si>
    <t>GAAP NI to common ($m)</t>
  </si>
  <si>
    <t>Adj. (normalized) EPS</t>
  </si>
  <si>
    <t>CapIQ eps_normalized_mean (n=23); scoring target. Guidance col = NI-based: implied 3Q26 adj. NI (Guidance!C71) ÷ 3Q26E diluted shares (Guidance!D67), consistent with G26. Per-share subtraction approximation (mixes share bases) = Guidance!C67 $3.38, memo only</t>
  </si>
  <si>
    <t>GAAP diluted EPS</t>
  </si>
  <si>
    <t>Guidance col = NI-based: implied 3Q26 GAAP NI (Guidance!C70) ÷ 3Q26E diluted shares (Guidance!D69), consistent with G27. Per-share subtraction approximation = Guidance!C69 $3.17, memo only</t>
  </si>
  <si>
    <t>Earnings from ops ($m)</t>
  </si>
  <si>
    <t>n/a</t>
  </si>
  <si>
    <t>CapIQ "ebit_m" = provider proxy for issuer EFO; definition not verified (CapIQ EBITDA − EBIT = 1,030.6 ≠ CapIQ D&amp;A 1,066.4). Unmatched basis: variance indicative only, tracked not scored</t>
  </si>
  <si>
    <t>Medical care ratio (vs FY26 guide)</t>
  </si>
  <si>
    <t>Guidance col G = FY26 full-year MCR midpoint 88.1% ±25bp (Guidance!G43), not a quarterly guide; H31 = estimate − FY midpoint, in basis points. FY guide implies ~90.9% 2H26 MCR (Income Statement!I62). CapIQ has no MCR field; other readings 89.9%-90.1% (Inputs G)</t>
  </si>
  <si>
    <t>Model integrity checks</t>
  </si>
  <si>
    <t>Integrity checks (all must be 0 for PASS): ties vs independently reported history plus rollforward completeness. Excluded as identities by construction: 3Q26E col H of IS rows 56-59 &amp; 86, Revenue summary rows 78 &amp; 80, UHC row 255, OH row 87, OI row 64, Rx row 70, CF row 41; link ties Revenue summary row 79, IS row 117, Cover C37:C40. Text 'n/a' cells are not tested. 3Q26E Balance Sheet H46 (A-L-E) is a rollforward-completeness tie (every line = prior quarter + modelled flows), not independent evidence of forecast validity; no independent 3Q26E check exists before results.</t>
  </si>
  <si>
    <t>P(beat consensus EPS)</t>
  </si>
  <si>
    <t>Playbook v2: start (8×0.78+3)/14 = 66.0%, +4.0pt quarter-specific evidence (Inputs D)</t>
  </si>
  <si>
    <t>Confidence</t>
  </si>
  <si>
    <t>Cover ties to statements</t>
  </si>
  <si>
    <t>Link-integrity identities (0 unless a link breaks); not independent validation; excluded from C32</t>
  </si>
  <si>
    <t>Check: revenue − IS</t>
  </si>
  <si>
    <t>Check: adj. EPS − IS</t>
  </si>
  <si>
    <t>Check: GAAP NI − IS</t>
  </si>
  <si>
    <t>Check: P(beat) − Inputs</t>
  </si>
  <si>
    <t>Key 3Q26E drivers</t>
  </si>
  <si>
    <t>MCR (3Q25A → 3Q26E)</t>
  </si>
  <si>
    <t>Opex ratio (3Q25A → 3Q26E)</t>
  </si>
  <si>
    <t>UHC EFO ($m, 3Q25A → 3Q26E)</t>
  </si>
  <si>
    <t>Optum EFO ($m, 3Q25A → 3Q26E)</t>
  </si>
  <si>
    <t>Diluted shares (3Q25A → 3Q26E)</t>
  </si>
  <si>
    <t>Revenue summary</t>
  </si>
  <si>
    <t>Geography: effectively all revenue is U.S.; only non-U.S. line is UHC E&amp;I – Global (~0.8% of revenue), on Segment - UnitedHealthcare</t>
  </si>
  <si>
    <t>Revenue by segment ($ millions)</t>
  </si>
  <si>
    <t>UnitedHealthcare</t>
  </si>
  <si>
    <t>Year-ago revenue (memo)</t>
  </si>
  <si>
    <t>% Y/Y</t>
  </si>
  <si>
    <t>% Q/Q</t>
  </si>
  <si>
    <t>% of total revenue</t>
  </si>
  <si>
    <t>M&amp;A / scope impact</t>
  </si>
  <si>
    <t>FX impact</t>
  </si>
  <si>
    <t>Organic growth</t>
  </si>
  <si>
    <t>Total Y/Y</t>
  </si>
  <si>
    <t>Optum Health</t>
  </si>
  <si>
    <t>Optum Insight</t>
  </si>
  <si>
    <t>Optum Rx</t>
  </si>
  <si>
    <t>Optum elims % of segment rev.</t>
  </si>
  <si>
    <t>3Q26E 2.1% (range 1.8%-2.3% over last four quarters)</t>
  </si>
  <si>
    <t>Q/Q change (bp)</t>
  </si>
  <si>
    <t>Y/Y change (bp)</t>
  </si>
  <si>
    <t>Year-ago Optum eliminations (memo)</t>
  </si>
  <si>
    <t>n/d</t>
  </si>
  <si>
    <t>Optum eliminations</t>
  </si>
  <si>
    <t>Recast Optum eliminations (S7 p.14; S9)</t>
  </si>
  <si>
    <t>Total Optum</t>
  </si>
  <si>
    <t>Total Optum as reported (memo)</t>
  </si>
  <si>
    <t>Check: Optum − reported</t>
  </si>
  <si>
    <t>Segment M&amp;A contributions not disclosed</t>
  </si>
  <si>
    <t>Optum FX impact not disclosed by issuer (n/d); Optum segments have no disclosed non-U.S. revenue</t>
  </si>
  <si>
    <t>organic = (1+Y/Y)/((1+M&amp;A)*(1+FX))-1; n/d where a component is undisclosed</t>
  </si>
  <si>
    <t>Corp. elims % of Optum rev.</t>
  </si>
  <si>
    <t>3Q26E 60.4% (1Q26 60.1%, 2Q26 60.4%); intercompany Optum→UHC</t>
  </si>
  <si>
    <t>Corporate eliminations</t>
  </si>
  <si>
    <t>S3, S5, S7, S9 footnote (a)</t>
  </si>
  <si>
    <t>Year-ago corp. elims (memo)</t>
  </si>
  <si>
    <t>Total consolidated revenues</t>
  </si>
  <si>
    <t>Q/Q change (abs)</t>
  </si>
  <si>
    <t>Not disclosed by issuer</t>
  </si>
  <si>
    <t>Non-U.S. (South American) revenue; FX impact not disclosed</t>
  </si>
  <si>
    <t>Check: intersegment nets to 0</t>
  </si>
  <si>
    <t>Intersegment revenue nets to zero on consolidation; n/a where recast split is not disclosed; 3Q26E (col H): identity by construction (residual-defined line) — not independent evidence; excluded from Cover!C32</t>
  </si>
  <si>
    <t>Check: % of total = 100%</t>
  </si>
  <si>
    <t>Identity in all columns (shares computed from the same total) — link-integrity tie only; excluded from Cover!C32</t>
  </si>
  <si>
    <t>Check: segments − IS revenue</t>
  </si>
  <si>
    <t>3Q26E (col H): identity (IS H48 links to H69) — excluded from Cover!C32; C:G compare segment build vs reported IS revenue</t>
  </si>
  <si>
    <t>Segment - UnitedHealthcare</t>
  </si>
  <si>
    <t>Months in period</t>
  </si>
  <si>
    <t>Calendar months in period</t>
  </si>
  <si>
    <t>People served (thousands) — driver ladder</t>
  </si>
  <si>
    <t>Commercial – risk-based</t>
  </si>
  <si>
    <t>Opening balance</t>
  </si>
  <si>
    <t>3Q25 opening = Jun-30-2025 and FY25 opening = Dec-31-2024 (S3/S5 releases); others = prior closing</t>
  </si>
  <si>
    <t>Gross additions</t>
  </si>
  <si>
    <t>Terminations / churn</t>
  </si>
  <si>
    <t>Net additions</t>
  </si>
  <si>
    <t>3Q26E net additions = Shortcut assumption (FY26 MA decline ~1.1m; Medicaid redeterminations; commercial attrition per 2Q26 release)</t>
  </si>
  <si>
    <t>Closing balance</t>
  </si>
  <si>
    <t>People served at period end (S3, S5, S7, S9 People Served tables)</t>
  </si>
  <si>
    <t>Year-ago closing (memo)</t>
  </si>
  <si>
    <t>Year-ago period-end people served (S3, S5, S7, S9 comparative columns)</t>
  </si>
  <si>
    <t>Y/Y change (abs)</t>
  </si>
  <si>
    <t>Y/Y change (%)</t>
  </si>
  <si>
    <t>Average for period</t>
  </si>
  <si>
    <t>Simple average of opening and closing (FY25 uses Dec-24/Dec-25 endpoints)</t>
  </si>
  <si>
    <t>Commercial – fee-based</t>
  </si>
  <si>
    <t>Medicare Advantage</t>
  </si>
  <si>
    <t>Medicaid</t>
  </si>
  <si>
    <t>Medicare Supplement (standardized)</t>
  </si>
  <si>
    <t>Medicare Part D stand-alone</t>
  </si>
  <si>
    <t>South American businesses held for sale</t>
  </si>
  <si>
    <t>Membership totals and mix</t>
  </si>
  <si>
    <t>Total commercial (closing)</t>
  </si>
  <si>
    <t>Total community &amp; senior</t>
  </si>
  <si>
    <t>Total UHC medical (closing)</t>
  </si>
  <si>
    <t>Total medical reported (memo)</t>
  </si>
  <si>
    <t>Reported total (S3, S5, S7, S9)</t>
  </si>
  <si>
    <t>Check: categories − reported</t>
  </si>
  <si>
    <t>Total medical net adds</t>
  </si>
  <si>
    <t>Total medical average</t>
  </si>
  <si>
    <t>Total medical year-ago (memo)</t>
  </si>
  <si>
    <t>Mix: commercial risk %</t>
  </si>
  <si>
    <t>Q/Q change in mix (bp)</t>
  </si>
  <si>
    <t>Y/Y change in mix (bp)</t>
  </si>
  <si>
    <t>Mix: commercial fee %</t>
  </si>
  <si>
    <t>Mix: Medicare Advantage %</t>
  </si>
  <si>
    <t>Mix: Medicaid %</t>
  </si>
  <si>
    <t>Mix: Medicare Supplement %</t>
  </si>
  <si>
    <t>Risk share of commercial</t>
  </si>
  <si>
    <t>Senior avg (MA+MS+PDP)</t>
  </si>
  <si>
    <t>Commercial avg (risk+fee)</t>
  </si>
  <si>
    <t>Revenue build ($ millions)</t>
  </si>
  <si>
    <t>E&amp;I Domestic rev. PMPM ($)</t>
  </si>
  <si>
    <t xml:space="preserve">3Q26E assumption: 2Q26 rate +0.6% (2025 2Q→3Q seasonal step) </t>
  </si>
  <si>
    <t>E&amp;I – Domestic revenue</t>
  </si>
  <si>
    <t>UHC Employer &amp; Individual – Domestic revenue (S3, S5, S7, S9)</t>
  </si>
  <si>
    <t>Prior-year comparative column of the same release</t>
  </si>
  <si>
    <t>M&amp;A / scope contribution not disclosed by issuer</t>
  </si>
  <si>
    <t>USD-only domestic operations; FX impact is nil by construction (not missing evidence)</t>
  </si>
  <si>
    <t>E&amp;I Global rev. PMPM ($)</t>
  </si>
  <si>
    <t>3Q26E assumption: per avg South American person served; ~flat vs 2Q26</t>
  </si>
  <si>
    <t>E&amp;I – Global revenue</t>
  </si>
  <si>
    <t>UHC Employer &amp; Individual – Global revenue (S3, S5, S7, S9)</t>
  </si>
  <si>
    <t>E&amp;I – total</t>
  </si>
  <si>
    <t>E&amp;I total as reported (memo)</t>
  </si>
  <si>
    <t>Check: E&amp;I − reported</t>
  </si>
  <si>
    <t>M&amp;R rev. PMPM ($)</t>
  </si>
  <si>
    <t>3Q26E assumption: 2Q26 rate +1.2% (2025 2Q→3Q seasonal step incl. mid-year risk adjustment)</t>
  </si>
  <si>
    <t>Medicare &amp; Retirement revenue</t>
  </si>
  <si>
    <t>UHC Medicare &amp; Retirement revenue (S3, S5, S7, S9)</t>
  </si>
  <si>
    <t>C&amp;S rev. PMPM ($)</t>
  </si>
  <si>
    <t>3Q26E assumption: 2Q26 rate +0.9% (Jul-1 Medicaid rate cycle; CFO: 6-7% blended rate increases)</t>
  </si>
  <si>
    <t>Community &amp; State revenue</t>
  </si>
  <si>
    <t>UHC Community &amp; State revenue (S3, S5, S7, S9)</t>
  </si>
  <si>
    <t>Total UHC revenues</t>
  </si>
  <si>
    <t>UHC revenue reported (memo)</t>
  </si>
  <si>
    <t>Check: UHC − reported</t>
  </si>
  <si>
    <t>E&amp;I Dom. % of UHC rev.</t>
  </si>
  <si>
    <t>E&amp;I Global % of UHC rev.</t>
  </si>
  <si>
    <t>M&amp;R % of UHC revenue</t>
  </si>
  <si>
    <t>C&amp;S % of UHC revenue</t>
  </si>
  <si>
    <t>Revenue by type ($ millions) — segment note (10-Q / 10-K)</t>
  </si>
  <si>
    <t>Premiums</t>
  </si>
  <si>
    <t>S4, S6, S8, S10 segment note; 4Q25 = FY25 − 9M25 (Inputs H); 3Q26E = UHC revenue less services and investment income</t>
  </si>
  <si>
    <t>Year-ago (memo)</t>
  </si>
  <si>
    <t>% of segment revenue</t>
  </si>
  <si>
    <t>Services</t>
  </si>
  <si>
    <t>3Q26E $2,830m assumption (+2.8% Q/Q; +9.8% Y/Y vs 2Q26 +9.7%)</t>
  </si>
  <si>
    <t>Investment and other income</t>
  </si>
  <si>
    <t>3Q26E $640m assumption (2Q26 $650m)</t>
  </si>
  <si>
    <t>Revenue – unaffiliated</t>
  </si>
  <si>
    <t>Total revenue by type</t>
  </si>
  <si>
    <t>Check: by type − segment rev.</t>
  </si>
  <si>
    <t>3Q26E (col H): identity by construction (residual-defined line) — not independent evidence; excluded from Cover!C32</t>
  </si>
  <si>
    <t>Segment earnings ($ millions)</t>
  </si>
  <si>
    <t>UHC EFO</t>
  </si>
  <si>
    <t>3Q26E = consolidated EFO (Income Statement MCR/opex build) less Optum segment EFO; S3/S5/S7/S9 history</t>
  </si>
  <si>
    <t>Year-ago EFO (memo)</t>
  </si>
  <si>
    <t>1Q26 +1,685% Q/Q is on a depressed positive 4Q25 base ($319m after restructuring) — retained as calculated but distorted</t>
  </si>
  <si>
    <t>UHC operating margin</t>
  </si>
  <si>
    <t>Restructuring &amp; other</t>
  </si>
  <si>
    <t>UHC adjustments (S5); 3Q26E none assumed</t>
  </si>
  <si>
    <t>UHC adjusted EFO</t>
  </si>
  <si>
    <t>UHC adjusted op. margin</t>
  </si>
  <si>
    <t>Memo: UHC 9M26 EFO</t>
  </si>
  <si>
    <t>FY26 UHC EFO guide &gt;$12.0bn with ~75% in 1H (S11); 1H26A = $9,636m</t>
  </si>
  <si>
    <t>Segment - Optum Health</t>
  </si>
  <si>
    <t>Optum Health consumers served (millions) — driver ladder</t>
  </si>
  <si>
    <t>Recast for Optum Financial realignment (S7 p.14); Dec-31-2024 recast not disclosed</t>
  </si>
  <si>
    <t>3Q26E: -1m assumption (continued VBC right-sizing; FY26 guide ~84m consumers)</t>
  </si>
  <si>
    <t>Optum Health consumers served (S7 recast table, S9)</t>
  </si>
  <si>
    <t>Recast year-ago available from Mar-31-2025 only (S7)</t>
  </si>
  <si>
    <t>Rev. per avg consumer/mo ($)</t>
  </si>
  <si>
    <t>3Q26E assumption: ~flat vs 2Q26 ($84.1); fewer VBC patients; TPG WellMed stake assumed to stay consolidated</t>
  </si>
  <si>
    <t>Optum Health revenues</t>
  </si>
  <si>
    <t>Recast Optum Health revenue (S7 p.14 recast table; S9)</t>
  </si>
  <si>
    <t>Recast year-ago (S7); 3Q24/4Q24 recast not disclosed</t>
  </si>
  <si>
    <t>Amedisys (closed Aug-14-2025) and 2025-26 divestitures; contribution not disclosed</t>
  </si>
  <si>
    <t>Historical: FX impact not disclosed by issuer (n/d — not a factual zero). 3Q26E: 0 = forecast assumption for predominantly domestic operations (no non-U.S. revenue disclosed for this segment; Sources B36)</t>
  </si>
  <si>
    <t>Premiums (unaffiliated)</t>
  </si>
  <si>
    <t>Recast (Optum Financial) split not disclosed for 3Q25/4Q25/FY25 (n/d); S8, S10 segment note; 3Q26E = consolidated premiums less UHC premiums</t>
  </si>
  <si>
    <t>FX impact by revenue type not disclosed by issuer (n/d, not a factual zero); no non-U.S. revenue disclosed for this segment — see segment-level FX row</t>
  </si>
  <si>
    <t>Products (unaffiliated)</t>
  </si>
  <si>
    <t>Recast (Optum Financial) split not disclosed for 3Q25/4Q25/FY25 (n/d); S8, S10 segment note; 3Q26E $60m</t>
  </si>
  <si>
    <t>Services (unaffiliated)</t>
  </si>
  <si>
    <t>Recast (Optum Financial) split not disclosed for 3Q25/4Q25/FY25 (n/d); S8, S10 segment note; 3Q26E $4,600m (+2.8% Q/Q)</t>
  </si>
  <si>
    <t>Affiliated (intersegment)</t>
  </si>
  <si>
    <t>Recast (Optum Financial) split not disclosed for 3Q25/4Q25/FY25 (n/d); S8, S10 segment note; 3Q26E residual of segment revenue</t>
  </si>
  <si>
    <t>Recast (Optum Financial) split not disclosed for 3Q25/4Q25/FY25 (n/d); S8, S10 segment note; 3Q26E $240m</t>
  </si>
  <si>
    <t>Operating margin</t>
  </si>
  <si>
    <t>3Q26E: "modest profit in 3Q" (S11); includes loss-contract reserve release</t>
  </si>
  <si>
    <t>Optum Health EFO</t>
  </si>
  <si>
    <t>Recast (S7 p.14; S9)</t>
  </si>
  <si>
    <t>Recast year-ago (S7 p.14)</t>
  </si>
  <si>
    <t>n/m where the base is ≤ 0 or the sign changes; 3Q26E +528% is on a small positive 3Q25 base ($41m) — retained as calculated but distorted</t>
  </si>
  <si>
    <t>n/m where the base is ≤ 0 or the sign changes (4Q25 loss)</t>
  </si>
  <si>
    <t>Cyberattack response costs</t>
  </si>
  <si>
    <t>Portfolio &amp; S. America impacts</t>
  </si>
  <si>
    <t>S5, S7, S9 earnings-by-business tables</t>
  </si>
  <si>
    <t>3Q26E: -$109m = half of 2H26 expected loss-contract release ($405m FY less $187m 1H, S9)</t>
  </si>
  <si>
    <t>Optum Health adjusted EFO</t>
  </si>
  <si>
    <t>Adjusted operating margin</t>
  </si>
  <si>
    <t>Segment - Optum Insight</t>
  </si>
  <si>
    <t>Optum Insight drivers</t>
  </si>
  <si>
    <t>Contract backlog ($bn)</t>
  </si>
  <si>
    <t>Pre-recast backlog (S3, S5); no longer disclosed from 1Q26</t>
  </si>
  <si>
    <t>Revenue Y/Y growth</t>
  </si>
  <si>
    <t>3Q26E: +2.5% on recast 3Q25 ($5,320m); 2Q26A +3.2%; Alegeus closed Jul-2-2026 (size n/d); 1Q26 Optum Insight disposition</t>
  </si>
  <si>
    <t>Optum Insight revenues</t>
  </si>
  <si>
    <t>Recast Optum Insight revenue incl. Optum Financial (S7 p.14; S9)</t>
  </si>
  <si>
    <t>Alegeus acquisition (Jul-2026) and 1Q26 disposition; contribution not disclosed</t>
  </si>
  <si>
    <t>Recast (Optum Financial) split not disclosed for 3Q25/4Q25/FY25 (n/d); S8, S10 segment note; 3Q26E $45m</t>
  </si>
  <si>
    <t>Recast (Optum Financial) split not disclosed for 3Q25/4Q25/FY25 (n/d); S8, S10 segment note; 3Q26E $1,600m incl. Alegeus (closed Jul-2-2026)</t>
  </si>
  <si>
    <t>Recast (Optum Financial) split not disclosed for 3Q25/4Q25/FY25 (n/d); S8, S10 segment note; 3Q26E $270m</t>
  </si>
  <si>
    <t>3Q26E 22.0%: ~55% of FY in 2H (S11). Jul-16 FY26 guide (S9 p.7): adjusted &gt;$4,750m (unchanged from Jan) = reported &gt;$4,925m (Guidance!E50) less $175m net portfolio/restructuring items; vs 1H26 adj. $2,147m (same adjusted basis)</t>
  </si>
  <si>
    <t>Optum Insight EFO</t>
  </si>
  <si>
    <t>Restructuring and other</t>
  </si>
  <si>
    <t>Optum Insight adjusted EFO</t>
  </si>
  <si>
    <t>Segment - Optum Rx</t>
  </si>
  <si>
    <t>Optum Rx drivers</t>
  </si>
  <si>
    <t>Adjusted scripts (millions)</t>
  </si>
  <si>
    <t>Quarterly adjusted scripts (S3, S5, S7, S9); 3Q26E ~flat vs 2Q26 (387m) on UHC/other client attrition</t>
  </si>
  <si>
    <t>Year-ago scripts (memo)</t>
  </si>
  <si>
    <t>Check: FY25 scripts − Σ qtrs</t>
  </si>
  <si>
    <t>Revenue per script ($)</t>
  </si>
  <si>
    <t>3Q26E: 2Q26A $98.95 +1.6% (2025 2Q→3Q step +3.2%; specialty mix)</t>
  </si>
  <si>
    <t>Year-ago rev./script (memo)</t>
  </si>
  <si>
    <t>Optum Rx revenues</t>
  </si>
  <si>
    <t>S3, S5, S7, S9</t>
  </si>
  <si>
    <t>S4, S6, S8, S10; 3Q26E = consolidated products less OH/OI products</t>
  </si>
  <si>
    <t>Historical: FX impact by revenue type not disclosed by issuer (n/d — not a factual zero). 3Q26E: 0 = forecast assumption (domestic PBM operations)</t>
  </si>
  <si>
    <t>3Q26E = RECONCILING RESIDUAL with no independent driver or source support: consolidated services (IS H32, itself a residual) less UHC/OH/OI services. Implies +17.4% Q/Q and 3.9% of segment revenue vs 3.1-3.3% history; judgmental split, EPS-neutral (total revenue unaffected)</t>
  </si>
  <si>
    <t>3Q26E residual of segment revenue</t>
  </si>
  <si>
    <t>3Q26E = consolidated investment income less other segments</t>
  </si>
  <si>
    <t>3Q26E 4.25%: FY guide &gt;$6,250m with ~55% in 2H (S11) vs 1H $2,682m</t>
  </si>
  <si>
    <t>Optum Rx EFO</t>
  </si>
  <si>
    <t>EFO per script ($)</t>
  </si>
  <si>
    <t>Optum Rx adjusted EFO</t>
  </si>
  <si>
    <t>Income Statement</t>
  </si>
  <si>
    <t>Revenues ($ millions)</t>
  </si>
  <si>
    <t>Premiums / UHC revenue (x)</t>
  </si>
  <si>
    <t>3Q26E 1.0105x (2Q26 1.011x; declining with Optum Health VBC right-sizing)</t>
  </si>
  <si>
    <t>Q/Q change (abs, x)</t>
  </si>
  <si>
    <t>Y/Y change (abs, x)</t>
  </si>
  <si>
    <t>S3, S5, S7, S9 statements of operations</t>
  </si>
  <si>
    <t>Year-ago premiums (memo)</t>
  </si>
  <si>
    <t>Products / Optum Rx revenue</t>
  </si>
  <si>
    <t>3Q26E 35.1% (2Q26 36.1%; 2025 2Q→3Q step -1.8pt)</t>
  </si>
  <si>
    <t>Products</t>
  </si>
  <si>
    <t>Year-ago products (memo)</t>
  </si>
  <si>
    <t>3Q26E = segment-built total revenue less premiums, products and investment income (residual)</t>
  </si>
  <si>
    <t>Year-ago services (memo)</t>
  </si>
  <si>
    <t>3Q26E assumption $1,190m (1Q26 $1,131m, 2Q26 $1,223m). FY26 guide ~$3,900m (Jan-27, S5) not restated in the Jul-16 outlook table (S9); no later update found in preserved sources. 1H26 $2,354m + 3Q26E $1,190m leaves only ~$356m for 4Q26 vs ~$1.2bn run-rate — guide looks stale; deviation unresolved, assumption retained</t>
  </si>
  <si>
    <t>Year-ago inv. income (memo)</t>
  </si>
  <si>
    <t>Total revenues</t>
  </si>
  <si>
    <t>3Q26E linked to Revenue summary segment build</t>
  </si>
  <si>
    <t>Year-ago revenues (memo)</t>
  </si>
  <si>
    <t>Check: Σ segment premiums − IS</t>
  </si>
  <si>
    <t>Segment note by revenue type vs consolidated line; n/a where recast split not disclosed; 3Q26E (col H): identity by construction (residual-defined line) — not independent evidence; excluded from Cover!C32</t>
  </si>
  <si>
    <t>Check: Σ segment products − IS</t>
  </si>
  <si>
    <t>Check: Σ segment services − IS</t>
  </si>
  <si>
    <t>Check: Σ segment inv. inc. − IS</t>
  </si>
  <si>
    <t>Operating costs ($ millions)</t>
  </si>
  <si>
    <t>Medical care ratio (MCR)</t>
  </si>
  <si>
    <t>3Q26E 89.5%: -36bp Y/Y vs 89.9%; FY26 guide 88.1% ±25bp (2H implied ~90.9%); 1H26 -180bp Y/Y; CFO 9-Sep: favorable trend "has not dissipated" into Q3</t>
  </si>
  <si>
    <t>Medical costs</t>
  </si>
  <si>
    <t>Year-ago medical costs (memo)</t>
  </si>
  <si>
    <t>Operating cost ratio</t>
  </si>
  <si>
    <t>3Q26E 13.05%: FY26 guide "higher end" of 12.8% ±50bp; 1H26 13.25% incl. $400m foundation contribution</t>
  </si>
  <si>
    <t>Operating costs</t>
  </si>
  <si>
    <t>Year-ago operating costs (memo)</t>
  </si>
  <si>
    <t>COGS / products revenue</t>
  </si>
  <si>
    <t>3Q26E 96.0% (1H26 96.7%; 3Q25 94.5%)</t>
  </si>
  <si>
    <t>Cost of products sold</t>
  </si>
  <si>
    <t>Products gross profit</t>
  </si>
  <si>
    <t>Depreciation and amortization</t>
  </si>
  <si>
    <t>History linked to Cash Flow Statement (reported YTD); 3Q26E $1,040m (FY26 guide ~$4,400m)</t>
  </si>
  <si>
    <t>Total operating costs</t>
  </si>
  <si>
    <t>Earnings from operations</t>
  </si>
  <si>
    <t>1Q26 +2,266% Q/Q is on a depressed positive 4Q25 base ($380m after $2.5bn restructuring) — retained as calculated but distorted</t>
  </si>
  <si>
    <t>Check: segment EFO − EFO</t>
  </si>
  <si>
    <t>Interest expense</t>
  </si>
  <si>
    <t>3Q26E -$945m (debt down $5.1bn since Dec-25; CapIQ consensus -$943m)</t>
  </si>
  <si>
    <t>Loss on sale / held for sale</t>
  </si>
  <si>
    <t>3Q26E -$60m South American held-for-sale losses (1Q26 -$72m, 2Q26 -$61m)</t>
  </si>
  <si>
    <t>Earnings before taxes</t>
  </si>
  <si>
    <t>Pre-tax margin</t>
  </si>
  <si>
    <t>Effective tax rate</t>
  </si>
  <si>
    <t>3Q26E 18.5% (FY26 guide ~18.5%); n/m where EBT ≤ 0 (4Q25: tax benefit on pre-tax loss) and for bp changes involving an n/m rate</t>
  </si>
  <si>
    <t>Income tax provision</t>
  </si>
  <si>
    <t>Net earnings</t>
  </si>
  <si>
    <t>Noncontrolling interests</t>
  </si>
  <si>
    <t>3Q26E -$190m (1Q26 -$201m, 2Q26 -$186m)</t>
  </si>
  <si>
    <t>Net earnings to UNH common</t>
  </si>
  <si>
    <t>Year-ago NI to common (memo)</t>
  </si>
  <si>
    <t>Net margin</t>
  </si>
  <si>
    <t>Check: FY25 NI − Σ halves/qtrs</t>
  </si>
  <si>
    <t>Shares and GAAP EPS</t>
  </si>
  <si>
    <t>Basic wtd. avg. shares (m)</t>
  </si>
  <si>
    <t>Diluted wtd. avg. shares (m)</t>
  </si>
  <si>
    <t>Basic EPS</t>
  </si>
  <si>
    <t>Diluted EPS – GAAP</t>
  </si>
  <si>
    <t>GAAP EPS reported (memo)</t>
  </si>
  <si>
    <t>S3, S5, S7, S9; 2Q26 numerator reduced for forward-contract shares (immaterial)</t>
  </si>
  <si>
    <t>Reported − computed</t>
  </si>
  <si>
    <t>Year-ago GAAP EPS (memo)</t>
  </si>
  <si>
    <t>Check: EPS diff &gt; $0.02 (1=flag)</t>
  </si>
  <si>
    <t>Check: EPS − NI / shares</t>
  </si>
  <si>
    <t>Identity in all columns (EPS defined as NI ÷ diluted shares) — link-integrity tie only; excluded from Cover!C32</t>
  </si>
  <si>
    <t>GAAP to adjusted (normalized) bridge ($ millions)</t>
  </si>
  <si>
    <t>Net earnings to common (GAAP)</t>
  </si>
  <si>
    <t>Intangible amortization</t>
  </si>
  <si>
    <t>3Q26E $333m = half of 2H26 implied (FY ~$1,345m less 1H $680m, S9)</t>
  </si>
  <si>
    <t>Sum of segment cyberattack adjustments</t>
  </si>
  <si>
    <t>HFS losses not adjusted (pre-4Q25)</t>
  </si>
  <si>
    <t>3Q25/9M25 South American losses were not excluded from adjusted EPS (S3); adjustment policy began 4Q25 (S5)</t>
  </si>
  <si>
    <t>3Q26E = segment EFO-level items + add-back of loss on held-for-sale line</t>
  </si>
  <si>
    <t>3Q26E: loss-contract reserve release (excluded); equity valuation gains/losses not forecast</t>
  </si>
  <si>
    <t>Tax rate on adjustments</t>
  </si>
  <si>
    <t>3Q26E 22.5% (1Q26 21.6%, 2Q26 22.0%, FY26 guide implies ~22.6%)</t>
  </si>
  <si>
    <t>Tax effect of adjustments</t>
  </si>
  <si>
    <t>Adjusted net earnings to common</t>
  </si>
  <si>
    <t>Adj. NI reported (memo)</t>
  </si>
  <si>
    <t>Check: bridge − reported</t>
  </si>
  <si>
    <t>Adjusted diluted EPS</t>
  </si>
  <si>
    <t>Issuer "adjusted EPS" = CapIQ normalized basis (history rows match: 2.92, 2.11, 7.23, 6.38)</t>
  </si>
  <si>
    <t>Adj. EPS reported (memo)</t>
  </si>
  <si>
    <t>CapIQ normalized actual</t>
  </si>
  <si>
    <t>Formula link to CapIQ history row (Inputs)</t>
  </si>
  <si>
    <t>Year-ago adj. EPS (memo)</t>
  </si>
  <si>
    <t>Per share: amortization</t>
  </si>
  <si>
    <t>Per share: other adjustments</t>
  </si>
  <si>
    <t>Per share: tax effect</t>
  </si>
  <si>
    <t>Adjusted EFO</t>
  </si>
  <si>
    <t>Sum of segment adjusted EFO (issuer definition)</t>
  </si>
  <si>
    <t>Adj. EFO reported (memo)</t>
  </si>
  <si>
    <t>Check: adj. EFO − reported</t>
  </si>
  <si>
    <t>Balance Sheet</t>
  </si>
  <si>
    <t>Assets ($ millions)</t>
  </si>
  <si>
    <t>Cash and cash equivalents</t>
  </si>
  <si>
    <t>S4, S8, S10 balance sheets; FY25A = 4Q25A; 3Q26E from Cash Flow Statement</t>
  </si>
  <si>
    <t>Short-term investments</t>
  </si>
  <si>
    <t>Accounts receivable, net</t>
  </si>
  <si>
    <t>Other current receivables, net</t>
  </si>
  <si>
    <t>Prepaid and other current</t>
  </si>
  <si>
    <t>Total current assets</t>
  </si>
  <si>
    <t>Long-term investments</t>
  </si>
  <si>
    <t>PP&amp;E and software, net</t>
  </si>
  <si>
    <t>Goodwill</t>
  </si>
  <si>
    <t>Other intangible assets, net</t>
  </si>
  <si>
    <t>Other assets</t>
  </si>
  <si>
    <t>Total assets</t>
  </si>
  <si>
    <t>Total assets reported (memo)</t>
  </si>
  <si>
    <t>Check: total assets − reported</t>
  </si>
  <si>
    <t>Liabilities ($ millions)</t>
  </si>
  <si>
    <t>Medical costs payable</t>
  </si>
  <si>
    <t>AP and accrued liabilities</t>
  </si>
  <si>
    <t>3Q26E: net operating working-capital change allocated here (simplification)</t>
  </si>
  <si>
    <t>Short-term debt &amp; current LTD</t>
  </si>
  <si>
    <t>Unearned revenues</t>
  </si>
  <si>
    <t>Other current liabilities</t>
  </si>
  <si>
    <t>3Q26E: $2.0bn forward-repurchase liability settled Jul-1-2026</t>
  </si>
  <si>
    <t>Total current liabilities</t>
  </si>
  <si>
    <t>Long-term debt</t>
  </si>
  <si>
    <t>Deferred income taxes</t>
  </si>
  <si>
    <t>Other liabilities</t>
  </si>
  <si>
    <t>Total liabilities</t>
  </si>
  <si>
    <t>Redeemable NCI</t>
  </si>
  <si>
    <t>Equity ($ millions)</t>
  </si>
  <si>
    <t>Common stock</t>
  </si>
  <si>
    <t>Additional paid-in capital</t>
  </si>
  <si>
    <t>Retained earnings</t>
  </si>
  <si>
    <t>3Q26E: + NI − dividends − new repurchases (ex forward already charged in 2Q26) + SBC (simplification)</t>
  </si>
  <si>
    <t>AOCI</t>
  </si>
  <si>
    <t>Nonredeemable NCI</t>
  </si>
  <si>
    <t>3Q26E: + NCI earnings + other financing (NCI distributions)</t>
  </si>
  <si>
    <t>Total equity</t>
  </si>
  <si>
    <t>Total liabilities &amp; equity</t>
  </si>
  <si>
    <t>Check: A − L − E</t>
  </si>
  <si>
    <t>Balance sheet metrics</t>
  </si>
  <si>
    <t>Total debt</t>
  </si>
  <si>
    <t>Debt-to-capital ratio</t>
  </si>
  <si>
    <t>Issuer reports 44.1% (3Q25), 43.9% (4Q25), 42.9% (1Q26), 41.2% (2Q26)</t>
  </si>
  <si>
    <t>Days claims payable</t>
  </si>
  <si>
    <t>Issuer reports 46.2 (3Q25), 44.1 (4Q25), 48.6 (1Q26), 47.0 (2Q26)</t>
  </si>
  <si>
    <t>Y/Y change (abs, days)</t>
  </si>
  <si>
    <t>Net debt</t>
  </si>
  <si>
    <t>Cash Flow Statement</t>
  </si>
  <si>
    <t>Operating activities ($ millions)</t>
  </si>
  <si>
    <t>Deferred taxes and other</t>
  </si>
  <si>
    <t>Share-based compensation</t>
  </si>
  <si>
    <t>3Q26E $290m (1H26 $624m)</t>
  </si>
  <si>
    <t>Working capital change</t>
  </si>
  <si>
    <t>3Q26E -$2.7bn: reversal of 2Q26 government-payment timing; FY26 CFO guide ~$24bn vs 1H $19,964m</t>
  </si>
  <si>
    <t>Operating cash flow (CFO)</t>
  </si>
  <si>
    <t>History: quarterly = YTD differences of reported statements (Inputs YTD block)</t>
  </si>
  <si>
    <t>Check: CFO − reported</t>
  </si>
  <si>
    <t>CFO / net earnings (x)</t>
  </si>
  <si>
    <t>Investing activities ($ millions)</t>
  </si>
  <si>
    <t>Investments, net</t>
  </si>
  <si>
    <t>3Q26E -$500m net purchases (assumption)</t>
  </si>
  <si>
    <t>Capital expenditures</t>
  </si>
  <si>
    <t>3Q26E -$1,100m (FY26 capex guide ~$3,800m; 1H $1,562m)</t>
  </si>
  <si>
    <t>Acquisitions, net</t>
  </si>
  <si>
    <t>Alegeus closed Jul-2-2026; consideration not disclosed — not modeled</t>
  </si>
  <si>
    <t>Care provider loans</t>
  </si>
  <si>
    <t>Care provider loan repayments</t>
  </si>
  <si>
    <t>Other investing, net</t>
  </si>
  <si>
    <t>Investing cash flow</t>
  </si>
  <si>
    <t>Check: CFI − reported</t>
  </si>
  <si>
    <t>Financing activities ($ millions)</t>
  </si>
  <si>
    <t>Common share repurchases</t>
  </si>
  <si>
    <t>Dividends paid</t>
  </si>
  <si>
    <t>Net change in debt</t>
  </si>
  <si>
    <t>3Q26E -$1.0bn toward ~40% debt-to-capital target by YE26</t>
  </si>
  <si>
    <t>Other financing, net</t>
  </si>
  <si>
    <t>3Q26E -$200m (NCI distributions, other)</t>
  </si>
  <si>
    <t>Financing cash flow</t>
  </si>
  <si>
    <t>Check: CFF − reported</t>
  </si>
  <si>
    <t>FX effect</t>
  </si>
  <si>
    <t>Change in cash incl. HFS</t>
  </si>
  <si>
    <t>Less: cash in HFS businesses</t>
  </si>
  <si>
    <t>Net change in cash</t>
  </si>
  <si>
    <t>Cash, beginning of period</t>
  </si>
  <si>
    <t>Prior period-end balance sheet cash (3Q25 opening = Jun-30-2025 per 6M25 statement)</t>
  </si>
  <si>
    <t>Cash, end of period</t>
  </si>
  <si>
    <t>Check: cash − Balance Sheet</t>
  </si>
  <si>
    <t>3Q26E (col H): identity (Balance Sheet H10 links to CF H40) — excluded from Cover!C32; C:G compare to reported balance sheet cash</t>
  </si>
  <si>
    <t>Check: cash − reported</t>
  </si>
  <si>
    <t>Free cash flow ($ millions)</t>
  </si>
  <si>
    <t>FCF (CFO − capex), non-issuer</t>
  </si>
  <si>
    <t>UNH does not report an issuer-defined free cash flow measure</t>
  </si>
  <si>
    <t>FCF / NI to common (x)</t>
  </si>
  <si>
    <t>Capex % of revenue</t>
  </si>
  <si>
    <t>Share Count</t>
  </si>
  <si>
    <t>Share count ladder (millions)</t>
  </si>
  <si>
    <t>Shares outstanding – opening</t>
  </si>
  <si>
    <t>Balance sheet issued &amp; outstanding (S4, S8, S10); Jun-30-2025 count not in fetched filings (n/d); FY25 opening = Dec-31-2024 (915, S4)</t>
  </si>
  <si>
    <t>Less: forward-contract shares</t>
  </si>
  <si>
    <t>6.4m shares at $312.73, settled Jul-1-2026 (S10 Note 6)</t>
  </si>
  <si>
    <t>Shares repurchased (open market)</t>
  </si>
  <si>
    <t>9M25 12.1m (all 1H25; no 3Q25/4Q25 cash repurchases, S4, S6); 1Q26 none (cash $0, S7); 2Q26 = 1H26 10.5m less 6.4m forward (S10); 3Q26E 2.2m assumption (0.9m to mid-July per S11 + ~$0.5bn)</t>
  </si>
  <si>
    <t>Shares issued (employee plans)</t>
  </si>
  <si>
    <t>Shares outstanding – closing</t>
  </si>
  <si>
    <t>Jul-31-2026 cover count 897.6m (S10)</t>
  </si>
  <si>
    <t>Avg. repurchase price ($)</t>
  </si>
  <si>
    <t>3Q26E $370 assumption (Oct-9 close $379.30); FY25A $454.82 = issuer-disclosed 9M25 average price on ~12.1m shares (Q3 2025 10-Q, S4). Differs from cash ÷ shares (5,545 ÷ 12.1 = 458.26) because cash paid (CF) and the rounded share count are a different basis; sourced value retained</t>
  </si>
  <si>
    <t>Forward settlement cash ($m)</t>
  </si>
  <si>
    <t>$2.0bn liability paid Jul-1-2026 (S10)</t>
  </si>
  <si>
    <t>Total repurchase cash ($m)</t>
  </si>
  <si>
    <t>History links to Cash Flow Statement; 3Q26E feeds Cash Flow Statement</t>
  </si>
  <si>
    <t>Weighted-average shares (millions)</t>
  </si>
  <si>
    <t>Basic wtd. avg. shares</t>
  </si>
  <si>
    <t>S4, S6, S8, S10; 4Q25 basic not separately disclosed; 3Q26E = average of opening (ex-forward) and closing</t>
  </si>
  <si>
    <t>Dilutive effect</t>
  </si>
  <si>
    <t>S4, S6, S8, S10; 3Q26E 3.0m</t>
  </si>
  <si>
    <t>Diluted wtd. avg. shares</t>
  </si>
  <si>
    <t>Reported diluted shares (S3, S5, S7, S9); 3Q26E share count behind forecast EPS</t>
  </si>
  <si>
    <t>Dividends</t>
  </si>
  <si>
    <t>Dividend per share paid ($)</t>
  </si>
  <si>
    <t>Annual rate $8.40 → $8.84 (Jun-2025) → $9.28 (Jun-2026) (S4, S6, S10); FY25 = 2.10 + 3 × 2.21</t>
  </si>
  <si>
    <t>Dividends paid ($m)</t>
  </si>
  <si>
    <t>Columns vary by section — see each section's own header row (not a period table)</t>
  </si>
  <si>
    <t>Metric (source in cell note)</t>
  </si>
  <si>
    <t>Date issued</t>
  </si>
  <si>
    <t>Low</t>
  </si>
  <si>
    <t>High</t>
  </si>
  <si>
    <t>Midpoint</t>
  </si>
  <si>
    <t>Actual</t>
  </si>
  <si>
    <t>Beat / miss vs midpoint (or floor)</t>
  </si>
  <si>
    <t>Adjusted EPS</t>
  </si>
  <si>
    <t>FY25</t>
  </si>
  <si>
    <t>n/a (floor)</t>
  </si>
  <si>
    <t>Net earnings to UNH ($m)</t>
  </si>
  <si>
    <t>FY26</t>
  </si>
  <si>
    <t>pending</t>
  </si>
  <si>
    <t>Revenue ($m)</t>
  </si>
  <si>
    <t>Medical care ratio</t>
  </si>
  <si>
    <t>Tax rate</t>
  </si>
  <si>
    <t>Cash flows from operations ($m)</t>
  </si>
  <si>
    <t>Share repurchase ($m)</t>
  </si>
  <si>
    <t>Capital expenditures ($m)</t>
  </si>
  <si>
    <t>Depreciation and amortization ($m)</t>
  </si>
  <si>
    <t>Interest expense ($m)</t>
  </si>
  <si>
    <t>Investment and other income ($m)</t>
  </si>
  <si>
    <t>Diluted weighted-average shares (m)</t>
  </si>
  <si>
    <t>UHC revenue ($m)</t>
  </si>
  <si>
    <t>Optum revenue ($m)</t>
  </si>
  <si>
    <t>UHC EFO ($m)</t>
  </si>
  <si>
    <t>Optum Health EFO ($m)</t>
  </si>
  <si>
    <t>Optum Insight EFO ($m)</t>
  </si>
  <si>
    <t>Optum Rx EFO ($m)</t>
  </si>
  <si>
    <t>UHC people served at YE (000s)</t>
  </si>
  <si>
    <t>Adjusted net earnings to UNH ($m)</t>
  </si>
  <si>
    <t>Intangible amortization ($m)</t>
  </si>
  <si>
    <t>Guidance record (actual vs guidance midpoint or floor)</t>
  </si>
  <si>
    <t>FY25 adj. EPS — beat/miss</t>
  </si>
  <si>
    <t>FY25 GAAP EPS — beat/miss</t>
  </si>
  <si>
    <t>FY25 NI — beat/miss</t>
  </si>
  <si>
    <t>FY26 adjusted EPS guide raised twice: &gt;$17.75 (Jan) → &gt;$18.25 (Apr) → $19.50-$20.00 (Jul)</t>
  </si>
  <si>
    <t>3Q26 guidance-implied figures (Shortcut derivation from FY26 guidance; issuer gives no quarterly guidance) — col C = per-share approx.; col D = NI ÷ 3Q26E diluted shares</t>
  </si>
  <si>
    <t>3Q share of 2H26 earnings</t>
  </si>
  <si>
    <t>S11: "slightly more earnings in 3Q relative to 4Q"; TD Cowen (S15) reads company commentary as ~70% (memo below)</t>
  </si>
  <si>
    <t>Alt. 3Q share (TD Cowen)</t>
  </si>
  <si>
    <t>1H26A adj. EPS (reported)</t>
  </si>
  <si>
    <t>S9 six months</t>
  </si>
  <si>
    <t>1H26A GAAP EPS (reported)</t>
  </si>
  <si>
    <t>S9</t>
  </si>
  <si>
    <t>1H26A NI to UNH ($m)</t>
  </si>
  <si>
    <t>1H26A adj. NI ($m)</t>
  </si>
  <si>
    <t>1H26A revenue ($m)</t>
  </si>
  <si>
    <t>Implied 3Q26 adj. EPS</t>
  </si>
  <si>
    <t>C = (FY26 EPS guide − 1H26 EPS) × 3Q share: approximation that subtracts per-share figures across different share bases (2H base implied ~872m vs model 900.8m). D = implied NI ÷ 3Q26E diluted shares (Share Count!H26), NI-based benchmark</t>
  </si>
  <si>
    <t>Implied 3Q26 adj. EPS (alt.)</t>
  </si>
  <si>
    <t>C = per-share approximation at TD Cowen 70% share; D = NI-based equivalent ((G41 − C65) × C61 ÷ Share Count!H26)</t>
  </si>
  <si>
    <t>Implied 3Q26 GAAP EPS</t>
  </si>
  <si>
    <t>C = per-share approximation; D = implied GAAP NI (C70) ÷ 3Q26E diluted shares (Share Count!H26)</t>
  </si>
  <si>
    <t>Implied 3Q26 GAAP NI ($m)</t>
  </si>
  <si>
    <t>Implied 3Q26 adj. NI ($m)</t>
  </si>
  <si>
    <t>3Q share of 2H26 revenue</t>
  </si>
  <si>
    <t>Implied 3Q26 revenue ($m)</t>
  </si>
  <si>
    <t>FY26 revenue guide is a floor ("&gt;$439.0bn", maintained Jul-16); CFO expects to "do better"</t>
  </si>
  <si>
    <t>Sources</t>
  </si>
  <si>
    <t>Title</t>
  </si>
  <si>
    <t>ID</t>
  </si>
  <si>
    <t>Published</t>
  </si>
  <si>
    <t>Publisher</t>
  </si>
  <si>
    <t>What it feeds</t>
  </si>
  <si>
    <t>URL or file</t>
  </si>
  <si>
    <t>UNH_consensus.json – consensus snapshot</t>
  </si>
  <si>
    <t>S1</t>
  </si>
  <si>
    <t>S&amp;P Capital IQ (supplied)</t>
  </si>
  <si>
    <t>Inputs A/B; Cover consensus</t>
  </si>
  <si>
    <t>UNH_consensus.json (sha256 37d93fe8…)</t>
  </si>
  <si>
    <t>UNH_history.csv – six-quarter history</t>
  </si>
  <si>
    <t>S2</t>
  </si>
  <si>
    <t>Inputs C; calibration</t>
  </si>
  <si>
    <t>UNH_history.csv (sha256 deebb2fe…)</t>
  </si>
  <si>
    <t>Q3 2025 earnings release</t>
  </si>
  <si>
    <t>S3</t>
  </si>
  <si>
    <t>UnitedHealth Group (8-K Ex. 99.1)</t>
  </si>
  <si>
    <t>3Q25A statements, segments, people served, bridge, FY25 guide</t>
  </si>
  <si>
    <t>https://www.sec.gov/Archives/edgar/data/731766/000073176625000301/a2025q3exhibit991.htm</t>
  </si>
  <si>
    <t>Q3 2025 Form 10-Q</t>
  </si>
  <si>
    <t>S4</t>
  </si>
  <si>
    <t>UnitedHealth Group (10-Q)</t>
  </si>
  <si>
    <t>Sep-30-2025 balance sheet detail, basic shares, repurchases</t>
  </si>
  <si>
    <t>https://www.sec.gov/Archives/edgar/data/731766/000073176625000305/unh-20250930.htm</t>
  </si>
  <si>
    <t>Q4/FY 2025 earnings release</t>
  </si>
  <si>
    <t>S5</t>
  </si>
  <si>
    <t>4Q25A/FY25A statements, segments, bridge, FY26 initial guidance</t>
  </si>
  <si>
    <t>https://www.sec.gov/Archives/edgar/data/731766/000073176626000025/a991unherq42025.htm</t>
  </si>
  <si>
    <t>2025 Form 10-K</t>
  </si>
  <si>
    <t>S6</t>
  </si>
  <si>
    <t>UnitedHealth Group (10-K)</t>
  </si>
  <si>
    <t>FY25 basic/diluted shares; no 4Q25 repurchases; geography check</t>
  </si>
  <si>
    <t>https://www.sec.gov/Archives/edgar/data/731766/000073176626000062/unh-20251231.htm</t>
  </si>
  <si>
    <t>Q1 2026 earnings release</t>
  </si>
  <si>
    <t>S7</t>
  </si>
  <si>
    <t>1Q26A statements; Optum Financial recast of 2025 segments (p.14)</t>
  </si>
  <si>
    <t>https://www.sec.gov/Archives/edgar/data/731766/000073176626000121/uhgearningsreleaseq12026.htm</t>
  </si>
  <si>
    <t>Q1 2026 Form 10-Q</t>
  </si>
  <si>
    <t>S8</t>
  </si>
  <si>
    <t>Mar-31-2026 and Dec-31-2025 balance sheet detail; basic shares</t>
  </si>
  <si>
    <t>https://www.sec.gov/Archives/edgar/data/731766/000073176626000127/unh-20260331.htm</t>
  </si>
  <si>
    <t>Q2 2026 earnings release</t>
  </si>
  <si>
    <t>2Q26A statements, 1H25 comparatives, CF 6M, Jul-16 guidance, bridge</t>
  </si>
  <si>
    <t>https://www.sec.gov/Archives/edgar/data/731766/000073176626000191/earningsrelease2q26_7152.htm</t>
  </si>
  <si>
    <t>Q2 2026 Form 10-Q</t>
  </si>
  <si>
    <t>S10</t>
  </si>
  <si>
    <t>Jun-30-2026 balance sheet; shares 897.6m at Jul-31; forward repurchase; PYD</t>
  </si>
  <si>
    <t>https://www.sec.gov/Archives/edgar/data/731766/000073176626000197/unh-20260630.htm</t>
  </si>
  <si>
    <t>Q2 2026 prepared remarks</t>
  </si>
  <si>
    <t>S11</t>
  </si>
  <si>
    <t>UnitedHealth Group</t>
  </si>
  <si>
    <t>Earnings cadence, segment weighting, MCR guide</t>
  </si>
  <si>
    <t>https://www.unitedhealthgroup.com/content/dam/UHG/PDF/investors/2026/unh-q2-2026-remarks.pdf</t>
  </si>
  <si>
    <t>Q2 2026 call transcript</t>
  </si>
  <si>
    <t>S12</t>
  </si>
  <si>
    <t>The Motley Fool</t>
  </si>
  <si>
    <t>Q&amp;A: Optum Health 2H, PDR, cost trend</t>
  </si>
  <si>
    <t>https://www.fool.com/earnings/call-transcripts/2026/07/16/unitedhealth-unh-q2-2026-earnings-call-transcript/</t>
  </si>
  <si>
    <t>Q3 2026 earnings date announcement</t>
  </si>
  <si>
    <t>S13</t>
  </si>
  <si>
    <t>Expected report date Oct-13-2026</t>
  </si>
  <si>
    <t>https://www.unitedhealthgroup.com/newsroom/2026/2026-09-15-uhg-announces-q3-earnings-release-date.html</t>
  </si>
  <si>
    <t>Wells Fargo Healthcare Conference transcript</t>
  </si>
  <si>
    <t>S14</t>
  </si>
  <si>
    <t>StockAnalysis (transcript)</t>
  </si>
  <si>
    <t>CFO: Q3 trend durability; guidance unchanged</t>
  </si>
  <si>
    <t>https://stockanalysis.com/stocks/unh/transcripts/745775-wells-fargo-21st-annual-healthcare-conference/</t>
  </si>
  <si>
    <t>TD Cowen note summary</t>
  </si>
  <si>
    <t>S15</t>
  </si>
  <si>
    <t>Investing.com</t>
  </si>
  <si>
    <t>Consensus MLR 89.9%; Q3 ≈66% of 2H; commentary ~70%</t>
  </si>
  <si>
    <t>https://www.investing.com/news/analyst-ratings/td-cowen-cuts-unitedhealth-stock-price-target-to-402-on-2027-outlook-93CH-4940670</t>
  </si>
  <si>
    <t>Zacks key-metrics preview</t>
  </si>
  <si>
    <t>S16</t>
  </si>
  <si>
    <t>Yahoo Finance / Zacks</t>
  </si>
  <si>
    <t>Consensus $4.12, revenue $111.38bn, MCR 90.1%</t>
  </si>
  <si>
    <t>https://finance.yahoo.com/healthcare/articles/stay-ahead-game-unitedhealth-unh-121519670.html</t>
  </si>
  <si>
    <t>Q3 preview</t>
  </si>
  <si>
    <t>S17</t>
  </si>
  <si>
    <t>Earnings Whispers</t>
  </si>
  <si>
    <t>Whisper $4.60</t>
  </si>
  <si>
    <t>https://www.earningswhispers.com/article/UNH/20317</t>
  </si>
  <si>
    <t>Beat market</t>
  </si>
  <si>
    <t>S18</t>
  </si>
  <si>
    <t>Polymarket</t>
  </si>
  <si>
    <t>Market line $4.19, 81% yes</t>
  </si>
  <si>
    <t>https://polymarket.com/event/unh-quarterly-earnings-nongaap-eps-10-13-2026-4pt19</t>
  </si>
  <si>
    <t>Market cap</t>
  </si>
  <si>
    <t>S19</t>
  </si>
  <si>
    <t>StockAnalysis</t>
  </si>
  <si>
    <t>Market cap $340.46bn (size bucket)</t>
  </si>
  <si>
    <t>https://stockanalysis.com/stocks/unh/market-cap/</t>
  </si>
  <si>
    <t>S19b</t>
  </si>
  <si>
    <t>TipRanks</t>
  </si>
  <si>
    <t>Market cap $332.96bn (cross-check)</t>
  </si>
  <si>
    <t>https://www.tipranks.com/stocks/unh/market-cap</t>
  </si>
  <si>
    <t>Q3 2026 preview</t>
  </si>
  <si>
    <t>S20</t>
  </si>
  <si>
    <t>drillr</t>
  </si>
  <si>
    <t>Context: 2H MCR path, Medicaid margin range</t>
  </si>
  <si>
    <t>https://drillr.ai/article/unh-q3-2026-earnings-preview-margin-recovery</t>
  </si>
  <si>
    <t>TPG transaction</t>
  </si>
  <si>
    <t>S21</t>
  </si>
  <si>
    <t>Insurance Journal (Bloomberg)</t>
  </si>
  <si>
    <t>TPG stake in Florida WellMed clinics</t>
  </si>
  <si>
    <t>https://www.insurancejournal.com/news/southeast/2026/09/09/884489.htm</t>
  </si>
  <si>
    <t>CFO commentary</t>
  </si>
  <si>
    <t>S22</t>
  </si>
  <si>
    <t>Becker's Hospital Review</t>
  </si>
  <si>
    <t>MA margin upper half of 2-4%</t>
  </si>
  <si>
    <t>https://www.beckershospitalreview.com/finance/unitedhealth-cfo-says-tough-decisions-in-medicare-advantage-are-paying-off/</t>
  </si>
  <si>
    <t>S23</t>
  </si>
  <si>
    <t>el-fondo</t>
  </si>
  <si>
    <t>Alternative consensus $4.19 / $112.52bn</t>
  </si>
  <si>
    <t>https://www.el-fondo.com/en/news/unitedhealth-reports-third-quarter-results-on-tuesday</t>
  </si>
  <si>
    <t>Shortcut logo</t>
  </si>
  <si>
    <t>S24</t>
  </si>
  <si>
    <t>Shortcut (supplied)</t>
  </si>
  <si>
    <t>Cover logo</t>
  </si>
  <si>
    <t>shortcut-logo.png</t>
  </si>
  <si>
    <t>Omitted tab — Geo: revenue is effectively all U.S.; only non-U.S. disclosure is UHC E&amp;I – Global (~0.8%); checked 2025 Form 10-K (S6) and Q2 2026 release (S9).</t>
  </si>
  <si>
    <t>All other standard tabs carry content; no Dates, Consensus or Checks tabs (checks summary in artifacts/checks.md).</t>
  </si>
  <si>
    <t>Inputs (CapIQ snapshot, annual reconciliation &amp; calibration)</t>
  </si>
  <si>
    <t>A. S&amp;P Capital IQ consensus snapshot — summary_row (verbatim; blanks preserved)</t>
  </si>
  <si>
    <t>Field</t>
  </si>
  <si>
    <t>Value</t>
  </si>
  <si>
    <t>Blank?</t>
  </si>
  <si>
    <t>ticker</t>
  </si>
  <si>
    <t>company_name</t>
  </si>
  <si>
    <t>exchange_ticker</t>
  </si>
  <si>
    <t>NYSE:UNH</t>
  </si>
  <si>
    <t>capiq_company_id</t>
  </si>
  <si>
    <t>sp500_member</t>
  </si>
  <si>
    <t>Y</t>
  </si>
  <si>
    <t>market_cap_usd_m</t>
  </si>
  <si>
    <t>blank in source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</si>
  <si>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</si>
  <si>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</si>
  <si>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</si>
  <si>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</si>
  <si>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</si>
  <si>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</si>
  <si>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</si>
  <si>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</si>
  <si>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</si>
  <si>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</si>
  <si>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</si>
  <si>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</si>
  <si>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</si>
  <si>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</si>
  <si>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</si>
  <si>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</si>
  <si>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</si>
  <si>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</si>
  <si>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</si>
  <si>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</si>
  <si>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</si>
  <si>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</si>
  <si>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</si>
  <si>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</si>
  <si>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</si>
  <si>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</si>
  <si>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</si>
  <si>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</si>
  <si>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</si>
  <si>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</si>
  <si>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</si>
  <si>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</si>
  <si>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</si>
  <si>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</si>
  <si>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</si>
  <si>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</si>
  <si>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</si>
  <si>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</si>
  <si>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</si>
  <si>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</si>
  <si>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</si>
  <si>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</si>
  <si>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</si>
  <si>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</si>
  <si>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</si>
  <si>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</si>
  <si>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</si>
  <si>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</si>
  <si>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</si>
  <si>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</si>
  <si>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</si>
  <si>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</si>
  <si>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</si>
  <si>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Target-price field: not used as an earnings-model input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</si>
  <si>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</si>
  <si>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</si>
  <si>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</si>
  <si>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</si>
  <si>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</si>
  <si>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</si>
  <si>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</si>
  <si>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</si>
  <si>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</si>
  <si>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</si>
  <si>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461.62/255.97</t>
  </si>
  <si>
    <t>currency</t>
  </si>
  <si>
    <t>units</t>
  </si>
  <si>
    <t>per-share in USD; revenue and income in USD millions</t>
  </si>
  <si>
    <t>estimates_captured_at</t>
  </si>
  <si>
    <t>notes</t>
  </si>
  <si>
    <t>B. Consensus file top-level fields (UNH_consensus.json)</t>
  </si>
  <si>
    <t>source</t>
  </si>
  <si>
    <t>S&amp;P Capital IQ</t>
  </si>
  <si>
    <t>company</t>
  </si>
  <si>
    <t>fiscal_period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</si>
  <si>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</si>
  <si>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</si>
  <si>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</si>
  <si>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</si>
  <si>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</si>
  <si>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</si>
  <si>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</si>
  <si>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</si>
  <si>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</si>
  <si>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</si>
  <si>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</si>
  <si>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</si>
  <si>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C. CapIQ six-quarter history (UNH_history.csv, verbatim; columns = history rows, oldest left)</t>
  </si>
  <si>
    <t>1Q25A</t>
  </si>
  <si>
    <t>2Q25A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</si>
  <si>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</si>
  <si>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</si>
  <si>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</si>
  <si>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</si>
  <si>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</si>
  <si>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</si>
  <si>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</si>
  <si>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Norm. EPS surprise ($)</t>
  </si>
  <si>
    <t>Norm. EPS surprise (%)</t>
  </si>
  <si>
    <t>Strict beat (1 = yes)</t>
  </si>
  <si>
    <t>Revenue surprise ($m)</t>
  </si>
  <si>
    <t>Check: CapIQ rev. − model</t>
  </si>
  <si>
    <t>Check: CapIQ EPS − issuer</t>
  </si>
  <si>
    <t>D. Beat-probability calibration (playbook v2: size and issuer history)</t>
  </si>
  <si>
    <t>Market cap ($m), Oct-9-2026</t>
  </si>
  <si>
    <t>StockAnalysis: $340.46bn as of Oct-9-2026 (S19); TipRanks $332.96bn as of Oct-10 (S19b); CapIQ market_cap_usd_m blank</t>
  </si>
  <si>
    <t>Size bucket</t>
  </si>
  <si>
    <t>large (&gt;$10bn)</t>
  </si>
  <si>
    <t>Bucket definition per forecasting playbook v2 §7 (forecasting-playbook.md): small $0.3-2bn, mid $2-10bn, large &gt;$10bn; S&amp;P 500 membership is a separate attribute</t>
  </si>
  <si>
    <t>S&amp;P 500 member</t>
  </si>
  <si>
    <t>Cohort prior (large / S&amp;P 500)</t>
  </si>
  <si>
    <t>Model prior supplied by forecasting playbook v2 §7 (forecasting-playbook.md): cohort prior 0.60 small / 0.70 mid / 0.78 large OR S&amp;P 500 (applied once). Rounded hypothesis, not an empirical estimate</t>
  </si>
  <si>
    <t>b = strict beats</t>
  </si>
  <si>
    <t>n = valid pairs</t>
  </si>
  <si>
    <t>Pseudo-observations</t>
  </si>
  <si>
    <t>Starting p</t>
  </si>
  <si>
    <t>Evidence adjustment</t>
  </si>
  <si>
    <t>+: CFO 9-Sep "durability has not dissipated" into Q3 (S14); 2026 beats vs conservative guides; TD Cowen consensus "achievable" (S15). −: transcript "slightly more earnings in 3Q relative to 4Q" (S11) implies ~$3.4 at guide midpoint</t>
  </si>
  <si>
    <t>Final P(beat)</t>
  </si>
  <si>
    <t>medium</t>
  </si>
  <si>
    <t>E. Annual reconciliation inputs — 1H25A as reported (six months ended Jun-30-2025, S9)</t>
  </si>
  <si>
    <t>Line</t>
  </si>
  <si>
    <t>1H25A</t>
  </si>
  <si>
    <t>FY−3Q−4Q</t>
  </si>
  <si>
    <t>Diff.</t>
  </si>
  <si>
    <t>C = 1H25A reported (S9); D = FY25A − 3Q25A − 4Q25A from Income Statement; E = D − C</t>
  </si>
  <si>
    <t>Check: non-zero differences</t>
  </si>
  <si>
    <t>F. Cash flow statements, year-to-date as reported (S9, S3, S5, S7, S9)</t>
  </si>
  <si>
    <t>6M25</t>
  </si>
  <si>
    <t>9M25</t>
  </si>
  <si>
    <t>3M26</t>
  </si>
  <si>
    <t>6M26</t>
  </si>
  <si>
    <t>Check: YTD cash flow sums</t>
  </si>
  <si>
    <t>H. Segment revenue by type, YTD as reported (for 4Q25 = FY25 − 9M25 derivation)</t>
  </si>
  <si>
    <t>9M25 (S4)</t>
  </si>
  <si>
    <t>FY25 (S6)</t>
  </si>
  <si>
    <t>UHC premiums</t>
  </si>
  <si>
    <t>Segment note: Q3 2025 10-Q (9M) and 2025 10-K (FY)</t>
  </si>
  <si>
    <t>UHC services</t>
  </si>
  <si>
    <t>UHC investment and other income</t>
  </si>
  <si>
    <t>Optum Rx products</t>
  </si>
  <si>
    <t>Optum Rx services</t>
  </si>
  <si>
    <t>Optum Rx affiliated revenue</t>
  </si>
  <si>
    <t>Optum Rx investment income</t>
  </si>
  <si>
    <t>G. Newer / other consensus readings (recorded separately; NOT the scoring baseline)</t>
  </si>
  <si>
    <t>Source (date)</t>
  </si>
  <si>
    <t>Adj. EPS</t>
  </si>
  <si>
    <t>MCR</t>
  </si>
  <si>
    <t>Zacks (Oct-8, S16)</t>
  </si>
  <si>
    <t>TD Cowen (Oct-9, S15)</t>
  </si>
  <si>
    <t>el-fondo (Oct-4, S23)</t>
  </si>
  <si>
    <t>Polymarket line (Oct-11, S18)</t>
  </si>
  <si>
    <t>Whisper number (Oct-5, S17)</t>
  </si>
</sst>
</file>

<file path=xl/styles.xml><?xml version="1.0" encoding="utf-8"?>
<styleSheet xmlns="http://schemas.openxmlformats.org/spreadsheetml/2006/main">
  <numFmts count="11">
    <numFmt numFmtId="164" formatCode="#,##0.0_);(#,##0.0);–_)"/>
    <numFmt numFmtId="165" formatCode="0.0%_);(0.0%);–_)"/>
    <numFmt numFmtId="166" formatCode="@"/>
    <numFmt numFmtId="167" formatCode="yyyy-mm-dd"/>
    <numFmt numFmtId="168" formatCode="0.0&quot;x&quot;"/>
    <numFmt numFmtId="169" formatCode="$0.00"/>
    <numFmt numFmtId="170" formatCode="0"/>
    <numFmt numFmtId="171" formatCode="#,##0.00_);(#,##0.00);–_)"/>
    <numFmt numFmtId="172" formatCode="0.000&quot;x&quot;_);(0.000&quot;x&quot;);–_)"/>
    <numFmt numFmtId="173" formatCode="General"/>
    <numFmt numFmtId="174" formatCode="#,##0.0&quot; bp&quot;_);(#,##0.0&quot; bp&quot;);–_)"/>
  </numFmts>
  <fonts count="25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1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3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06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165" fontId="2" fillId="0" borderId="1" xfId="0" applyNumberFormat="1" applyFont="1" applyFill="1" applyBorder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164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indent="0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6" fontId="2" fillId="0" borderId="1" xfId="0" applyNumberFormat="1" applyFont="1" applyFill="1" applyBorder="1" applyAlignment="1" applyProtection="1">
      <alignment horizontal="left" vertical="bottom"/>
      <protection locked="1" hidden="0"/>
    </xf>
    <xf numFmtId="0" fontId="3" fillId="0" borderId="0" xfId="0" applyFont="1" applyFill="1" applyAlignment="1" applyProtection="1">
      <alignment horizontal="left" vertical="bottom" indent="3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0" fontId="2" fillId="3" borderId="1" xfId="0" applyFont="1" applyFill="1" applyBorder="1" applyAlignment="1" applyProtection="1">
      <alignment horizontal="right" vertical="bottom"/>
      <protection locked="1" hidden="0"/>
    </xf>
    <xf numFmtId="164" fontId="2" fillId="0" borderId="2" xfId="0" applyNumberFormat="1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0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indent="1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indent="2"/>
      <protection locked="1" hidden="0"/>
    </xf>
    <xf numFmtId="164" fontId="2" fillId="3" borderId="1" xfId="0" applyNumberFormat="1" applyFont="1" applyFill="1" applyBorder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66" fontId="7" fillId="0" borderId="1" xfId="0" applyNumberFormat="1" applyFont="1" applyFill="1" applyBorder="1" applyAlignment="1" applyProtection="1">
      <alignment horizontal="left" vertical="bottom"/>
      <protection locked="1" hidden="0"/>
    </xf>
    <xf numFmtId="170" fontId="1" fillId="2" borderId="2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left" vertical="bottom" indent="0"/>
      <protection locked="1" hidden="0"/>
    </xf>
    <xf numFmtId="164" fontId="7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5" fontId="9" fillId="0" borderId="1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 indent="0"/>
      <protection locked="1" hidden="0"/>
    </xf>
    <xf numFmtId="170" fontId="1" fillId="3" borderId="2" xfId="0" applyNumberFormat="1" applyFont="1" applyFill="1" applyBorder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left" vertical="bottom" indent="0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left" vertical="bottom" indent="2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left" vertical="bottom"/>
      <protection locked="1" hidden="0"/>
    </xf>
    <xf numFmtId="169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 wrapText="1"/>
      <protection locked="1" hidden="0"/>
    </xf>
    <xf numFmtId="169" fontId="4" fillId="0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wrapText="1"/>
      <protection locked="1" hidden="0"/>
    </xf>
    <xf numFmtId="0" fontId="1" fillId="0" borderId="0" xfId="0" applyFont="1" applyFill="1" applyAlignment="1" applyProtection="1">
      <alignment horizontal="left" vertical="bottom" wrapText="1" indent="0"/>
      <protection locked="1" hidden="0"/>
    </xf>
    <xf numFmtId="164" fontId="11" fillId="0" borderId="1" xfId="0" applyNumberFormat="1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left" vertical="bottom" indent="1"/>
      <protection locked="1" hidden="0"/>
    </xf>
    <xf numFmtId="169" fontId="7" fillId="0" borderId="1" xfId="0" applyNumberFormat="1" applyFont="1" applyFill="1" applyBorder="1" applyAlignment="1" applyProtection="1">
      <alignment horizontal="right" vertical="bottom"/>
      <protection locked="1" hidden="0"/>
    </xf>
    <xf numFmtId="171" fontId="6" fillId="3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171" fontId="6" fillId="0" borderId="0" xfId="0" applyNumberFormat="1" applyFont="1" applyFill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left" vertical="bottom" indent="0"/>
      <protection locked="1" hidden="0"/>
    </xf>
    <xf numFmtId="164" fontId="7" fillId="3" borderId="1" xfId="0" applyNumberFormat="1" applyFont="1" applyFill="1" applyBorder="1" applyAlignment="1" applyProtection="1">
      <alignment horizontal="right" vertical="bottom"/>
      <protection locked="1" hidden="0"/>
    </xf>
    <xf numFmtId="165" fontId="8" fillId="3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5" fontId="13" fillId="3" borderId="0" xfId="0" applyNumberFormat="1" applyFont="1" applyFill="1" applyAlignment="1" applyProtection="1">
      <alignment horizontal="right" vertical="bottom"/>
      <protection locked="1" hidden="0"/>
    </xf>
    <xf numFmtId="165" fontId="13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1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65" fontId="14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indent="3"/>
      <protection locked="1" hidden="0"/>
    </xf>
    <xf numFmtId="169" fontId="6" fillId="3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left" vertical="bottom"/>
      <protection locked="1" hidden="0"/>
    </xf>
    <xf numFmtId="169" fontId="2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11" fillId="3" borderId="1" xfId="0" applyNumberFormat="1" applyFont="1" applyFill="1" applyBorder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70" fontId="6" fillId="3" borderId="0" xfId="0" applyNumberFormat="1" applyFont="1" applyFill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left" vertical="bottom" indent="2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72" fontId="6" fillId="3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6" fontId="6" fillId="0" borderId="0" xfId="0" applyNumberFormat="1" applyFont="1" applyFill="1" applyAlignment="1" applyProtection="1">
      <alignment horizontal="left" vertical="bottom"/>
      <protection locked="1" hidden="0"/>
    </xf>
    <xf numFmtId="166" fontId="15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4" fontId="16" fillId="0" borderId="2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0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1" fillId="2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20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73" fontId="21" fillId="0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0" fillId="2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23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24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/>
  </sheetViews>
  <sheetFormatPr defaultRowHeight="15"/>
  <cols>
    <col min="1" max="1" width="10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1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3"/>
      <c r="I8" s="2"/>
      <c r="J8" s="2"/>
    </row>
    <row r="9">
      <c r="A9" s="3"/>
      <c r="B9" s="63" t="s">
        <v>13</v>
      </c>
      <c r="C9" s="3"/>
      <c r="D9" s="3"/>
      <c r="E9" s="3"/>
      <c r="F9" s="3"/>
      <c r="G9" s="3"/>
      <c r="H9" s="3"/>
      <c r="I9" s="2"/>
      <c r="J9" s="2"/>
    </row>
    <row r="10">
      <c r="A10" s="3"/>
      <c r="B10" s="3"/>
      <c r="C10" s="3"/>
      <c r="D10" s="3"/>
      <c r="E10" s="3"/>
      <c r="F10" s="3"/>
      <c r="G10" s="3"/>
      <c r="H10" s="3"/>
      <c r="I10" s="2"/>
      <c r="J10" s="2"/>
    </row>
    <row r="11">
      <c r="A11" s="3"/>
      <c r="B11" s="11" t="s">
        <v>14</v>
      </c>
      <c r="C11" s="7" t="s">
        <v>15</v>
      </c>
      <c r="D11" s="7"/>
      <c r="E11" s="7"/>
      <c r="F11" s="7"/>
      <c r="G11" s="7"/>
      <c r="H11" s="7"/>
      <c r="I11" s="2"/>
      <c r="J11" s="2"/>
    </row>
    <row r="12">
      <c r="A12" s="3"/>
      <c r="B12" s="11" t="s">
        <v>16</v>
      </c>
      <c r="C12" s="7" t="s">
        <v>17</v>
      </c>
      <c r="D12" s="7"/>
      <c r="E12" s="7"/>
      <c r="F12" s="7"/>
      <c r="G12" s="7"/>
      <c r="H12" s="7"/>
      <c r="I12" s="2"/>
      <c r="J12" s="2"/>
    </row>
    <row r="13">
      <c r="A13" s="3"/>
      <c r="B13" s="11" t="s">
        <v>18</v>
      </c>
      <c r="C13" s="7" t="s">
        <v>19</v>
      </c>
      <c r="D13" s="7"/>
      <c r="E13" s="7"/>
      <c r="F13" s="7"/>
      <c r="G13" s="7"/>
      <c r="H13" s="7"/>
      <c r="I13" s="2"/>
      <c r="J13" s="2"/>
    </row>
    <row r="14">
      <c r="A14" s="3"/>
      <c r="B14" s="11" t="s">
        <v>20</v>
      </c>
      <c r="C14" s="7" t="s">
        <v>21</v>
      </c>
      <c r="D14" s="7"/>
      <c r="E14" s="7"/>
      <c r="F14" s="7"/>
      <c r="G14" s="7"/>
      <c r="H14" s="7"/>
      <c r="I14" s="2"/>
      <c r="J14" s="2"/>
    </row>
    <row r="15">
      <c r="A15" s="3"/>
      <c r="B15" s="11" t="s">
        <v>22</v>
      </c>
      <c r="C15" s="7" t="s">
        <v>23</v>
      </c>
      <c r="D15" s="7"/>
      <c r="E15" s="7"/>
      <c r="F15" s="7"/>
      <c r="G15" s="7"/>
      <c r="H15" s="7"/>
      <c r="I15" s="2"/>
      <c r="J15" s="2"/>
    </row>
    <row r="16">
      <c r="A16" s="3"/>
      <c r="B16" s="11" t="s">
        <v>24</v>
      </c>
      <c r="C16" s="7" t="s">
        <v>25</v>
      </c>
      <c r="D16" s="7"/>
      <c r="E16" s="7"/>
      <c r="F16" s="7"/>
      <c r="G16" s="7"/>
      <c r="H16" s="7"/>
      <c r="I16" s="2"/>
      <c r="J16" s="2"/>
    </row>
    <row r="17">
      <c r="A17" s="3"/>
      <c r="B17" s="11" t="s">
        <v>26</v>
      </c>
      <c r="C17" s="7" t="s">
        <v>27</v>
      </c>
      <c r="D17" s="7"/>
      <c r="E17" s="7"/>
      <c r="F17" s="7"/>
      <c r="G17" s="7"/>
      <c r="H17" s="7"/>
      <c r="I17" s="2"/>
      <c r="J17" s="2"/>
    </row>
    <row r="18">
      <c r="A18" s="3"/>
      <c r="B18" s="11" t="s">
        <v>28</v>
      </c>
      <c r="C18" s="7" t="s">
        <v>29</v>
      </c>
      <c r="D18" s="7"/>
      <c r="E18" s="7"/>
      <c r="F18" s="7"/>
      <c r="G18" s="7"/>
      <c r="H18" s="7"/>
      <c r="I18" s="2"/>
      <c r="J18" s="2"/>
    </row>
    <row r="19">
      <c r="A19" s="3"/>
      <c r="B19" s="11" t="s">
        <v>30</v>
      </c>
      <c r="C19" s="7" t="s">
        <v>31</v>
      </c>
      <c r="D19" s="7"/>
      <c r="E19" s="7"/>
      <c r="F19" s="7"/>
      <c r="G19" s="7"/>
      <c r="H19" s="7"/>
      <c r="I19" s="2"/>
      <c r="J19" s="2"/>
    </row>
    <row r="20">
      <c r="A20" s="3"/>
      <c r="B20" s="11" t="s">
        <v>32</v>
      </c>
      <c r="C20" s="7" t="s">
        <v>33</v>
      </c>
      <c r="D20" s="7"/>
      <c r="E20" s="7"/>
      <c r="F20" s="7"/>
      <c r="G20" s="7"/>
      <c r="H20" s="7"/>
      <c r="I20" s="2"/>
      <c r="J20" s="2"/>
    </row>
    <row r="21">
      <c r="A21" s="3"/>
      <c r="B21" s="11" t="s">
        <v>34</v>
      </c>
      <c r="C21" s="10">
        <f>Inputs!C116</f>
        <v>340460</v>
      </c>
      <c r="D21" s="1"/>
      <c r="E21" s="1"/>
      <c r="F21" s="1"/>
      <c r="G21" s="1"/>
      <c r="H21" s="1"/>
      <c r="I21" s="2"/>
      <c r="J21" s="2"/>
    </row>
    <row r="22">
      <c r="A22" s="3"/>
      <c r="B22" s="3"/>
      <c r="C22" s="3"/>
      <c r="D22" s="3"/>
      <c r="E22" s="3"/>
      <c r="F22" s="3"/>
      <c r="G22" s="3"/>
      <c r="H22" s="3"/>
      <c r="I22" s="2"/>
      <c r="J22" s="2"/>
    </row>
    <row r="23">
      <c r="A23" s="3"/>
      <c r="B23" s="23" t="s">
        <v>35</v>
      </c>
      <c r="C23" s="3"/>
      <c r="D23" s="3"/>
      <c r="E23" s="3"/>
      <c r="F23" s="3"/>
      <c r="G23" s="3"/>
      <c r="H23" s="3"/>
      <c r="I23" s="2"/>
      <c r="J23" s="2"/>
    </row>
    <row r="24" ht="30">
      <c r="A24" s="3"/>
      <c r="B24" s="36" t="s">
        <v>36</v>
      </c>
      <c r="C24" s="22" t="s">
        <v>37</v>
      </c>
      <c r="D24" s="22" t="s">
        <v>38</v>
      </c>
      <c r="E24" s="22" t="s">
        <v>39</v>
      </c>
      <c r="F24" s="22" t="s">
        <v>40</v>
      </c>
      <c r="G24" s="22" t="s">
        <v>41</v>
      </c>
      <c r="H24" s="22" t="s">
        <v>42</v>
      </c>
      <c r="I24" s="101" t="s">
        <v>43</v>
      </c>
      <c r="J24" s="48"/>
    </row>
    <row r="25">
      <c r="A25" s="3"/>
      <c r="B25" s="11" t="s">
        <v>44</v>
      </c>
      <c r="C25" s="10">
        <f>'Income Statement'!H48</f>
        <v>111854.883486</v>
      </c>
      <c r="D25" s="10">
        <f>Inputs!C38</f>
        <v>111489.35</v>
      </c>
      <c r="E25" s="1">
        <f>C25-D25</f>
        <v>365.53348600000027</v>
      </c>
      <c r="F25" s="15">
        <f>C25/D25-1</f>
        <v>0.003278640390315335</v>
      </c>
      <c r="G25" s="10">
        <f>Guidance!C73</f>
        <v>107623.5</v>
      </c>
      <c r="H25" s="1">
        <f>IFERROR(C25-G25,"n/a")</f>
        <v>4231.383486000006</v>
      </c>
      <c r="I25" s="100"/>
      <c r="J25" s="2"/>
    </row>
    <row r="26">
      <c r="A26" s="3"/>
      <c r="B26" s="11" t="s">
        <v>45</v>
      </c>
      <c r="C26" s="10">
        <f>'Income Statement'!H130</f>
        <v>3863.7910421639767</v>
      </c>
      <c r="D26" s="10">
        <f>Inputs!C51</f>
        <v>3695.73</v>
      </c>
      <c r="E26" s="1">
        <f>C26-D26</f>
        <v>168.0610421639767</v>
      </c>
      <c r="F26" s="15">
        <f>C26/D26-1</f>
        <v>0.045474383183830236</v>
      </c>
      <c r="G26" s="10">
        <f>Guidance!C71</f>
        <v>2945.2500000000005</v>
      </c>
      <c r="H26" s="1">
        <f>IFERROR(C26-G26,"n/a")</f>
        <v>918.5410421639763</v>
      </c>
      <c r="I26" s="100" t="s">
        <v>46</v>
      </c>
      <c r="J26" s="2"/>
    </row>
    <row r="27">
      <c r="A27" s="3"/>
      <c r="B27" s="11" t="s">
        <v>47</v>
      </c>
      <c r="C27" s="10">
        <f>'Income Statement'!H99</f>
        <v>3643.691042163977</v>
      </c>
      <c r="D27" s="10">
        <f>Inputs!C52</f>
        <v>3449.78</v>
      </c>
      <c r="E27" s="1">
        <f>C27-D27</f>
        <v>193.91104216397662</v>
      </c>
      <c r="F27" s="15">
        <f>C27/D27-1</f>
        <v>0.0562096835635828</v>
      </c>
      <c r="G27" s="10">
        <f>Guidance!C70</f>
        <v>2742.3</v>
      </c>
      <c r="H27" s="1">
        <f>IFERROR(C27-G27,"n/a")</f>
        <v>901.3910421639766</v>
      </c>
      <c r="I27" s="100"/>
      <c r="J27" s="2"/>
    </row>
    <row r="28" ht="70.5">
      <c r="A28" s="3"/>
      <c r="B28" s="23" t="s">
        <v>48</v>
      </c>
      <c r="C28" s="59">
        <f>'Income Statement'!H133</f>
        <v>4.289288457109211</v>
      </c>
      <c r="D28" s="59">
        <f>Inputs!C22</f>
        <v>4.15</v>
      </c>
      <c r="E28" s="49">
        <f>C28-D28</f>
        <v>0.13928845710921056</v>
      </c>
      <c r="F28" s="4">
        <f>C28/D28-1</f>
        <v>0.03356348364077366</v>
      </c>
      <c r="G28" s="59">
        <f>Guidance!D67</f>
        <v>3.269593694493784</v>
      </c>
      <c r="H28" s="49">
        <f>IFERROR(C28-G28,"n/a")</f>
        <v>1.0196947626154271</v>
      </c>
      <c r="I28" s="100" t="s">
        <v>49</v>
      </c>
      <c r="J28" s="2"/>
    </row>
    <row r="29" ht="57">
      <c r="A29" s="3"/>
      <c r="B29" s="11" t="s">
        <v>50</v>
      </c>
      <c r="C29" s="53">
        <f>'Income Statement'!H111</f>
        <v>4.04495009121223</v>
      </c>
      <c r="D29" s="53">
        <f>Inputs!C31</f>
        <v>3.82</v>
      </c>
      <c r="E29" s="30">
        <f>C29-D29</f>
        <v>0.22495009121222997</v>
      </c>
      <c r="F29" s="15">
        <f>C29/D29-1</f>
        <v>0.05888745843252097</v>
      </c>
      <c r="G29" s="53">
        <f>Guidance!D69</f>
        <v>3.044293960923624</v>
      </c>
      <c r="H29" s="30">
        <f>IFERROR(C29-G29,"n/a")</f>
        <v>1.000656130288606</v>
      </c>
      <c r="I29" s="100" t="s">
        <v>51</v>
      </c>
      <c r="J29" s="2"/>
    </row>
    <row r="30" ht="57">
      <c r="A30" s="3"/>
      <c r="B30" s="11" t="s">
        <v>52</v>
      </c>
      <c r="C30" s="10">
        <f>'Income Statement'!H79</f>
        <v>5708.915389158254</v>
      </c>
      <c r="D30" s="10">
        <f>Inputs!C48</f>
        <v>5443.73</v>
      </c>
      <c r="E30" s="1">
        <f>C30-D30</f>
        <v>265.1853891582541</v>
      </c>
      <c r="F30" s="15">
        <f>C30/D30-1</f>
        <v>0.048713912916006796</v>
      </c>
      <c r="G30" s="1" t="s">
        <v>53</v>
      </c>
      <c r="H30" s="1" t="str">
        <f>IFERROR(C30-G30,"n/a")</f>
        <v>n/a</v>
      </c>
      <c r="I30" s="100" t="s">
        <v>54</v>
      </c>
      <c r="J30" s="2"/>
    </row>
    <row r="31" ht="70.5">
      <c r="A31" s="3"/>
      <c r="B31" s="41" t="s">
        <v>55</v>
      </c>
      <c r="C31" s="38">
        <f>'Income Statement'!H62</f>
        <v>0.895</v>
      </c>
      <c r="D31" s="6" t="s">
        <v>53</v>
      </c>
      <c r="E31" s="6" t="s">
        <v>53</v>
      </c>
      <c r="F31" s="6" t="s">
        <v>53</v>
      </c>
      <c r="G31" s="38">
        <f>Guidance!G43</f>
        <v>0.881</v>
      </c>
      <c r="H31" s="102">
        <f>(C31-G31)*10000</f>
        <v>140.0000000000001</v>
      </c>
      <c r="I31" s="100" t="s">
        <v>56</v>
      </c>
      <c r="J31" s="2"/>
    </row>
    <row r="32" ht="138">
      <c r="A32" s="3"/>
      <c r="B32" s="23" t="s">
        <v>57</v>
      </c>
      <c r="C32" s="104" t="str">
        <f>IF(SUM(COUNTIF('Revenue summary'!C55:H55,"&gt;0.001"),COUNTIF('Revenue summary'!C55:H55,"&lt;-0.001"),COUNTIF('Revenue summary'!C78:G78,"&gt;0.001"),COUNTIF('Revenue summary'!C78:G78,"&lt;-0.001"),COUNTIF('Revenue summary'!C80:G80,"&gt;0.001"),COUNTIF('Revenue summary'!C80:G80,"&lt;-0.001"),COUNTIF('Segment - UnitedHealthcare'!C109:H109,"&gt;0.001"),COUNTIF('Segment - UnitedHealthcare'!C109:H109,"&lt;-0.001"),COUNTIF('Segment - UnitedHealthcare'!C170:H170,"&gt;0.001"),COUNTIF('Segment - UnitedHealthcare'!C170:H170,"&lt;-0.001"),COUNTIF('Segment - UnitedHealthcare'!C204:H204,"&gt;0.001"),COUNTIF('Segment - UnitedHealthcare'!C204:H204,"&lt;-0.001"),COUNTIF('Segment - UnitedHealthcare'!C255:G255,"&gt;0.001"),COUNTIF('Segment - UnitedHealthcare'!C255:G255,"&lt;-0.001"),COUNTIF('Segment - Optum Health'!C87:G87,"&gt;0.001"),COUNTIF('Segment - Optum Health'!C87:G87,"&lt;-0.001"),COUNTIF('Segment - Optum Insight'!C64:G64,"&gt;0.001"),COUNTIF('Segment - Optum Insight'!C64:G64,"&lt;-0.001"),COUNTIF('Segment - Optum Rx'!C14:H14,"&gt;0.001"),COUNTIF('Segment - Optum Rx'!C14:H14,"&lt;-0.001"),COUNTIF('Segment - Optum Rx'!C70:G70,"&gt;0.001"),COUNTIF('Segment - Optum Rx'!C70:G70,"&lt;-0.001"),COUNTIF('Income Statement'!C56:G56,"&gt;0.001"),COUNTIF('Income Statement'!C56:G56,"&lt;-0.001"),COUNTIF('Income Statement'!C57:G57,"&gt;0.001"),COUNTIF('Income Statement'!C57:G57,"&lt;-0.001"),COUNTIF('Income Statement'!C58:G58,"&gt;0.001"),COUNTIF('Income Statement'!C58:G58,"&lt;-0.001"),COUNTIF('Income Statement'!C59:G59,"&gt;0.001"),COUNTIF('Income Statement'!C59:G59,"&lt;-0.001"),COUNTIF('Income Statement'!C86:G86,"&gt;0.001"),COUNTIF('Income Statement'!C86:G86,"&lt;-0.001"),COUNTIF('Income Statement'!C105:H105,"&gt;0.001"),COUNTIF('Income Statement'!C105:H105,"&lt;-0.001"),COUNTIF('Income Statement'!C116:H116,"&gt;0.001"),COUNTIF('Income Statement'!C116:H116,"&lt;-0.001"),COUNTIF('Income Statement'!C132:H132,"&gt;0.001"),COUNTIF('Income Statement'!C132:H132,"&lt;-0.001"),COUNTIF('Income Statement'!C144:H144,"&gt;0.001"),COUNTIF('Income Statement'!C144:H144,"&lt;-0.001"),COUNTIF('Balance Sheet'!C23:H23,"&gt;0.001"),COUNTIF('Balance Sheet'!C23:H23,"&lt;-0.001"),COUNTIF('Balance Sheet'!C46:H46,"&gt;0.001"),COUNTIF('Balance Sheet'!C46:H46,"&lt;-0.001"),COUNTIF('Cash Flow Statement'!C17:H17,"&gt;0.001"),COUNTIF('Cash Flow Statement'!C17:H17,"&lt;-0.001"),COUNTIF('Cash Flow Statement'!C27:H27,"&gt;0.001"),COUNTIF('Cash Flow Statement'!C27:H27,"&lt;-0.001"),COUNTIF('Cash Flow Statement'!C34:H34,"&gt;0.001"),COUNTIF('Cash Flow Statement'!C34:H34,"&lt;-0.001"),COUNTIF('Cash Flow Statement'!C41:G41,"&gt;0.001"),COUNTIF('Cash Flow Statement'!C41:G41,"&lt;-0.001"),COUNTIF('Cash Flow Statement'!C42:H42,"&gt;0.001"),COUNTIF('Cash Flow Statement'!C42:H42,"&lt;-0.001"),COUNTIF(Inputs!C112:H112,"&gt;0.001"),COUNTIF(Inputs!C112:H112,"&lt;-0.001"),COUNTIF(Inputs!C113:H113,"&gt;0.001"),COUNTIF(Inputs!C113:H113,"&lt;-0.001"),COUNTIF(Inputs!C143:H143,"&gt;0.001"),COUNTIF(Inputs!C143:H143,"&lt;-0.001"),COUNTIF(Inputs!C172:H172,"&gt;0.001"),COUNTIF(Inputs!C172:H172,"&lt;-0.001"))=0,"PASS","FAIL")</f>
        <v>PASS</v>
      </c>
      <c r="D32" s="18"/>
      <c r="E32" s="18"/>
      <c r="F32" s="18"/>
      <c r="G32" s="18"/>
      <c r="H32" s="18"/>
      <c r="I32" s="100" t="s">
        <v>58</v>
      </c>
      <c r="J32" s="2"/>
    </row>
    <row r="33">
      <c r="A33" s="3"/>
      <c r="B33" s="43" t="s">
        <v>59</v>
      </c>
      <c r="C33" s="71">
        <f>Inputs!C125</f>
        <v>0.7000000000000001</v>
      </c>
      <c r="D33" s="40"/>
      <c r="E33" s="40"/>
      <c r="F33" s="40"/>
      <c r="G33" s="40"/>
      <c r="H33" s="40"/>
      <c r="I33" s="2" t="s">
        <v>60</v>
      </c>
      <c r="J33" s="2"/>
    </row>
    <row r="34">
      <c r="A34" s="3"/>
      <c r="B34" s="23" t="s">
        <v>61</v>
      </c>
      <c r="C34" s="104" t="str">
        <f>Inputs!C126</f>
        <v>medium</v>
      </c>
      <c r="D34" s="18"/>
      <c r="E34" s="18"/>
      <c r="F34" s="18"/>
      <c r="G34" s="18"/>
      <c r="H34" s="18"/>
      <c r="I34" s="2"/>
      <c r="J34" s="2"/>
    </row>
    <row r="35">
      <c r="A35" s="3"/>
      <c r="B35" s="3"/>
      <c r="C35" s="3"/>
      <c r="D35" s="3"/>
      <c r="E35" s="3"/>
      <c r="F35" s="3"/>
      <c r="G35" s="3"/>
      <c r="H35" s="3"/>
      <c r="I35" s="2"/>
      <c r="J35" s="2"/>
    </row>
    <row r="36">
      <c r="A36" s="3"/>
      <c r="B36" s="23" t="s">
        <v>62</v>
      </c>
      <c r="C36" s="3"/>
      <c r="D36" s="3"/>
      <c r="E36" s="3"/>
      <c r="F36" s="3"/>
      <c r="G36" s="3"/>
      <c r="H36" s="3"/>
      <c r="I36" s="2" t="s">
        <v>63</v>
      </c>
      <c r="J36" s="2"/>
    </row>
    <row r="37">
      <c r="A37" s="3"/>
      <c r="B37" s="11" t="s">
        <v>64</v>
      </c>
      <c r="C37" s="10">
        <f>C25-'Income Statement'!H48</f>
        <v>0</v>
      </c>
      <c r="D37" s="1"/>
      <c r="E37" s="1"/>
      <c r="F37" s="1"/>
      <c r="G37" s="1"/>
      <c r="H37" s="1"/>
      <c r="I37" s="2"/>
      <c r="J37" s="2"/>
    </row>
    <row r="38">
      <c r="A38" s="3"/>
      <c r="B38" s="11" t="s">
        <v>65</v>
      </c>
      <c r="C38" s="10">
        <f>C28-'Income Statement'!H133</f>
        <v>0</v>
      </c>
      <c r="D38" s="1"/>
      <c r="E38" s="1"/>
      <c r="F38" s="1"/>
      <c r="G38" s="1"/>
      <c r="H38" s="1"/>
      <c r="I38" s="2"/>
      <c r="J38" s="2"/>
    </row>
    <row r="39">
      <c r="A39" s="3"/>
      <c r="B39" s="11" t="s">
        <v>66</v>
      </c>
      <c r="C39" s="10">
        <f>C27-'Income Statement'!H99</f>
        <v>0</v>
      </c>
      <c r="D39" s="1"/>
      <c r="E39" s="1"/>
      <c r="F39" s="1"/>
      <c r="G39" s="1"/>
      <c r="H39" s="1"/>
      <c r="I39" s="2"/>
      <c r="J39" s="2"/>
    </row>
    <row r="40">
      <c r="A40" s="3"/>
      <c r="B40" s="11" t="s">
        <v>67</v>
      </c>
      <c r="C40" s="10">
        <f>C33-Inputs!C125</f>
        <v>0</v>
      </c>
      <c r="D40" s="1"/>
      <c r="E40" s="1"/>
      <c r="F40" s="1"/>
      <c r="G40" s="1"/>
      <c r="H40" s="1"/>
      <c r="I40" s="2"/>
      <c r="J40" s="2"/>
    </row>
    <row r="41">
      <c r="A41" s="3"/>
      <c r="B41" s="3"/>
      <c r="C41" s="3"/>
      <c r="D41" s="3"/>
      <c r="E41" s="3"/>
      <c r="F41" s="3"/>
      <c r="G41" s="3"/>
      <c r="H41" s="3"/>
      <c r="I41" s="2"/>
      <c r="J41" s="2"/>
    </row>
    <row r="42">
      <c r="A42" s="3"/>
      <c r="B42" s="23" t="s">
        <v>68</v>
      </c>
      <c r="C42" s="3"/>
      <c r="D42" s="3"/>
      <c r="E42" s="3"/>
      <c r="F42" s="3"/>
      <c r="G42" s="3"/>
      <c r="H42" s="3"/>
      <c r="I42" s="2"/>
      <c r="J42" s="2"/>
    </row>
    <row r="43">
      <c r="A43" s="3"/>
      <c r="B43" s="41" t="s">
        <v>69</v>
      </c>
      <c r="C43" s="38">
        <f>'Income Statement'!C62</f>
        <v>0.8986165274952517</v>
      </c>
      <c r="D43" s="6"/>
      <c r="E43" s="6"/>
      <c r="F43" s="6"/>
      <c r="G43" s="6"/>
      <c r="H43" s="65">
        <f>'Income Statement'!H62</f>
        <v>0.895</v>
      </c>
      <c r="I43" s="2"/>
      <c r="J43" s="2"/>
    </row>
    <row r="44">
      <c r="A44" s="3"/>
      <c r="B44" s="41" t="s">
        <v>70</v>
      </c>
      <c r="C44" s="38">
        <f>'Income Statement'!C67</f>
        <v>0.13452514558902803</v>
      </c>
      <c r="D44" s="6"/>
      <c r="E44" s="6"/>
      <c r="F44" s="6"/>
      <c r="G44" s="6"/>
      <c r="H44" s="65">
        <f>'Income Statement'!H67</f>
        <v>0.1305</v>
      </c>
      <c r="I44" s="2"/>
      <c r="J44" s="2"/>
    </row>
    <row r="45">
      <c r="A45" s="3"/>
      <c r="B45" s="11" t="s">
        <v>71</v>
      </c>
      <c r="C45" s="10">
        <f>'Segment - UnitedHealthcare'!C258</f>
        <v>1805</v>
      </c>
      <c r="D45" s="1"/>
      <c r="E45" s="1"/>
      <c r="F45" s="1"/>
      <c r="G45" s="1"/>
      <c r="H45" s="12">
        <f>'Segment - UnitedHealthcare'!H258</f>
        <v>2607.1931391582534</v>
      </c>
      <c r="I45" s="2"/>
      <c r="J45" s="2"/>
    </row>
    <row r="46">
      <c r="A46" s="3"/>
      <c r="B46" s="11" t="s">
        <v>72</v>
      </c>
      <c r="C46" s="10">
        <f>'Segment - Optum Health'!C93+'Segment - Optum Insight'!C70+'Segment - Optum Rx'!C76</f>
        <v>2510</v>
      </c>
      <c r="D46" s="1"/>
      <c r="E46" s="1"/>
      <c r="F46" s="1"/>
      <c r="G46" s="1"/>
      <c r="H46" s="12">
        <f>'Segment - Optum Health'!H93+'Segment - Optum Insight'!H70+'Segment - Optum Rx'!H76</f>
        <v>3101.72225</v>
      </c>
      <c r="I46" s="2"/>
      <c r="J46" s="2"/>
    </row>
    <row r="47">
      <c r="A47" s="3"/>
      <c r="B47" s="11" t="s">
        <v>73</v>
      </c>
      <c r="C47" s="10">
        <f>'Share Count'!C26</f>
        <v>908</v>
      </c>
      <c r="D47" s="1"/>
      <c r="E47" s="1"/>
      <c r="F47" s="1"/>
      <c r="G47" s="1"/>
      <c r="H47" s="12">
        <f>'Share Count'!H26</f>
        <v>900.8</v>
      </c>
      <c r="I47" s="2"/>
      <c r="J47" s="2"/>
    </row>
    <row r="48">
      <c r="A48" s="3"/>
      <c r="B48" s="3"/>
      <c r="C48" s="3"/>
      <c r="D48" s="3"/>
      <c r="E48" s="3"/>
      <c r="F48" s="3"/>
      <c r="G48" s="3"/>
      <c r="H48" s="3"/>
      <c r="I48" s="2"/>
      <c r="J48" s="2"/>
    </row>
    <row r="49">
      <c r="A49" s="3"/>
      <c r="B49" s="3"/>
      <c r="C49" s="3"/>
      <c r="D49" s="3"/>
      <c r="E49" s="3"/>
      <c r="F49" s="3"/>
      <c r="G49" s="3"/>
      <c r="H49" s="3"/>
      <c r="I49" s="2"/>
      <c r="J49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74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75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3"/>
      <c r="C10" s="3"/>
      <c r="D10" s="3"/>
      <c r="E10" s="3"/>
      <c r="F10" s="3"/>
      <c r="G10" s="3"/>
      <c r="H10" s="13"/>
      <c r="I10" s="2"/>
      <c r="J10" s="2"/>
    </row>
    <row r="11">
      <c r="A11" s="3"/>
      <c r="B11" s="23" t="s">
        <v>76</v>
      </c>
      <c r="C11" s="3"/>
      <c r="D11" s="3"/>
      <c r="E11" s="3"/>
      <c r="F11" s="3"/>
      <c r="G11" s="3"/>
      <c r="H11" s="13"/>
      <c r="I11" s="2"/>
      <c r="J11" s="2"/>
    </row>
    <row r="12">
      <c r="A12" s="3"/>
      <c r="B12" s="23" t="s">
        <v>77</v>
      </c>
      <c r="C12" s="37">
        <f>'Segment - UnitedHealthcare'!C202</f>
        <v>87070</v>
      </c>
      <c r="D12" s="37">
        <f>'Segment - UnitedHealthcare'!D202</f>
        <v>87113</v>
      </c>
      <c r="E12" s="37">
        <f>'Segment - UnitedHealthcare'!E202</f>
        <v>344903</v>
      </c>
      <c r="F12" s="37">
        <f>'Segment - UnitedHealthcare'!F202</f>
        <v>86265</v>
      </c>
      <c r="G12" s="37">
        <f>'Segment - UnitedHealthcare'!G202</f>
        <v>86017</v>
      </c>
      <c r="H12" s="64">
        <f>'Segment - UnitedHealthcare'!H202</f>
        <v>85660.4325</v>
      </c>
      <c r="I12" s="2"/>
      <c r="J12" s="2"/>
    </row>
    <row r="13">
      <c r="A13" s="3"/>
      <c r="B13" s="28" t="s">
        <v>78</v>
      </c>
      <c r="C13" s="10">
        <f>'Segment - UnitedHealthcare'!C205</f>
        <v>74853</v>
      </c>
      <c r="D13" s="10">
        <f>'Segment - UnitedHealthcare'!D205</f>
        <v>74132</v>
      </c>
      <c r="E13" s="10">
        <f>'Segment - UnitedHealthcare'!E205</f>
        <v>298208</v>
      </c>
      <c r="F13" s="10">
        <f>'Segment - UnitedHealthcare'!F205</f>
        <v>84617</v>
      </c>
      <c r="G13" s="10">
        <f>'Segment - UnitedHealthcare'!G205</f>
        <v>86103</v>
      </c>
      <c r="H13" s="12">
        <f>'Segment - UnitedHealthcare'!H205</f>
        <v>87070</v>
      </c>
      <c r="I13" s="2"/>
      <c r="J13" s="2"/>
    </row>
    <row r="14">
      <c r="A14" s="3"/>
      <c r="B14" s="45" t="s">
        <v>79</v>
      </c>
      <c r="C14" s="6">
        <f>IFERROR(C12/C13-1,"n/a")</f>
        <v>0.1632132312666159</v>
      </c>
      <c r="D14" s="6">
        <f>IFERROR(D12/D13-1,"n/a")</f>
        <v>0.17510656666486812</v>
      </c>
      <c r="E14" s="6">
        <f>IFERROR(E12/E13-1,"n/a")</f>
        <v>0.15658533640948602</v>
      </c>
      <c r="F14" s="6">
        <f>IFERROR(F12/F13-1,"n/a")</f>
        <v>0.019475991821974237</v>
      </c>
      <c r="G14" s="6">
        <f>IFERROR(G12/G13-1,"n/a")</f>
        <v>-0.0009988037582895348</v>
      </c>
      <c r="H14" s="50">
        <f>IFERROR(H12/C12-1,"n/a")</f>
        <v>-0.01618889973584481</v>
      </c>
      <c r="I14" s="2"/>
      <c r="J14" s="2"/>
    </row>
    <row r="15">
      <c r="A15" s="3"/>
      <c r="B15" s="45" t="s">
        <v>80</v>
      </c>
      <c r="C15" s="6" t="s">
        <v>53</v>
      </c>
      <c r="D15" s="6">
        <f>IFERROR(D12/C12-1,"n/a")</f>
        <v>0.0004938555185483029</v>
      </c>
      <c r="E15" s="6" t="s">
        <v>53</v>
      </c>
      <c r="F15" s="6">
        <f>IFERROR(F12/D12-1,"n/a")</f>
        <v>-0.009734482798204658</v>
      </c>
      <c r="G15" s="6">
        <f>IFERROR(G12/F12-1,"n/a")</f>
        <v>-0.002874862342781004</v>
      </c>
      <c r="H15" s="50">
        <f>IFERROR(H12/G12-1,"n/a")</f>
        <v>-0.004145314298336422</v>
      </c>
      <c r="I15" s="2"/>
      <c r="J15" s="2"/>
    </row>
    <row r="16">
      <c r="A16" s="3"/>
      <c r="B16" s="45" t="s">
        <v>81</v>
      </c>
      <c r="C16" s="6">
        <f>IFERROR(C12/C69,"n/a")</f>
        <v>0.769434699233835</v>
      </c>
      <c r="D16" s="6">
        <f>IFERROR(D12/D69,"n/a")</f>
        <v>0.769447511372168</v>
      </c>
      <c r="E16" s="6">
        <f>IFERROR(E12/E69,"n/a")</f>
        <v>0.7706175835126361</v>
      </c>
      <c r="F16" s="6">
        <f>IFERROR(F12/F69,"n/a")</f>
        <v>0.7721466868359574</v>
      </c>
      <c r="G16" s="6">
        <f>IFERROR(G12/G69,"n/a")</f>
        <v>0.7677895601256783</v>
      </c>
      <c r="H16" s="50">
        <f>IFERROR(H12/H69,"n/a")</f>
        <v>0.7658175470785005</v>
      </c>
      <c r="I16" s="2"/>
      <c r="J16" s="2"/>
    </row>
    <row r="17">
      <c r="A17" s="3"/>
      <c r="B17" s="19" t="s">
        <v>82</v>
      </c>
      <c r="C17" s="38" t="str">
        <f>'Segment - UnitedHealthcare'!C208</f>
        <v>n/d</v>
      </c>
      <c r="D17" s="38" t="str">
        <f>'Segment - UnitedHealthcare'!D208</f>
        <v>n/d</v>
      </c>
      <c r="E17" s="38" t="str">
        <f>'Segment - UnitedHealthcare'!E208</f>
        <v>n/d</v>
      </c>
      <c r="F17" s="38" t="str">
        <f>'Segment - UnitedHealthcare'!F208</f>
        <v>n/d</v>
      </c>
      <c r="G17" s="38" t="str">
        <f>'Segment - UnitedHealthcare'!G208</f>
        <v>n/d</v>
      </c>
      <c r="H17" s="65" t="str">
        <f>'Segment - UnitedHealthcare'!H208</f>
        <v>n/d</v>
      </c>
      <c r="I17" s="2"/>
      <c r="J17" s="2"/>
    </row>
    <row r="18">
      <c r="A18" s="3"/>
      <c r="B18" s="19" t="s">
        <v>83</v>
      </c>
      <c r="C18" s="38" t="str">
        <f>'Segment - UnitedHealthcare'!C209</f>
        <v>n/d</v>
      </c>
      <c r="D18" s="38" t="str">
        <f>'Segment - UnitedHealthcare'!D209</f>
        <v>n/d</v>
      </c>
      <c r="E18" s="38" t="str">
        <f>'Segment - UnitedHealthcare'!E209</f>
        <v>n/d</v>
      </c>
      <c r="F18" s="38" t="str">
        <f>'Segment - UnitedHealthcare'!F209</f>
        <v>n/d</v>
      </c>
      <c r="G18" s="38" t="str">
        <f>'Segment - UnitedHealthcare'!G209</f>
        <v>n/d</v>
      </c>
      <c r="H18" s="65" t="str">
        <f>'Segment - UnitedHealthcare'!H209</f>
        <v>n/d</v>
      </c>
      <c r="I18" s="2"/>
      <c r="J18" s="2"/>
    </row>
    <row r="19">
      <c r="A19" s="3"/>
      <c r="B19" s="19" t="s">
        <v>84</v>
      </c>
      <c r="C19" s="38" t="str">
        <f>'Segment - UnitedHealthcare'!C210</f>
        <v>n/d</v>
      </c>
      <c r="D19" s="38" t="str">
        <f>'Segment - UnitedHealthcare'!D210</f>
        <v>n/d</v>
      </c>
      <c r="E19" s="38" t="str">
        <f>'Segment - UnitedHealthcare'!E210</f>
        <v>n/d</v>
      </c>
      <c r="F19" s="38" t="str">
        <f>'Segment - UnitedHealthcare'!F210</f>
        <v>n/d</v>
      </c>
      <c r="G19" s="38" t="str">
        <f>'Segment - UnitedHealthcare'!G210</f>
        <v>n/d</v>
      </c>
      <c r="H19" s="65" t="str">
        <f>'Segment - UnitedHealthcare'!H210</f>
        <v>n/d</v>
      </c>
      <c r="I19" s="2"/>
      <c r="J19" s="2"/>
    </row>
    <row r="20">
      <c r="A20" s="3"/>
      <c r="B20" s="19" t="s">
        <v>85</v>
      </c>
      <c r="C20" s="38">
        <f>'Segment - UnitedHealthcare'!C211</f>
        <v>0.1632132312666159</v>
      </c>
      <c r="D20" s="38">
        <f>'Segment - UnitedHealthcare'!D211</f>
        <v>0.17510656666486812</v>
      </c>
      <c r="E20" s="38">
        <f>'Segment - UnitedHealthcare'!E211</f>
        <v>0.15658533640948602</v>
      </c>
      <c r="F20" s="38">
        <f>'Segment - UnitedHealthcare'!F211</f>
        <v>0.019475991821974237</v>
      </c>
      <c r="G20" s="38">
        <f>'Segment - UnitedHealthcare'!G211</f>
        <v>-0.0009988037582895348</v>
      </c>
      <c r="H20" s="65">
        <f>'Segment - UnitedHealthcare'!H211</f>
        <v>-0.01618889973584481</v>
      </c>
      <c r="I20" s="2"/>
      <c r="J20" s="2"/>
    </row>
    <row r="21">
      <c r="A21" s="3"/>
      <c r="B21" s="23" t="s">
        <v>86</v>
      </c>
      <c r="C21" s="37">
        <f>'Segment - Optum Health'!C29</f>
        <v>25422</v>
      </c>
      <c r="D21" s="37">
        <f>'Segment - Optum Health'!D29</f>
        <v>25067</v>
      </c>
      <c r="E21" s="37">
        <f>'Segment - Optum Health'!E29</f>
        <v>100051</v>
      </c>
      <c r="F21" s="37">
        <f>'Segment - Optum Health'!F29</f>
        <v>24109</v>
      </c>
      <c r="G21" s="37">
        <f>'Segment - Optum Health'!G29</f>
        <v>23472</v>
      </c>
      <c r="H21" s="64">
        <f>'Segment - Optum Health'!H29</f>
        <v>23421.000000000004</v>
      </c>
      <c r="I21" s="2"/>
      <c r="J21" s="2"/>
    </row>
    <row r="22">
      <c r="A22" s="3"/>
      <c r="B22" s="28" t="s">
        <v>78</v>
      </c>
      <c r="C22" s="10" t="str">
        <f>'Segment - Optum Health'!C30</f>
        <v>n/d</v>
      </c>
      <c r="D22" s="10" t="str">
        <f>'Segment - Optum Health'!D30</f>
        <v>n/d</v>
      </c>
      <c r="E22" s="10">
        <f>'Segment - Optum Health'!E30</f>
        <v>103516</v>
      </c>
      <c r="F22" s="10">
        <f>'Segment - Optum Health'!F30</f>
        <v>24837</v>
      </c>
      <c r="G22" s="10">
        <f>'Segment - Optum Health'!G30</f>
        <v>24725</v>
      </c>
      <c r="H22" s="12">
        <f>'Segment - Optum Health'!H30</f>
        <v>25422</v>
      </c>
      <c r="I22" s="2"/>
      <c r="J22" s="2"/>
    </row>
    <row r="23">
      <c r="A23" s="3"/>
      <c r="B23" s="45" t="s">
        <v>79</v>
      </c>
      <c r="C23" s="6" t="str">
        <f>IFERROR(C21/C22-1,"n/a")</f>
        <v>n/a</v>
      </c>
      <c r="D23" s="6" t="str">
        <f>IFERROR(D21/D22-1,"n/a")</f>
        <v>n/a</v>
      </c>
      <c r="E23" s="6">
        <f>IFERROR(E21/E22-1,"n/a")</f>
        <v>-0.033473086286177955</v>
      </c>
      <c r="F23" s="6">
        <f>IFERROR(F21/F22-1,"n/a")</f>
        <v>-0.02931110842694362</v>
      </c>
      <c r="G23" s="6">
        <f>IFERROR(G21/G22-1,"n/a")</f>
        <v>-0.0506774519716886</v>
      </c>
      <c r="H23" s="50">
        <f>IFERROR(H21/C21-1,"n/a")</f>
        <v>-0.07871135237196114</v>
      </c>
      <c r="I23" s="2"/>
      <c r="J23" s="2"/>
    </row>
    <row r="24">
      <c r="A24" s="3"/>
      <c r="B24" s="45" t="s">
        <v>80</v>
      </c>
      <c r="C24" s="6" t="s">
        <v>53</v>
      </c>
      <c r="D24" s="6">
        <f>IFERROR(D21/C21-1,"n/a")</f>
        <v>-0.013964282904570857</v>
      </c>
      <c r="E24" s="6" t="s">
        <v>53</v>
      </c>
      <c r="F24" s="6">
        <f>IFERROR(F21/D21-1,"n/a")</f>
        <v>-0.03821757689392424</v>
      </c>
      <c r="G24" s="6">
        <f>IFERROR(G21/F21-1,"n/a")</f>
        <v>-0.026421668256667585</v>
      </c>
      <c r="H24" s="50">
        <f>IFERROR(H21/G21-1,"n/a")</f>
        <v>-0.00217280163599165</v>
      </c>
      <c r="I24" s="2"/>
      <c r="J24" s="2"/>
    </row>
    <row r="25">
      <c r="A25" s="3"/>
      <c r="B25" s="45" t="s">
        <v>81</v>
      </c>
      <c r="C25" s="6">
        <f>IFERROR(C21/C69,"n/a")</f>
        <v>0.224653369977289</v>
      </c>
      <c r="D25" s="6">
        <f>IFERROR(D21/D69,"n/a")</f>
        <v>0.22141059046946077</v>
      </c>
      <c r="E25" s="6">
        <f>IFERROR(E21/E69,"n/a")</f>
        <v>0.22354418444612761</v>
      </c>
      <c r="F25" s="6">
        <f>IFERROR(F21/F69,"n/a")</f>
        <v>0.21579649304965046</v>
      </c>
      <c r="G25" s="6">
        <f>IFERROR(G21/G69,"n/a")</f>
        <v>0.2095115681233933</v>
      </c>
      <c r="H25" s="50">
        <f>IFERROR(H21/H69,"n/a")</f>
        <v>0.2093873711193971</v>
      </c>
      <c r="I25" s="2"/>
      <c r="J25" s="2"/>
    </row>
    <row r="26">
      <c r="A26" s="3"/>
      <c r="B26" s="19" t="s">
        <v>82</v>
      </c>
      <c r="C26" s="38" t="str">
        <f>'Segment - Optum Health'!C34</f>
        <v>n/d</v>
      </c>
      <c r="D26" s="38" t="str">
        <f>'Segment - Optum Health'!D34</f>
        <v>n/d</v>
      </c>
      <c r="E26" s="38" t="str">
        <f>'Segment - Optum Health'!E34</f>
        <v>n/d</v>
      </c>
      <c r="F26" s="38" t="str">
        <f>'Segment - Optum Health'!F34</f>
        <v>n/d</v>
      </c>
      <c r="G26" s="38" t="str">
        <f>'Segment - Optum Health'!G34</f>
        <v>n/d</v>
      </c>
      <c r="H26" s="65" t="str">
        <f>'Segment - Optum Health'!H34</f>
        <v>n/d</v>
      </c>
      <c r="I26" s="2"/>
      <c r="J26" s="2"/>
    </row>
    <row r="27">
      <c r="A27" s="3"/>
      <c r="B27" s="19" t="s">
        <v>83</v>
      </c>
      <c r="C27" s="38" t="str">
        <f>'Segment - Optum Health'!C35</f>
        <v>n/d</v>
      </c>
      <c r="D27" s="38" t="str">
        <f>'Segment - Optum Health'!D35</f>
        <v>n/d</v>
      </c>
      <c r="E27" s="38" t="str">
        <f>'Segment - Optum Health'!E35</f>
        <v>n/d</v>
      </c>
      <c r="F27" s="38" t="str">
        <f>'Segment - Optum Health'!F35</f>
        <v>n/d</v>
      </c>
      <c r="G27" s="38" t="str">
        <f>'Segment - Optum Health'!G35</f>
        <v>n/d</v>
      </c>
      <c r="H27" s="65">
        <f>'Segment - Optum Health'!H35</f>
        <v>0</v>
      </c>
      <c r="I27" s="2"/>
      <c r="J27" s="2"/>
    </row>
    <row r="28">
      <c r="A28" s="3"/>
      <c r="B28" s="19" t="s">
        <v>84</v>
      </c>
      <c r="C28" s="38" t="str">
        <f>'Segment - Optum Health'!C36</f>
        <v>n/d</v>
      </c>
      <c r="D28" s="38" t="str">
        <f>'Segment - Optum Health'!D36</f>
        <v>n/d</v>
      </c>
      <c r="E28" s="38" t="str">
        <f>'Segment - Optum Health'!E36</f>
        <v>n/d</v>
      </c>
      <c r="F28" s="38" t="str">
        <f>'Segment - Optum Health'!F36</f>
        <v>n/d</v>
      </c>
      <c r="G28" s="38" t="str">
        <f>'Segment - Optum Health'!G36</f>
        <v>n/d</v>
      </c>
      <c r="H28" s="65" t="str">
        <f>'Segment - Optum Health'!H36</f>
        <v>n/d</v>
      </c>
      <c r="I28" s="2"/>
      <c r="J28" s="2"/>
    </row>
    <row r="29">
      <c r="A29" s="3"/>
      <c r="B29" s="19" t="s">
        <v>85</v>
      </c>
      <c r="C29" s="38" t="str">
        <f>'Segment - Optum Health'!C37</f>
        <v>n/a</v>
      </c>
      <c r="D29" s="38" t="str">
        <f>'Segment - Optum Health'!D37</f>
        <v>n/a</v>
      </c>
      <c r="E29" s="38">
        <f>'Segment - Optum Health'!E37</f>
        <v>-0.033473086286177955</v>
      </c>
      <c r="F29" s="38">
        <f>'Segment - Optum Health'!F37</f>
        <v>-0.02931110842694362</v>
      </c>
      <c r="G29" s="38">
        <f>'Segment - Optum Health'!G37</f>
        <v>-0.0506774519716886</v>
      </c>
      <c r="H29" s="65">
        <f>'Segment - Optum Health'!H37</f>
        <v>-0.07871135237196114</v>
      </c>
      <c r="I29" s="2"/>
      <c r="J29" s="2"/>
    </row>
    <row r="30">
      <c r="A30" s="3"/>
      <c r="B30" s="23" t="s">
        <v>87</v>
      </c>
      <c r="C30" s="37">
        <f>'Segment - Optum Insight'!C15</f>
        <v>5320</v>
      </c>
      <c r="D30" s="37">
        <f>'Segment - Optum Insight'!D15</f>
        <v>5455</v>
      </c>
      <c r="E30" s="37">
        <f>'Segment - Optum Insight'!E15</f>
        <v>21034</v>
      </c>
      <c r="F30" s="37">
        <f>'Segment - Optum Insight'!F15</f>
        <v>5125</v>
      </c>
      <c r="G30" s="37">
        <f>'Segment - Optum Insight'!G15</f>
        <v>5402</v>
      </c>
      <c r="H30" s="64">
        <f>'Segment - Optum Insight'!H15</f>
        <v>5452.999999999999</v>
      </c>
      <c r="I30" s="2"/>
      <c r="J30" s="2"/>
    </row>
    <row r="31">
      <c r="A31" s="3"/>
      <c r="B31" s="28" t="s">
        <v>78</v>
      </c>
      <c r="C31" s="10" t="str">
        <f>'Segment - Optum Insight'!C16</f>
        <v>n/d</v>
      </c>
      <c r="D31" s="10" t="str">
        <f>'Segment - Optum Insight'!D16</f>
        <v>n/d</v>
      </c>
      <c r="E31" s="10">
        <f>'Segment - Optum Insight'!E16</f>
        <v>20356</v>
      </c>
      <c r="F31" s="10">
        <f>'Segment - Optum Insight'!F16</f>
        <v>5027</v>
      </c>
      <c r="G31" s="10">
        <f>'Segment - Optum Insight'!G16</f>
        <v>5232</v>
      </c>
      <c r="H31" s="12">
        <f>'Segment - Optum Insight'!H16</f>
        <v>5320</v>
      </c>
      <c r="I31" s="2"/>
      <c r="J31" s="2"/>
    </row>
    <row r="32">
      <c r="A32" s="3"/>
      <c r="B32" s="45" t="s">
        <v>79</v>
      </c>
      <c r="C32" s="6" t="str">
        <f>IFERROR(C30/C31-1,"n/a")</f>
        <v>n/a</v>
      </c>
      <c r="D32" s="6" t="str">
        <f>IFERROR(D30/D31-1,"n/a")</f>
        <v>n/a</v>
      </c>
      <c r="E32" s="6">
        <f>IFERROR(E30/E31-1,"n/a")</f>
        <v>0.03330713303202981</v>
      </c>
      <c r="F32" s="6">
        <f>IFERROR(F30/F31-1,"n/a")</f>
        <v>0.019494728466282085</v>
      </c>
      <c r="G32" s="6">
        <f>IFERROR(G30/G31-1,"n/a")</f>
        <v>0.03249235474006107</v>
      </c>
      <c r="H32" s="50">
        <f>IFERROR(H30/C30-1,"n/a")</f>
        <v>0.02499999999999991</v>
      </c>
      <c r="I32" s="2"/>
      <c r="J32" s="2"/>
    </row>
    <row r="33">
      <c r="A33" s="3"/>
      <c r="B33" s="45" t="s">
        <v>80</v>
      </c>
      <c r="C33" s="6" t="s">
        <v>53</v>
      </c>
      <c r="D33" s="6">
        <f>IFERROR(D30/C30-1,"n/a")</f>
        <v>0.025375939849624052</v>
      </c>
      <c r="E33" s="6" t="s">
        <v>53</v>
      </c>
      <c r="F33" s="6">
        <f>IFERROR(F30/D30-1,"n/a")</f>
        <v>-0.060494958753437245</v>
      </c>
      <c r="G33" s="6">
        <f>IFERROR(G30/F30-1,"n/a")</f>
        <v>0.054048780487804926</v>
      </c>
      <c r="H33" s="50">
        <f>IFERROR(H30/G30-1,"n/a")</f>
        <v>0.00944094779711202</v>
      </c>
      <c r="I33" s="2"/>
      <c r="J33" s="2"/>
    </row>
    <row r="34">
      <c r="A34" s="3"/>
      <c r="B34" s="45" t="s">
        <v>81</v>
      </c>
      <c r="C34" s="6">
        <f>IFERROR(C30/C69,"n/a")</f>
        <v>0.047012663373423705</v>
      </c>
      <c r="D34" s="6">
        <f>IFERROR(D30/D69,"n/a")</f>
        <v>0.04818266130813055</v>
      </c>
      <c r="E34" s="6">
        <f>IFERROR(E30/E69,"n/a")</f>
        <v>0.04699631563542442</v>
      </c>
      <c r="F34" s="6">
        <f>IFERROR(F30/F69,"n/a")</f>
        <v>0.04587320199425354</v>
      </c>
      <c r="G34" s="6">
        <f>IFERROR(G30/G69,"n/a")</f>
        <v>0.04821836618109112</v>
      </c>
      <c r="H34" s="50">
        <f>IFERROR(H30/H69,"n/a")</f>
        <v>0.04875066541625345</v>
      </c>
      <c r="I34" s="2"/>
      <c r="J34" s="2"/>
    </row>
    <row r="35">
      <c r="A35" s="3"/>
      <c r="B35" s="19" t="s">
        <v>82</v>
      </c>
      <c r="C35" s="38" t="str">
        <f>'Segment - Optum Insight'!C20</f>
        <v>n/d</v>
      </c>
      <c r="D35" s="38" t="str">
        <f>'Segment - Optum Insight'!D20</f>
        <v>n/d</v>
      </c>
      <c r="E35" s="38" t="str">
        <f>'Segment - Optum Insight'!E20</f>
        <v>n/d</v>
      </c>
      <c r="F35" s="38" t="str">
        <f>'Segment - Optum Insight'!F20</f>
        <v>n/d</v>
      </c>
      <c r="G35" s="38" t="str">
        <f>'Segment - Optum Insight'!G20</f>
        <v>n/d</v>
      </c>
      <c r="H35" s="65" t="str">
        <f>'Segment - Optum Insight'!H20</f>
        <v>n/d</v>
      </c>
      <c r="I35" s="2"/>
      <c r="J35" s="2"/>
    </row>
    <row r="36">
      <c r="A36" s="3"/>
      <c r="B36" s="19" t="s">
        <v>83</v>
      </c>
      <c r="C36" s="38" t="str">
        <f>'Segment - Optum Insight'!C21</f>
        <v>n/d</v>
      </c>
      <c r="D36" s="38" t="str">
        <f>'Segment - Optum Insight'!D21</f>
        <v>n/d</v>
      </c>
      <c r="E36" s="38" t="str">
        <f>'Segment - Optum Insight'!E21</f>
        <v>n/d</v>
      </c>
      <c r="F36" s="38" t="str">
        <f>'Segment - Optum Insight'!F21</f>
        <v>n/d</v>
      </c>
      <c r="G36" s="38" t="str">
        <f>'Segment - Optum Insight'!G21</f>
        <v>n/d</v>
      </c>
      <c r="H36" s="65">
        <f>'Segment - Optum Insight'!H21</f>
        <v>0</v>
      </c>
      <c r="I36" s="2"/>
      <c r="J36" s="2"/>
    </row>
    <row r="37">
      <c r="A37" s="3"/>
      <c r="B37" s="19" t="s">
        <v>84</v>
      </c>
      <c r="C37" s="38" t="str">
        <f>'Segment - Optum Insight'!C22</f>
        <v>n/d</v>
      </c>
      <c r="D37" s="38" t="str">
        <f>'Segment - Optum Insight'!D22</f>
        <v>n/d</v>
      </c>
      <c r="E37" s="38" t="str">
        <f>'Segment - Optum Insight'!E22</f>
        <v>n/d</v>
      </c>
      <c r="F37" s="38" t="str">
        <f>'Segment - Optum Insight'!F22</f>
        <v>n/d</v>
      </c>
      <c r="G37" s="38" t="str">
        <f>'Segment - Optum Insight'!G22</f>
        <v>n/d</v>
      </c>
      <c r="H37" s="65" t="str">
        <f>'Segment - Optum Insight'!H22</f>
        <v>n/d</v>
      </c>
      <c r="I37" s="2"/>
      <c r="J37" s="2"/>
    </row>
    <row r="38">
      <c r="A38" s="3"/>
      <c r="B38" s="19" t="s">
        <v>85</v>
      </c>
      <c r="C38" s="38" t="str">
        <f>'Segment - Optum Insight'!C23</f>
        <v>n/a</v>
      </c>
      <c r="D38" s="38" t="str">
        <f>'Segment - Optum Insight'!D23</f>
        <v>n/a</v>
      </c>
      <c r="E38" s="38">
        <f>'Segment - Optum Insight'!E23</f>
        <v>0.03330713303202981</v>
      </c>
      <c r="F38" s="38">
        <f>'Segment - Optum Insight'!F23</f>
        <v>0.019494728466282085</v>
      </c>
      <c r="G38" s="38">
        <f>'Segment - Optum Insight'!G23</f>
        <v>0.03249235474006107</v>
      </c>
      <c r="H38" s="65">
        <f>'Segment - Optum Insight'!H23</f>
        <v>0.02499999999999991</v>
      </c>
      <c r="I38" s="2"/>
      <c r="J38" s="2"/>
    </row>
    <row r="39">
      <c r="A39" s="3"/>
      <c r="B39" s="23" t="s">
        <v>88</v>
      </c>
      <c r="C39" s="37">
        <f>'Segment - Optum Rx'!C21</f>
        <v>39679</v>
      </c>
      <c r="D39" s="37">
        <f>'Segment - Optum Rx'!D21</f>
        <v>41456</v>
      </c>
      <c r="E39" s="37">
        <f>'Segment - Optum Rx'!E21</f>
        <v>154726</v>
      </c>
      <c r="F39" s="37">
        <f>'Segment - Optum Rx'!F21</f>
        <v>35736</v>
      </c>
      <c r="G39" s="37">
        <f>'Segment - Optum Rx'!G21</f>
        <v>38292</v>
      </c>
      <c r="H39" s="64">
        <f>'Segment - Optum Rx'!H21</f>
        <v>38692.5</v>
      </c>
      <c r="I39" s="2"/>
      <c r="J39" s="2"/>
    </row>
    <row r="40">
      <c r="A40" s="3"/>
      <c r="B40" s="28" t="s">
        <v>78</v>
      </c>
      <c r="C40" s="10">
        <f>'Segment - Optum Rx'!C22</f>
        <v>34207</v>
      </c>
      <c r="D40" s="10">
        <f>'Segment - Optum Rx'!D22</f>
        <v>35774</v>
      </c>
      <c r="E40" s="10">
        <f>'Segment - Optum Rx'!E22</f>
        <v>133231</v>
      </c>
      <c r="F40" s="10">
        <f>'Segment - Optum Rx'!F22</f>
        <v>35132</v>
      </c>
      <c r="G40" s="10">
        <f>'Segment - Optum Rx'!G22</f>
        <v>38459</v>
      </c>
      <c r="H40" s="12">
        <f>'Segment - Optum Rx'!H22</f>
        <v>39679</v>
      </c>
      <c r="I40" s="2"/>
      <c r="J40" s="2"/>
    </row>
    <row r="41">
      <c r="A41" s="3"/>
      <c r="B41" s="45" t="s">
        <v>79</v>
      </c>
      <c r="C41" s="6">
        <f>IFERROR(C39/C40-1,"n/a")</f>
        <v>0.15996725816353385</v>
      </c>
      <c r="D41" s="6">
        <f>IFERROR(D39/D40-1,"n/a")</f>
        <v>0.1588304355118242</v>
      </c>
      <c r="E41" s="6">
        <f>IFERROR(E39/E40-1,"n/a")</f>
        <v>0.16133632562992095</v>
      </c>
      <c r="F41" s="6">
        <f>IFERROR(F39/F40-1,"n/a")</f>
        <v>0.017192303313218638</v>
      </c>
      <c r="G41" s="6">
        <f>IFERROR(G39/G40-1,"n/a")</f>
        <v>-0.004342286590914957</v>
      </c>
      <c r="H41" s="50">
        <f>IFERROR(H39/C39-1,"n/a")</f>
        <v>-0.024862017691978155</v>
      </c>
      <c r="I41" s="2"/>
      <c r="J41" s="2"/>
    </row>
    <row r="42">
      <c r="A42" s="3"/>
      <c r="B42" s="45" t="s">
        <v>80</v>
      </c>
      <c r="C42" s="6" t="s">
        <v>53</v>
      </c>
      <c r="D42" s="6">
        <f>IFERROR(D39/C39-1,"n/a")</f>
        <v>0.044784394768013325</v>
      </c>
      <c r="E42" s="6" t="s">
        <v>53</v>
      </c>
      <c r="F42" s="6">
        <f>IFERROR(F39/D39-1,"n/a")</f>
        <v>-0.1379776148205326</v>
      </c>
      <c r="G42" s="6">
        <f>IFERROR(G39/F39-1,"n/a")</f>
        <v>0.07152451309603758</v>
      </c>
      <c r="H42" s="50">
        <f>IFERROR(H39/G39-1,"n/a")</f>
        <v>0.010459103729238528</v>
      </c>
      <c r="I42" s="2"/>
      <c r="J42" s="2"/>
    </row>
    <row r="43">
      <c r="A43" s="3"/>
      <c r="B43" s="45" t="s">
        <v>81</v>
      </c>
      <c r="C43" s="6">
        <f>IFERROR(C39/C69,"n/a")</f>
        <v>0.3506420056379848</v>
      </c>
      <c r="D43" s="6">
        <f>IFERROR(D39/D69,"n/a")</f>
        <v>0.3661705604381045</v>
      </c>
      <c r="E43" s="6">
        <f>IFERROR(E39/E69,"n/a")</f>
        <v>0.34570466544673756</v>
      </c>
      <c r="F43" s="6">
        <f>IFERROR(F39/F69,"n/a")</f>
        <v>0.31986824321300383</v>
      </c>
      <c r="G43" s="6">
        <f>IFERROR(G39/G69,"n/a")</f>
        <v>0.34179520137103686</v>
      </c>
      <c r="H43" s="50">
        <f>IFERROR(H39/H69,"n/a")</f>
        <v>0.34591694876552115</v>
      </c>
      <c r="I43" s="2"/>
      <c r="J43" s="2"/>
    </row>
    <row r="44">
      <c r="A44" s="3"/>
      <c r="B44" s="19" t="s">
        <v>82</v>
      </c>
      <c r="C44" s="38" t="str">
        <f>'Segment - Optum Rx'!C26</f>
        <v>n/d</v>
      </c>
      <c r="D44" s="38" t="str">
        <f>'Segment - Optum Rx'!D26</f>
        <v>n/d</v>
      </c>
      <c r="E44" s="38" t="str">
        <f>'Segment - Optum Rx'!E26</f>
        <v>n/d</v>
      </c>
      <c r="F44" s="38" t="str">
        <f>'Segment - Optum Rx'!F26</f>
        <v>n/d</v>
      </c>
      <c r="G44" s="38" t="str">
        <f>'Segment - Optum Rx'!G26</f>
        <v>n/d</v>
      </c>
      <c r="H44" s="65" t="str">
        <f>'Segment - Optum Rx'!H26</f>
        <v>n/d</v>
      </c>
      <c r="I44" s="2"/>
      <c r="J44" s="2"/>
    </row>
    <row r="45">
      <c r="A45" s="3"/>
      <c r="B45" s="19" t="s">
        <v>83</v>
      </c>
      <c r="C45" s="38" t="str">
        <f>'Segment - Optum Rx'!C27</f>
        <v>n/d</v>
      </c>
      <c r="D45" s="38" t="str">
        <f>'Segment - Optum Rx'!D27</f>
        <v>n/d</v>
      </c>
      <c r="E45" s="38" t="str">
        <f>'Segment - Optum Rx'!E27</f>
        <v>n/d</v>
      </c>
      <c r="F45" s="38" t="str">
        <f>'Segment - Optum Rx'!F27</f>
        <v>n/d</v>
      </c>
      <c r="G45" s="38" t="str">
        <f>'Segment - Optum Rx'!G27</f>
        <v>n/d</v>
      </c>
      <c r="H45" s="65">
        <f>'Segment - Optum Rx'!H27</f>
        <v>0</v>
      </c>
      <c r="I45" s="2"/>
      <c r="J45" s="2"/>
    </row>
    <row r="46">
      <c r="A46" s="3"/>
      <c r="B46" s="19" t="s">
        <v>84</v>
      </c>
      <c r="C46" s="38" t="str">
        <f>'Segment - Optum Rx'!C28</f>
        <v>n/d</v>
      </c>
      <c r="D46" s="38" t="str">
        <f>'Segment - Optum Rx'!D28</f>
        <v>n/d</v>
      </c>
      <c r="E46" s="38" t="str">
        <f>'Segment - Optum Rx'!E28</f>
        <v>n/d</v>
      </c>
      <c r="F46" s="38" t="str">
        <f>'Segment - Optum Rx'!F28</f>
        <v>n/d</v>
      </c>
      <c r="G46" s="38" t="str">
        <f>'Segment - Optum Rx'!G28</f>
        <v>n/d</v>
      </c>
      <c r="H46" s="65" t="str">
        <f>'Segment - Optum Rx'!H28</f>
        <v>n/d</v>
      </c>
      <c r="I46" s="2"/>
      <c r="J46" s="2"/>
    </row>
    <row r="47">
      <c r="A47" s="3"/>
      <c r="B47" s="19" t="s">
        <v>85</v>
      </c>
      <c r="C47" s="38">
        <f>'Segment - Optum Rx'!C29</f>
        <v>0.15996725816353385</v>
      </c>
      <c r="D47" s="38">
        <f>'Segment - Optum Rx'!D29</f>
        <v>0.1588304355118242</v>
      </c>
      <c r="E47" s="38">
        <f>'Segment - Optum Rx'!E29</f>
        <v>0.16133632562992095</v>
      </c>
      <c r="F47" s="38">
        <f>'Segment - Optum Rx'!F29</f>
        <v>0.017192303313218638</v>
      </c>
      <c r="G47" s="38">
        <f>'Segment - Optum Rx'!G29</f>
        <v>-0.004342286590914957</v>
      </c>
      <c r="H47" s="65">
        <f>'Segment - Optum Rx'!H29</f>
        <v>-0.024862017691978155</v>
      </c>
      <c r="I47" s="2"/>
      <c r="J47" s="2"/>
    </row>
    <row r="48">
      <c r="A48" s="3"/>
      <c r="B48" s="58" t="s">
        <v>89</v>
      </c>
      <c r="C48" s="6">
        <f>-C52/(C21+C30+C39)</f>
        <v>0.0176651851010352</v>
      </c>
      <c r="D48" s="6">
        <f>-D52/(D21+D30+D39)</f>
        <v>0.022854205451665787</v>
      </c>
      <c r="E48" s="6">
        <f>-E52/(E21+E30+E39)</f>
        <v>0.01882085921156154</v>
      </c>
      <c r="F48" s="6">
        <f>-F52/(F21+F30+F39)</f>
        <v>0.018793289210404802</v>
      </c>
      <c r="G48" s="6">
        <f>-G52/(G21+G30+G39)</f>
        <v>0.022377393324003216</v>
      </c>
      <c r="H48" s="67">
        <v>0.021</v>
      </c>
      <c r="I48" s="2" t="s">
        <v>90</v>
      </c>
      <c r="J48" s="2"/>
    </row>
    <row r="49">
      <c r="A49" s="3"/>
      <c r="B49" s="45" t="s">
        <v>91</v>
      </c>
      <c r="C49" s="24" t="s">
        <v>53</v>
      </c>
      <c r="D49" s="24">
        <f>IFERROR((D48-C48)*10000,"n/a")</f>
        <v>51.89020350630586</v>
      </c>
      <c r="E49" s="24" t="s">
        <v>53</v>
      </c>
      <c r="F49" s="24">
        <f>IFERROR((F48-D48)*10000,"n/a")</f>
        <v>-40.60916241260985</v>
      </c>
      <c r="G49" s="24">
        <f>IFERROR((G48-F48)*10000,"n/a")</f>
        <v>35.84104113598413</v>
      </c>
      <c r="H49" s="66">
        <f>IFERROR((H48-G48)*10000,"n/a")</f>
        <v>-13.773933240032141</v>
      </c>
      <c r="I49" s="2"/>
      <c r="J49" s="2"/>
    </row>
    <row r="50">
      <c r="A50" s="3"/>
      <c r="B50" s="45" t="s">
        <v>92</v>
      </c>
      <c r="C50" s="24" t="s">
        <v>53</v>
      </c>
      <c r="D50" s="24" t="s">
        <v>53</v>
      </c>
      <c r="E50" s="24">
        <f>IFERROR((E48--E51/(E22+E31+E40))*10000,"n/a")</f>
        <v>26.950263741384074</v>
      </c>
      <c r="F50" s="24">
        <f>IFERROR((F48--F51/(F22+F31+F40))*10000,"n/a")</f>
        <v>16.99929619045335</v>
      </c>
      <c r="G50" s="24">
        <f>IFERROR((G48--G51/(G22+G31+G40))*10000,"n/a")</f>
        <v>49.691847178292214</v>
      </c>
      <c r="H50" s="66">
        <f>(H48-C48)*10000</f>
        <v>33.348148989648</v>
      </c>
      <c r="I50" s="2"/>
      <c r="J50" s="2"/>
    </row>
    <row r="51">
      <c r="A51" s="3"/>
      <c r="B51" s="28" t="s">
        <v>93</v>
      </c>
      <c r="C51" s="1" t="s">
        <v>94</v>
      </c>
      <c r="D51" s="1" t="s">
        <v>94</v>
      </c>
      <c r="E51" s="31">
        <v>-4146</v>
      </c>
      <c r="F51" s="31">
        <v>-1111</v>
      </c>
      <c r="G51" s="31">
        <v>-1191</v>
      </c>
      <c r="H51" s="27">
        <f>C52</f>
        <v>-1244</v>
      </c>
      <c r="I51" s="2"/>
      <c r="J51" s="2"/>
    </row>
    <row r="52">
      <c r="A52" s="3"/>
      <c r="B52" s="25" t="s">
        <v>95</v>
      </c>
      <c r="C52" s="31">
        <v>-1244</v>
      </c>
      <c r="D52" s="31">
        <v>-1645</v>
      </c>
      <c r="E52" s="31">
        <v>-5191</v>
      </c>
      <c r="F52" s="31">
        <v>-1221</v>
      </c>
      <c r="G52" s="31">
        <v>-1503</v>
      </c>
      <c r="H52" s="27">
        <f>-(H21+H30+H39)*H48</f>
        <v>-1418.8965</v>
      </c>
      <c r="I52" s="2" t="s">
        <v>96</v>
      </c>
      <c r="J52" s="2"/>
    </row>
    <row r="53">
      <c r="A53" s="3"/>
      <c r="B53" s="23" t="s">
        <v>97</v>
      </c>
      <c r="C53" s="8">
        <f>C21+C30+C39+C52</f>
        <v>69177</v>
      </c>
      <c r="D53" s="8">
        <f>D21+D30+D39+D52</f>
        <v>70333</v>
      </c>
      <c r="E53" s="8">
        <f>E21+E30+E39+E52</f>
        <v>270620</v>
      </c>
      <c r="F53" s="8">
        <f>F21+F30+F39+F52</f>
        <v>63749</v>
      </c>
      <c r="G53" s="8">
        <f>G21+G30+G39+G52</f>
        <v>65663</v>
      </c>
      <c r="H53" s="29">
        <f>H21+H30+H39+H52</f>
        <v>66147.6035</v>
      </c>
      <c r="I53" s="2"/>
      <c r="J53" s="2"/>
    </row>
    <row r="54">
      <c r="A54" s="3"/>
      <c r="B54" s="28" t="s">
        <v>98</v>
      </c>
      <c r="C54" s="31">
        <v>69177</v>
      </c>
      <c r="D54" s="31">
        <v>70333</v>
      </c>
      <c r="E54" s="31">
        <v>270620</v>
      </c>
      <c r="F54" s="31">
        <v>63749</v>
      </c>
      <c r="G54" s="31">
        <v>65663</v>
      </c>
      <c r="H54" s="27"/>
      <c r="I54" s="2"/>
      <c r="J54" s="2"/>
    </row>
    <row r="55">
      <c r="A55" s="3"/>
      <c r="B55" s="28" t="s">
        <v>99</v>
      </c>
      <c r="C55" s="1">
        <f>C53-C54</f>
        <v>0</v>
      </c>
      <c r="D55" s="1">
        <f>D53-D54</f>
        <v>0</v>
      </c>
      <c r="E55" s="1">
        <f>E53-E54</f>
        <v>0</v>
      </c>
      <c r="F55" s="1">
        <f>F53-F54</f>
        <v>0</v>
      </c>
      <c r="G55" s="1">
        <f>G53-G54</f>
        <v>0</v>
      </c>
      <c r="H55" s="27" t="s">
        <v>53</v>
      </c>
      <c r="I55" s="2"/>
      <c r="J55" s="2"/>
    </row>
    <row r="56">
      <c r="A56" s="3"/>
      <c r="B56" s="28" t="s">
        <v>78</v>
      </c>
      <c r="C56" s="31">
        <v>63925</v>
      </c>
      <c r="D56" s="31">
        <v>65101</v>
      </c>
      <c r="E56" s="31">
        <v>252957</v>
      </c>
      <c r="F56" s="31">
        <v>63885</v>
      </c>
      <c r="G56" s="31">
        <v>67225</v>
      </c>
      <c r="H56" s="27">
        <f>C53</f>
        <v>69177</v>
      </c>
      <c r="I56" s="2"/>
      <c r="J56" s="2"/>
    </row>
    <row r="57">
      <c r="A57" s="3"/>
      <c r="B57" s="45" t="s">
        <v>79</v>
      </c>
      <c r="C57" s="6">
        <f>IFERROR(C53/C56-1,"n/a")</f>
        <v>0.08215877982010178</v>
      </c>
      <c r="D57" s="6">
        <f>IFERROR(D53/D56-1,"n/a")</f>
        <v>0.08036742907174999</v>
      </c>
      <c r="E57" s="6">
        <f>IFERROR(E53/E56-1,"n/a")</f>
        <v>0.06982609692556441</v>
      </c>
      <c r="F57" s="6">
        <f>IFERROR(F53/F56-1,"n/a")</f>
        <v>-0.0021288252328403034</v>
      </c>
      <c r="G57" s="6">
        <f>IFERROR(G53/G56-1,"n/a")</f>
        <v>-0.023235403495723284</v>
      </c>
      <c r="H57" s="50">
        <f>IFERROR(H53/C53-1,"n/a")</f>
        <v>-0.04379196120097728</v>
      </c>
      <c r="I57" s="2"/>
      <c r="J57" s="2"/>
    </row>
    <row r="58">
      <c r="A58" s="3"/>
      <c r="B58" s="45" t="s">
        <v>80</v>
      </c>
      <c r="C58" s="6" t="s">
        <v>53</v>
      </c>
      <c r="D58" s="6">
        <f>IFERROR(D53/C53-1,"n/a")</f>
        <v>0.01671075646529907</v>
      </c>
      <c r="E58" s="6" t="s">
        <v>53</v>
      </c>
      <c r="F58" s="6">
        <f>IFERROR(F53/D53-1,"n/a")</f>
        <v>-0.09361181806548846</v>
      </c>
      <c r="G58" s="6">
        <f>IFERROR(G53/F53-1,"n/a")</f>
        <v>0.030024000376476456</v>
      </c>
      <c r="H58" s="50">
        <f>IFERROR(H53/G53-1,"n/a")</f>
        <v>0.007380160821162551</v>
      </c>
      <c r="I58" s="2"/>
      <c r="J58" s="2"/>
    </row>
    <row r="59">
      <c r="A59" s="3"/>
      <c r="B59" s="45" t="s">
        <v>81</v>
      </c>
      <c r="C59" s="6">
        <f>IFERROR(C53/C69,"n/a")</f>
        <v>0.6113148522901</v>
      </c>
      <c r="D59" s="6">
        <f>IFERROR(D53/D69,"n/a")</f>
        <v>0.621233935432584</v>
      </c>
      <c r="E59" s="6">
        <f>IFERROR(E53/E69,"n/a")</f>
        <v>0.6046469020280762</v>
      </c>
      <c r="F59" s="6">
        <f>IFERROR(F53/F69,"n/a")</f>
        <v>0.5706089275964232</v>
      </c>
      <c r="G59" s="6">
        <f>IFERROR(G53/G69,"n/a")</f>
        <v>0.5861093259068837</v>
      </c>
      <c r="H59" s="50">
        <f>IFERROR(H53/H69,"n/a")</f>
        <v>0.591369830609847</v>
      </c>
      <c r="I59" s="2"/>
      <c r="J59" s="2"/>
    </row>
    <row r="60">
      <c r="A60" s="3"/>
      <c r="B60" s="19" t="s">
        <v>82</v>
      </c>
      <c r="C60" s="6" t="s">
        <v>94</v>
      </c>
      <c r="D60" s="6" t="s">
        <v>94</v>
      </c>
      <c r="E60" s="6" t="s">
        <v>94</v>
      </c>
      <c r="F60" s="6" t="s">
        <v>94</v>
      </c>
      <c r="G60" s="6" t="s">
        <v>94</v>
      </c>
      <c r="H60" s="50" t="s">
        <v>94</v>
      </c>
      <c r="I60" s="2" t="s">
        <v>100</v>
      </c>
      <c r="J60" s="2"/>
    </row>
    <row r="61">
      <c r="A61" s="3"/>
      <c r="B61" s="19" t="s">
        <v>83</v>
      </c>
      <c r="C61" s="6" t="s">
        <v>94</v>
      </c>
      <c r="D61" s="6" t="s">
        <v>94</v>
      </c>
      <c r="E61" s="6" t="s">
        <v>94</v>
      </c>
      <c r="F61" s="6" t="s">
        <v>94</v>
      </c>
      <c r="G61" s="6" t="s">
        <v>94</v>
      </c>
      <c r="H61" s="50" t="s">
        <v>94</v>
      </c>
      <c r="I61" s="2" t="s">
        <v>101</v>
      </c>
      <c r="J61" s="2"/>
    </row>
    <row r="62">
      <c r="A62" s="3"/>
      <c r="B62" s="19" t="s">
        <v>84</v>
      </c>
      <c r="C62" s="6" t="str">
        <f>IF(OR(ISTEXT(C57),ISTEXT(C60),ISTEXT(C61)),"n/d",(1+C57)/((1+C60)*(1+C61))-1)</f>
        <v>n/d</v>
      </c>
      <c r="D62" s="6" t="str">
        <f>IF(OR(ISTEXT(D57),ISTEXT(D60),ISTEXT(D61)),"n/d",(1+D57)/((1+D60)*(1+D61))-1)</f>
        <v>n/d</v>
      </c>
      <c r="E62" s="6" t="str">
        <f>IF(OR(ISTEXT(E57),ISTEXT(E60),ISTEXT(E61)),"n/d",(1+E57)/((1+E60)*(1+E61))-1)</f>
        <v>n/d</v>
      </c>
      <c r="F62" s="6" t="str">
        <f>IF(OR(ISTEXT(F57),ISTEXT(F60),ISTEXT(F61)),"n/d",(1+F57)/((1+F60)*(1+F61))-1)</f>
        <v>n/d</v>
      </c>
      <c r="G62" s="6" t="str">
        <f>IF(OR(ISTEXT(G57),ISTEXT(G60),ISTEXT(G61)),"n/d",(1+G57)/((1+G60)*(1+G61))-1)</f>
        <v>n/d</v>
      </c>
      <c r="H62" s="50" t="str">
        <f>IF(OR(ISTEXT(H57),ISTEXT(H60),ISTEXT(H61)),"n/d",(1+H57)/((1+H60)*(1+H61))-1)</f>
        <v>n/d</v>
      </c>
      <c r="I62" s="2" t="s">
        <v>102</v>
      </c>
      <c r="J62" s="2"/>
    </row>
    <row r="63">
      <c r="A63" s="3"/>
      <c r="B63" s="19" t="s">
        <v>85</v>
      </c>
      <c r="C63" s="6">
        <f>C57</f>
        <v>0.08215877982010178</v>
      </c>
      <c r="D63" s="6">
        <f>D57</f>
        <v>0.08036742907174999</v>
      </c>
      <c r="E63" s="6">
        <f>E57</f>
        <v>0.06982609692556441</v>
      </c>
      <c r="F63" s="6">
        <f>F57</f>
        <v>-0.0021288252328403034</v>
      </c>
      <c r="G63" s="6">
        <f>G57</f>
        <v>-0.023235403495723284</v>
      </c>
      <c r="H63" s="50">
        <f>H57</f>
        <v>-0.04379196120097728</v>
      </c>
      <c r="I63" s="2"/>
      <c r="J63" s="2"/>
    </row>
    <row r="64">
      <c r="A64" s="3"/>
      <c r="B64" s="58" t="s">
        <v>103</v>
      </c>
      <c r="C64" s="6">
        <f>-C67/C53</f>
        <v>0.6228370701244633</v>
      </c>
      <c r="D64" s="6">
        <f>-D67/D53</f>
        <v>0.6288797577239702</v>
      </c>
      <c r="E64" s="6">
        <f>-E67/E53</f>
        <v>0.620634099475279</v>
      </c>
      <c r="F64" s="6">
        <f>-F67/F53</f>
        <v>0.6006839322969773</v>
      </c>
      <c r="G64" s="6">
        <f>-G67/G53</f>
        <v>0.603810365045764</v>
      </c>
      <c r="H64" s="67">
        <v>0.604</v>
      </c>
      <c r="I64" s="2" t="s">
        <v>104</v>
      </c>
      <c r="J64" s="2"/>
    </row>
    <row r="65">
      <c r="A65" s="3"/>
      <c r="B65" s="45" t="s">
        <v>91</v>
      </c>
      <c r="C65" s="24" t="s">
        <v>53</v>
      </c>
      <c r="D65" s="24">
        <f>IFERROR((D64-C64)*10000,"n/a")</f>
        <v>60.4268759950688</v>
      </c>
      <c r="E65" s="24" t="s">
        <v>53</v>
      </c>
      <c r="F65" s="24">
        <f>IFERROR((F64-D64)*10000,"n/a")</f>
        <v>-281.9582542699295</v>
      </c>
      <c r="G65" s="24">
        <f>IFERROR((G64-F64)*10000,"n/a")</f>
        <v>31.26432748786767</v>
      </c>
      <c r="H65" s="66">
        <f>IFERROR((H64-G64)*10000,"n/a")</f>
        <v>1.896349542359621</v>
      </c>
      <c r="I65" s="2"/>
      <c r="J65" s="2"/>
    </row>
    <row r="66">
      <c r="A66" s="3"/>
      <c r="B66" s="45" t="s">
        <v>92</v>
      </c>
      <c r="C66" s="24">
        <f>IFERROR((C64--C68/C56)*10000,"n/a")</f>
        <v>290.47472940263106</v>
      </c>
      <c r="D66" s="24">
        <f>IFERROR((D64--D68/D56)*10000,"n/a")</f>
        <v>386.2768786329218</v>
      </c>
      <c r="E66" s="24">
        <f>IFERROR((E64--E68/E56)*10000,"n/a")</f>
        <v>241.41414947869256</v>
      </c>
      <c r="F66" s="24">
        <f>IFERROR((F64--F68/F56)*10000,"n/a")</f>
        <v>-86.45331223410935</v>
      </c>
      <c r="G66" s="24">
        <f>IFERROR((G64--G68/G56)*10000,"n/a")</f>
        <v>-166.73086051298137</v>
      </c>
      <c r="H66" s="66">
        <f>(H64-C64)*10000</f>
        <v>-188.3707012446334</v>
      </c>
      <c r="I66" s="2"/>
      <c r="J66" s="2"/>
    </row>
    <row r="67">
      <c r="A67" s="3"/>
      <c r="B67" s="25" t="s">
        <v>105</v>
      </c>
      <c r="C67" s="31">
        <v>-43086</v>
      </c>
      <c r="D67" s="31">
        <v>-44231</v>
      </c>
      <c r="E67" s="31">
        <v>-167956</v>
      </c>
      <c r="F67" s="31">
        <v>-38293</v>
      </c>
      <c r="G67" s="31">
        <v>-39648</v>
      </c>
      <c r="H67" s="27">
        <f>-H53*H64</f>
        <v>-39953.152513999994</v>
      </c>
      <c r="I67" s="2" t="s">
        <v>106</v>
      </c>
      <c r="J67" s="2"/>
    </row>
    <row r="68">
      <c r="A68" s="3"/>
      <c r="B68" s="28" t="s">
        <v>107</v>
      </c>
      <c r="C68" s="31">
        <v>-37958</v>
      </c>
      <c r="D68" s="31">
        <v>-38426</v>
      </c>
      <c r="E68" s="31">
        <v>-150887</v>
      </c>
      <c r="F68" s="31">
        <v>-38927</v>
      </c>
      <c r="G68" s="31">
        <v>-41712</v>
      </c>
      <c r="H68" s="27">
        <f>C67</f>
        <v>-43086</v>
      </c>
      <c r="I68" s="2"/>
      <c r="J68" s="2"/>
    </row>
    <row r="69">
      <c r="A69" s="3"/>
      <c r="B69" s="23" t="s">
        <v>108</v>
      </c>
      <c r="C69" s="8">
        <f>C12+C53+C67</f>
        <v>113161</v>
      </c>
      <c r="D69" s="8">
        <f>D12+D53+D67</f>
        <v>113215</v>
      </c>
      <c r="E69" s="8">
        <f>E12+E53+E67</f>
        <v>447567</v>
      </c>
      <c r="F69" s="8">
        <f>F12+F53+F67</f>
        <v>111721</v>
      </c>
      <c r="G69" s="8">
        <f>G12+G53+G67</f>
        <v>112032</v>
      </c>
      <c r="H69" s="29">
        <f>H12+H53+H67</f>
        <v>111854.883486</v>
      </c>
      <c r="I69" s="2"/>
      <c r="J69" s="2"/>
    </row>
    <row r="70">
      <c r="A70" s="3"/>
      <c r="B70" s="28" t="s">
        <v>78</v>
      </c>
      <c r="C70" s="1">
        <f>C13+C56+C68</f>
        <v>100820</v>
      </c>
      <c r="D70" s="1">
        <f>D13+D56+D68</f>
        <v>100807</v>
      </c>
      <c r="E70" s="1">
        <f>E13+E56+E68</f>
        <v>400278</v>
      </c>
      <c r="F70" s="1">
        <f>F13+F56+F68</f>
        <v>109575</v>
      </c>
      <c r="G70" s="1">
        <f>G13+G56+G68</f>
        <v>111616</v>
      </c>
      <c r="H70" s="27">
        <f>H13+H56+H68</f>
        <v>113161</v>
      </c>
      <c r="I70" s="2"/>
      <c r="J70" s="2"/>
    </row>
    <row r="71">
      <c r="A71" s="3"/>
      <c r="B71" s="45" t="s">
        <v>79</v>
      </c>
      <c r="C71" s="6">
        <f>IFERROR(C69/C70-1,"n/a")</f>
        <v>0.12240626859750048</v>
      </c>
      <c r="D71" s="6">
        <f>IFERROR(D69/D70-1,"n/a")</f>
        <v>0.12308669040840425</v>
      </c>
      <c r="E71" s="6">
        <f>IFERROR(E69/E70-1,"n/a")</f>
        <v>0.11814039242726304</v>
      </c>
      <c r="F71" s="6">
        <f>IFERROR(F69/F70-1,"n/a")</f>
        <v>0.01958475929728487</v>
      </c>
      <c r="G71" s="6">
        <f>IFERROR(G69/G70-1,"n/a")</f>
        <v>0.003727064220183429</v>
      </c>
      <c r="H71" s="50">
        <f>IFERROR(H69/C69-1,"n/a")</f>
        <v>-0.01154210827051716</v>
      </c>
      <c r="I71" s="2"/>
      <c r="J71" s="2"/>
    </row>
    <row r="72">
      <c r="A72" s="3"/>
      <c r="B72" s="45" t="s">
        <v>80</v>
      </c>
      <c r="C72" s="6" t="s">
        <v>53</v>
      </c>
      <c r="D72" s="6">
        <f>IFERROR(D69/C69-1,"n/a")</f>
        <v>0.0004771962071739022</v>
      </c>
      <c r="E72" s="6" t="s">
        <v>53</v>
      </c>
      <c r="F72" s="6">
        <f>IFERROR(F69/D69-1,"n/a")</f>
        <v>-0.013196131254692434</v>
      </c>
      <c r="G72" s="6">
        <f>IFERROR(G69/F69-1,"n/a")</f>
        <v>0.0027837201600415806</v>
      </c>
      <c r="H72" s="50">
        <f>IFERROR(H69/G69-1,"n/a")</f>
        <v>-0.0015809457476434474</v>
      </c>
      <c r="I72" s="2"/>
      <c r="J72" s="2"/>
    </row>
    <row r="73">
      <c r="A73" s="3"/>
      <c r="B73" s="28" t="s">
        <v>109</v>
      </c>
      <c r="C73" s="1" t="s">
        <v>53</v>
      </c>
      <c r="D73" s="1">
        <f>IFERROR(D69-C69,"n/a")</f>
        <v>54</v>
      </c>
      <c r="E73" s="1" t="s">
        <v>53</v>
      </c>
      <c r="F73" s="1">
        <f>IFERROR(F69-D69,"n/a")</f>
        <v>-1494</v>
      </c>
      <c r="G73" s="1">
        <f>IFERROR(G69-F69,"n/a")</f>
        <v>311</v>
      </c>
      <c r="H73" s="27">
        <f>IFERROR(H69-G69,"n/a")</f>
        <v>-177.1165139999939</v>
      </c>
      <c r="I73" s="2"/>
      <c r="J73" s="2"/>
    </row>
    <row r="74">
      <c r="A74" s="3"/>
      <c r="B74" s="19" t="s">
        <v>82</v>
      </c>
      <c r="C74" s="6" t="s">
        <v>94</v>
      </c>
      <c r="D74" s="6" t="s">
        <v>94</v>
      </c>
      <c r="E74" s="6" t="s">
        <v>94</v>
      </c>
      <c r="F74" s="6" t="s">
        <v>94</v>
      </c>
      <c r="G74" s="6" t="s">
        <v>94</v>
      </c>
      <c r="H74" s="50" t="s">
        <v>94</v>
      </c>
      <c r="I74" s="2" t="s">
        <v>110</v>
      </c>
      <c r="J74" s="2"/>
    </row>
    <row r="75">
      <c r="A75" s="3"/>
      <c r="B75" s="19" t="s">
        <v>83</v>
      </c>
      <c r="C75" s="6" t="s">
        <v>94</v>
      </c>
      <c r="D75" s="6" t="s">
        <v>94</v>
      </c>
      <c r="E75" s="6" t="s">
        <v>94</v>
      </c>
      <c r="F75" s="6" t="s">
        <v>94</v>
      </c>
      <c r="G75" s="6" t="s">
        <v>94</v>
      </c>
      <c r="H75" s="50" t="s">
        <v>94</v>
      </c>
      <c r="I75" s="2" t="s">
        <v>111</v>
      </c>
      <c r="J75" s="2"/>
    </row>
    <row r="76">
      <c r="A76" s="3"/>
      <c r="B76" s="19" t="s">
        <v>84</v>
      </c>
      <c r="C76" s="6" t="str">
        <f>IF(OR(ISTEXT(C71),ISTEXT(C74),ISTEXT(C75)),"n/d",(1+C71)/((1+C74)*(1+C75))-1)</f>
        <v>n/d</v>
      </c>
      <c r="D76" s="6" t="str">
        <f>IF(OR(ISTEXT(D71),ISTEXT(D74),ISTEXT(D75)),"n/d",(1+D71)/((1+D74)*(1+D75))-1)</f>
        <v>n/d</v>
      </c>
      <c r="E76" s="6" t="str">
        <f>IF(OR(ISTEXT(E71),ISTEXT(E74),ISTEXT(E75)),"n/d",(1+E71)/((1+E74)*(1+E75))-1)</f>
        <v>n/d</v>
      </c>
      <c r="F76" s="6" t="str">
        <f>IF(OR(ISTEXT(F71),ISTEXT(F74),ISTEXT(F75)),"n/d",(1+F71)/((1+F74)*(1+F75))-1)</f>
        <v>n/d</v>
      </c>
      <c r="G76" s="6" t="str">
        <f>IF(OR(ISTEXT(G71),ISTEXT(G74),ISTEXT(G75)),"n/d",(1+G71)/((1+G74)*(1+G75))-1)</f>
        <v>n/d</v>
      </c>
      <c r="H76" s="50" t="str">
        <f>IF(OR(ISTEXT(H71),ISTEXT(H74),ISTEXT(H75)),"n/d",(1+H71)/((1+H74)*(1+H75))-1)</f>
        <v>n/d</v>
      </c>
      <c r="I76" s="2" t="s">
        <v>102</v>
      </c>
      <c r="J76" s="2"/>
    </row>
    <row r="77">
      <c r="A77" s="3"/>
      <c r="B77" s="19" t="s">
        <v>85</v>
      </c>
      <c r="C77" s="6">
        <f>C71</f>
        <v>0.12240626859750048</v>
      </c>
      <c r="D77" s="6">
        <f>D71</f>
        <v>0.12308669040840425</v>
      </c>
      <c r="E77" s="6">
        <f>E71</f>
        <v>0.11814039242726304</v>
      </c>
      <c r="F77" s="6">
        <f>F71</f>
        <v>0.01958475929728487</v>
      </c>
      <c r="G77" s="6">
        <f>G71</f>
        <v>0.003727064220183429</v>
      </c>
      <c r="H77" s="50">
        <f>H71</f>
        <v>-0.01154210827051716</v>
      </c>
      <c r="I77" s="2"/>
      <c r="J77" s="2"/>
    </row>
    <row r="78">
      <c r="A78" s="3"/>
      <c r="B78" s="28" t="s">
        <v>112</v>
      </c>
      <c r="C78" s="10" t="str">
        <f>IFERROR('Segment - Optum Health'!C67+'Segment - Optum Insight'!C44+'Segment - Optum Rx'!C50+C52+C67,"n/a")</f>
        <v>n/a</v>
      </c>
      <c r="D78" s="10" t="str">
        <f>IFERROR('Segment - Optum Health'!D67+'Segment - Optum Insight'!D44+'Segment - Optum Rx'!D50+D52+D67,"n/a")</f>
        <v>n/a</v>
      </c>
      <c r="E78" s="10" t="str">
        <f>IFERROR('Segment - Optum Health'!E67+'Segment - Optum Insight'!E44+'Segment - Optum Rx'!E50+E52+E67,"n/a")</f>
        <v>n/a</v>
      </c>
      <c r="F78" s="10">
        <f>IFERROR('Segment - Optum Health'!F67+'Segment - Optum Insight'!F44+'Segment - Optum Rx'!F50+F52+F67,"n/a")</f>
        <v>0</v>
      </c>
      <c r="G78" s="10">
        <f>IFERROR('Segment - Optum Health'!G67+'Segment - Optum Insight'!G44+'Segment - Optum Rx'!G50+G52+G67,"n/a")</f>
        <v>0</v>
      </c>
      <c r="H78" s="12">
        <f>IFERROR('Segment - Optum Health'!H67+'Segment - Optum Insight'!H44+'Segment - Optum Rx'!H50+H52+H67,"n/a")</f>
        <v>-0.000000000007275957614183426</v>
      </c>
      <c r="I78" s="2" t="s">
        <v>113</v>
      </c>
      <c r="J78" s="2"/>
    </row>
    <row r="79">
      <c r="A79" s="3"/>
      <c r="B79" s="28" t="s">
        <v>114</v>
      </c>
      <c r="C79" s="1">
        <f>ROUND(C16+C59+C67/C69-1,6)</f>
        <v>0</v>
      </c>
      <c r="D79" s="1">
        <f>ROUND(D16+D59+D67/D69-1,6)</f>
        <v>0</v>
      </c>
      <c r="E79" s="1">
        <f>ROUND(E16+E59+E67/E69-1,6)</f>
        <v>0</v>
      </c>
      <c r="F79" s="1">
        <f>ROUND(F16+F59+F67/F69-1,6)</f>
        <v>0</v>
      </c>
      <c r="G79" s="1">
        <f>ROUND(G16+G59+G67/G69-1,6)</f>
        <v>0</v>
      </c>
      <c r="H79" s="27">
        <f>ROUND(H16+H59+H67/H69-1,6)</f>
        <v>0</v>
      </c>
      <c r="I79" s="2" t="s">
        <v>115</v>
      </c>
      <c r="J79" s="2"/>
    </row>
    <row r="80">
      <c r="A80" s="3"/>
      <c r="B80" s="28" t="s">
        <v>116</v>
      </c>
      <c r="C80" s="10">
        <f>C69-'Income Statement'!C48</f>
        <v>0</v>
      </c>
      <c r="D80" s="10">
        <f>D69-'Income Statement'!D48</f>
        <v>0</v>
      </c>
      <c r="E80" s="10">
        <f>E69-'Income Statement'!E48</f>
        <v>0</v>
      </c>
      <c r="F80" s="10">
        <f>F69-'Income Statement'!F48</f>
        <v>0</v>
      </c>
      <c r="G80" s="10">
        <f>G69-'Income Statement'!G48</f>
        <v>0</v>
      </c>
      <c r="H80" s="12">
        <f>H69-'Income Statement'!H48</f>
        <v>0</v>
      </c>
      <c r="I80" s="2" t="s">
        <v>117</v>
      </c>
      <c r="J80" s="2"/>
    </row>
    <row r="81">
      <c r="A81" s="3"/>
      <c r="B81" s="3"/>
      <c r="C81" s="3"/>
      <c r="D81" s="3"/>
      <c r="E81" s="3"/>
      <c r="F81" s="3"/>
      <c r="G81" s="3"/>
      <c r="H81" s="13"/>
      <c r="I81" s="2"/>
      <c r="J81" s="2"/>
    </row>
    <row r="82">
      <c r="A82" s="3"/>
      <c r="B82" s="3"/>
      <c r="C82" s="3"/>
      <c r="D82" s="3"/>
      <c r="E82" s="3"/>
      <c r="F82" s="3"/>
      <c r="G82" s="3"/>
      <c r="H82" s="13"/>
      <c r="I82" s="2"/>
      <c r="J82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27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118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11" t="s">
        <v>119</v>
      </c>
      <c r="C9" s="85">
        <v>3</v>
      </c>
      <c r="D9" s="85">
        <v>3</v>
      </c>
      <c r="E9" s="85">
        <v>12</v>
      </c>
      <c r="F9" s="85">
        <v>3</v>
      </c>
      <c r="G9" s="85">
        <v>3</v>
      </c>
      <c r="H9" s="83">
        <v>3</v>
      </c>
      <c r="I9" s="2" t="s">
        <v>120</v>
      </c>
      <c r="J9" s="2"/>
    </row>
    <row r="10">
      <c r="A10" s="3"/>
      <c r="B10" s="3"/>
      <c r="C10" s="3"/>
      <c r="D10" s="3"/>
      <c r="E10" s="3"/>
      <c r="F10" s="3"/>
      <c r="G10" s="3"/>
      <c r="H10" s="13"/>
      <c r="I10" s="2"/>
      <c r="J10" s="2"/>
    </row>
    <row r="11">
      <c r="A11" s="3"/>
      <c r="B11" s="23" t="s">
        <v>121</v>
      </c>
      <c r="C11" s="3"/>
      <c r="D11" s="3"/>
      <c r="E11" s="3"/>
      <c r="F11" s="3"/>
      <c r="G11" s="3"/>
      <c r="H11" s="13"/>
      <c r="I11" s="2"/>
      <c r="J11" s="2"/>
    </row>
    <row r="12">
      <c r="A12" s="3"/>
      <c r="B12" s="69" t="s">
        <v>122</v>
      </c>
      <c r="C12" s="3"/>
      <c r="D12" s="3"/>
      <c r="E12" s="3"/>
      <c r="F12" s="3"/>
      <c r="G12" s="3"/>
      <c r="H12" s="13"/>
      <c r="I12" s="2"/>
      <c r="J12" s="2"/>
    </row>
    <row r="13">
      <c r="A13" s="3"/>
      <c r="B13" s="28" t="s">
        <v>123</v>
      </c>
      <c r="C13" s="31">
        <v>8440</v>
      </c>
      <c r="D13" s="1">
        <f>C17</f>
        <v>8440</v>
      </c>
      <c r="E13" s="1">
        <f>D18</f>
        <v>8845</v>
      </c>
      <c r="F13" s="1">
        <f>D17</f>
        <v>8165</v>
      </c>
      <c r="G13" s="1">
        <f>F17</f>
        <v>7725</v>
      </c>
      <c r="H13" s="27">
        <f>G17</f>
        <v>7655</v>
      </c>
      <c r="I13" s="2" t="s">
        <v>124</v>
      </c>
      <c r="J13" s="2"/>
    </row>
    <row r="14">
      <c r="A14" s="3"/>
      <c r="B14" s="28" t="s">
        <v>125</v>
      </c>
      <c r="C14" s="1" t="s">
        <v>94</v>
      </c>
      <c r="D14" s="1" t="s">
        <v>94</v>
      </c>
      <c r="E14" s="1" t="s">
        <v>94</v>
      </c>
      <c r="F14" s="1" t="s">
        <v>94</v>
      </c>
      <c r="G14" s="1" t="s">
        <v>94</v>
      </c>
      <c r="H14" s="27" t="s">
        <v>94</v>
      </c>
      <c r="I14" s="2" t="s">
        <v>110</v>
      </c>
      <c r="J14" s="2"/>
    </row>
    <row r="15">
      <c r="A15" s="3"/>
      <c r="B15" s="28" t="s">
        <v>126</v>
      </c>
      <c r="C15" s="1" t="s">
        <v>94</v>
      </c>
      <c r="D15" s="1" t="s">
        <v>94</v>
      </c>
      <c r="E15" s="1" t="s">
        <v>94</v>
      </c>
      <c r="F15" s="1" t="s">
        <v>94</v>
      </c>
      <c r="G15" s="1" t="s">
        <v>94</v>
      </c>
      <c r="H15" s="27" t="s">
        <v>94</v>
      </c>
      <c r="I15" s="2" t="s">
        <v>110</v>
      </c>
      <c r="J15" s="2"/>
    </row>
    <row r="16" ht="34.5">
      <c r="A16" s="3"/>
      <c r="B16" s="28" t="s">
        <v>127</v>
      </c>
      <c r="C16" s="1">
        <f>C17-C13</f>
        <v>0</v>
      </c>
      <c r="D16" s="1">
        <f>D17-D13</f>
        <v>-275</v>
      </c>
      <c r="E16" s="1">
        <f>E17-E13</f>
        <v>-680</v>
      </c>
      <c r="F16" s="1">
        <f>F17-F13</f>
        <v>-440</v>
      </c>
      <c r="G16" s="1">
        <f>G17-G13</f>
        <v>-70</v>
      </c>
      <c r="H16" s="20">
        <v>-55</v>
      </c>
      <c r="I16" s="105" t="s">
        <v>128</v>
      </c>
      <c r="J16" s="2"/>
    </row>
    <row r="17">
      <c r="A17" s="3"/>
      <c r="B17" s="86" t="s">
        <v>129</v>
      </c>
      <c r="C17" s="57">
        <v>8440</v>
      </c>
      <c r="D17" s="57">
        <v>8165</v>
      </c>
      <c r="E17" s="8">
        <f>D17</f>
        <v>8165</v>
      </c>
      <c r="F17" s="57">
        <v>7725</v>
      </c>
      <c r="G17" s="57">
        <v>7655</v>
      </c>
      <c r="H17" s="29">
        <f>H13+H16</f>
        <v>7600</v>
      </c>
      <c r="I17" s="2" t="s">
        <v>130</v>
      </c>
      <c r="J17" s="2"/>
    </row>
    <row r="18">
      <c r="A18" s="3"/>
      <c r="B18" s="75" t="s">
        <v>131</v>
      </c>
      <c r="C18" s="31">
        <v>8900</v>
      </c>
      <c r="D18" s="31">
        <v>8845</v>
      </c>
      <c r="E18" s="1">
        <f>D18</f>
        <v>8845</v>
      </c>
      <c r="F18" s="31">
        <v>8410</v>
      </c>
      <c r="G18" s="31">
        <v>8440</v>
      </c>
      <c r="H18" s="27">
        <f>C17</f>
        <v>8440</v>
      </c>
      <c r="I18" s="2" t="s">
        <v>132</v>
      </c>
      <c r="J18" s="2"/>
    </row>
    <row r="19">
      <c r="A19" s="3"/>
      <c r="B19" s="75" t="s">
        <v>133</v>
      </c>
      <c r="C19" s="1">
        <f>C17-C18</f>
        <v>-460</v>
      </c>
      <c r="D19" s="1">
        <f>D17-D18</f>
        <v>-680</v>
      </c>
      <c r="E19" s="1">
        <f>E17-E18</f>
        <v>-680</v>
      </c>
      <c r="F19" s="1">
        <f>F17-F18</f>
        <v>-685</v>
      </c>
      <c r="G19" s="1">
        <f>G17-G18</f>
        <v>-785</v>
      </c>
      <c r="H19" s="27">
        <f>H17-H18</f>
        <v>-840</v>
      </c>
      <c r="I19" s="2"/>
      <c r="J19" s="2"/>
    </row>
    <row r="20">
      <c r="A20" s="3"/>
      <c r="B20" s="19" t="s">
        <v>134</v>
      </c>
      <c r="C20" s="6">
        <f>IFERROR(C17/C18-1,"n/a")</f>
        <v>-0.051685393258426915</v>
      </c>
      <c r="D20" s="6">
        <f>IFERROR(D17/D18-1,"n/a")</f>
        <v>-0.07687959299039004</v>
      </c>
      <c r="E20" s="6">
        <f>IFERROR(E17/E18-1,"n/a")</f>
        <v>-0.07687959299039004</v>
      </c>
      <c r="F20" s="6">
        <f>IFERROR(F17/F18-1,"n/a")</f>
        <v>-0.08145065398335316</v>
      </c>
      <c r="G20" s="6">
        <f>IFERROR(G17/G18-1,"n/a")</f>
        <v>-0.09300947867298581</v>
      </c>
      <c r="H20" s="50">
        <f>IFERROR(H17/H18-1,"n/a")</f>
        <v>-0.09952606635071093</v>
      </c>
      <c r="I20" s="2"/>
      <c r="J20" s="2"/>
    </row>
    <row r="21">
      <c r="A21" s="3"/>
      <c r="B21" s="75" t="s">
        <v>109</v>
      </c>
      <c r="C21" s="1" t="s">
        <v>53</v>
      </c>
      <c r="D21" s="1">
        <f>D17-C17</f>
        <v>-275</v>
      </c>
      <c r="E21" s="1" t="s">
        <v>53</v>
      </c>
      <c r="F21" s="1">
        <f>F17-D17</f>
        <v>-440</v>
      </c>
      <c r="G21" s="1">
        <f>G17-F17</f>
        <v>-70</v>
      </c>
      <c r="H21" s="27">
        <f>H17-G17</f>
        <v>-55</v>
      </c>
      <c r="I21" s="2"/>
      <c r="J21" s="2"/>
    </row>
    <row r="22">
      <c r="A22" s="3"/>
      <c r="B22" s="28" t="s">
        <v>135</v>
      </c>
      <c r="C22" s="1">
        <f>AVERAGE(C13,C17)</f>
        <v>8440</v>
      </c>
      <c r="D22" s="1">
        <f>AVERAGE(D13,D17)</f>
        <v>8302.5</v>
      </c>
      <c r="E22" s="1">
        <f>AVERAGE(E13,E17)</f>
        <v>8505</v>
      </c>
      <c r="F22" s="1">
        <f>AVERAGE(F13,F17)</f>
        <v>7945</v>
      </c>
      <c r="G22" s="1">
        <f>AVERAGE(G13,G17)</f>
        <v>7690</v>
      </c>
      <c r="H22" s="27">
        <f>AVERAGE(H13,H17)</f>
        <v>7627.5</v>
      </c>
      <c r="I22" s="2" t="s">
        <v>136</v>
      </c>
      <c r="J22" s="2"/>
    </row>
    <row r="23">
      <c r="A23" s="3"/>
      <c r="B23" s="19" t="s">
        <v>134</v>
      </c>
      <c r="C23" s="6" t="s">
        <v>53</v>
      </c>
      <c r="D23" s="6" t="s">
        <v>53</v>
      </c>
      <c r="E23" s="6" t="s">
        <v>53</v>
      </c>
      <c r="F23" s="6" t="s">
        <v>53</v>
      </c>
      <c r="G23" s="6" t="s">
        <v>53</v>
      </c>
      <c r="H23" s="50">
        <f>H22/C22-1</f>
        <v>-0.09626777251184837</v>
      </c>
      <c r="I23" s="2"/>
      <c r="J23" s="2"/>
    </row>
    <row r="24">
      <c r="A24" s="3"/>
      <c r="B24" s="75" t="s">
        <v>109</v>
      </c>
      <c r="C24" s="1" t="s">
        <v>53</v>
      </c>
      <c r="D24" s="1">
        <f>IFERROR(D22-C22,"n/a")</f>
        <v>-137.5</v>
      </c>
      <c r="E24" s="1" t="s">
        <v>53</v>
      </c>
      <c r="F24" s="1">
        <f>IFERROR(F22-D22,"n/a")</f>
        <v>-357.5</v>
      </c>
      <c r="G24" s="1">
        <f>IFERROR(G22-F22,"n/a")</f>
        <v>-255</v>
      </c>
      <c r="H24" s="27">
        <f>IFERROR(H22-G22,"n/a")</f>
        <v>-62.5</v>
      </c>
      <c r="I24" s="2"/>
      <c r="J24" s="2"/>
    </row>
    <row r="25">
      <c r="A25" s="3"/>
      <c r="B25" s="69" t="s">
        <v>137</v>
      </c>
      <c r="C25" s="3"/>
      <c r="D25" s="3"/>
      <c r="E25" s="3"/>
      <c r="F25" s="3"/>
      <c r="G25" s="3"/>
      <c r="H25" s="13"/>
      <c r="I25" s="2"/>
      <c r="J25" s="2"/>
    </row>
    <row r="26">
      <c r="A26" s="3"/>
      <c r="B26" s="28" t="s">
        <v>123</v>
      </c>
      <c r="C26" s="31">
        <v>21530</v>
      </c>
      <c r="D26" s="1">
        <f>C30</f>
        <v>21490</v>
      </c>
      <c r="E26" s="1">
        <f>D31</f>
        <v>20885</v>
      </c>
      <c r="F26" s="1">
        <f>D30</f>
        <v>21485</v>
      </c>
      <c r="G26" s="1">
        <f>F30</f>
        <v>22340</v>
      </c>
      <c r="H26" s="27">
        <f>G30</f>
        <v>22265</v>
      </c>
      <c r="I26" s="2" t="s">
        <v>124</v>
      </c>
      <c r="J26" s="2"/>
    </row>
    <row r="27">
      <c r="A27" s="3"/>
      <c r="B27" s="28" t="s">
        <v>125</v>
      </c>
      <c r="C27" s="1" t="s">
        <v>94</v>
      </c>
      <c r="D27" s="1" t="s">
        <v>94</v>
      </c>
      <c r="E27" s="1" t="s">
        <v>94</v>
      </c>
      <c r="F27" s="1" t="s">
        <v>94</v>
      </c>
      <c r="G27" s="1" t="s">
        <v>94</v>
      </c>
      <c r="H27" s="27" t="s">
        <v>94</v>
      </c>
      <c r="I27" s="2" t="s">
        <v>110</v>
      </c>
      <c r="J27" s="2"/>
    </row>
    <row r="28">
      <c r="A28" s="3"/>
      <c r="B28" s="28" t="s">
        <v>126</v>
      </c>
      <c r="C28" s="1" t="s">
        <v>94</v>
      </c>
      <c r="D28" s="1" t="s">
        <v>94</v>
      </c>
      <c r="E28" s="1" t="s">
        <v>94</v>
      </c>
      <c r="F28" s="1" t="s">
        <v>94</v>
      </c>
      <c r="G28" s="1" t="s">
        <v>94</v>
      </c>
      <c r="H28" s="27" t="s">
        <v>94</v>
      </c>
      <c r="I28" s="2" t="s">
        <v>110</v>
      </c>
      <c r="J28" s="2"/>
    </row>
    <row r="29">
      <c r="A29" s="3"/>
      <c r="B29" s="28" t="s">
        <v>127</v>
      </c>
      <c r="C29" s="1">
        <f>C30-C26</f>
        <v>-40</v>
      </c>
      <c r="D29" s="1">
        <f>D30-D26</f>
        <v>-5</v>
      </c>
      <c r="E29" s="1">
        <f>E30-E26</f>
        <v>600</v>
      </c>
      <c r="F29" s="1">
        <f>F30-F26</f>
        <v>855</v>
      </c>
      <c r="G29" s="1">
        <f>G30-G26</f>
        <v>-75</v>
      </c>
      <c r="H29" s="20">
        <v>-65</v>
      </c>
      <c r="I29" s="2" t="s">
        <v>128</v>
      </c>
      <c r="J29" s="2"/>
    </row>
    <row r="30">
      <c r="A30" s="3"/>
      <c r="B30" s="86" t="s">
        <v>129</v>
      </c>
      <c r="C30" s="57">
        <v>21490</v>
      </c>
      <c r="D30" s="57">
        <v>21485</v>
      </c>
      <c r="E30" s="8">
        <f>D30</f>
        <v>21485</v>
      </c>
      <c r="F30" s="57">
        <v>22340</v>
      </c>
      <c r="G30" s="57">
        <v>22265</v>
      </c>
      <c r="H30" s="29">
        <f>H26+H29</f>
        <v>22200</v>
      </c>
      <c r="I30" s="2" t="s">
        <v>130</v>
      </c>
      <c r="J30" s="2"/>
    </row>
    <row r="31">
      <c r="A31" s="3"/>
      <c r="B31" s="75" t="s">
        <v>131</v>
      </c>
      <c r="C31" s="31">
        <v>20830</v>
      </c>
      <c r="D31" s="31">
        <v>20885</v>
      </c>
      <c r="E31" s="1">
        <f>D31</f>
        <v>20885</v>
      </c>
      <c r="F31" s="31">
        <v>21590</v>
      </c>
      <c r="G31" s="31">
        <v>21530</v>
      </c>
      <c r="H31" s="27">
        <f>C30</f>
        <v>21490</v>
      </c>
      <c r="I31" s="2" t="s">
        <v>132</v>
      </c>
      <c r="J31" s="2"/>
    </row>
    <row r="32">
      <c r="A32" s="3"/>
      <c r="B32" s="75" t="s">
        <v>133</v>
      </c>
      <c r="C32" s="1">
        <f>C30-C31</f>
        <v>660</v>
      </c>
      <c r="D32" s="1">
        <f>D30-D31</f>
        <v>600</v>
      </c>
      <c r="E32" s="1">
        <f>E30-E31</f>
        <v>600</v>
      </c>
      <c r="F32" s="1">
        <f>F30-F31</f>
        <v>750</v>
      </c>
      <c r="G32" s="1">
        <f>G30-G31</f>
        <v>735</v>
      </c>
      <c r="H32" s="27">
        <f>H30-H31</f>
        <v>710</v>
      </c>
      <c r="I32" s="2"/>
      <c r="J32" s="2"/>
    </row>
    <row r="33">
      <c r="A33" s="3"/>
      <c r="B33" s="19" t="s">
        <v>134</v>
      </c>
      <c r="C33" s="6">
        <f>IFERROR(C30/C31-1,"n/a")</f>
        <v>0.031685069611137706</v>
      </c>
      <c r="D33" s="6">
        <f>IFERROR(D30/D31-1,"n/a")</f>
        <v>0.028728752693320647</v>
      </c>
      <c r="E33" s="6">
        <f>IFERROR(E30/E31-1,"n/a")</f>
        <v>0.028728752693320647</v>
      </c>
      <c r="F33" s="6">
        <f>IFERROR(F30/F31-1,"n/a")</f>
        <v>0.03473830477072726</v>
      </c>
      <c r="G33" s="6">
        <f>IFERROR(G30/G31-1,"n/a")</f>
        <v>0.03413841151881103</v>
      </c>
      <c r="H33" s="50">
        <f>IFERROR(H30/H31-1,"n/a")</f>
        <v>0.033038622615169766</v>
      </c>
      <c r="I33" s="2"/>
      <c r="J33" s="2"/>
    </row>
    <row r="34">
      <c r="A34" s="3"/>
      <c r="B34" s="75" t="s">
        <v>109</v>
      </c>
      <c r="C34" s="1" t="s">
        <v>53</v>
      </c>
      <c r="D34" s="1">
        <f>D30-C30</f>
        <v>-5</v>
      </c>
      <c r="E34" s="1" t="s">
        <v>53</v>
      </c>
      <c r="F34" s="1">
        <f>F30-D30</f>
        <v>855</v>
      </c>
      <c r="G34" s="1">
        <f>G30-F30</f>
        <v>-75</v>
      </c>
      <c r="H34" s="27">
        <f>H30-G30</f>
        <v>-65</v>
      </c>
      <c r="I34" s="2"/>
      <c r="J34" s="2"/>
    </row>
    <row r="35">
      <c r="A35" s="3"/>
      <c r="B35" s="28" t="s">
        <v>135</v>
      </c>
      <c r="C35" s="1">
        <f>AVERAGE(C26,C30)</f>
        <v>21510</v>
      </c>
      <c r="D35" s="1">
        <f>AVERAGE(D26,D30)</f>
        <v>21487.5</v>
      </c>
      <c r="E35" s="1">
        <f>AVERAGE(E26,E30)</f>
        <v>21185</v>
      </c>
      <c r="F35" s="1">
        <f>AVERAGE(F26,F30)</f>
        <v>21912.5</v>
      </c>
      <c r="G35" s="1">
        <f>AVERAGE(G26,G30)</f>
        <v>22302.5</v>
      </c>
      <c r="H35" s="27">
        <f>AVERAGE(H26,H30)</f>
        <v>22232.5</v>
      </c>
      <c r="I35" s="2" t="s">
        <v>136</v>
      </c>
      <c r="J35" s="2"/>
    </row>
    <row r="36">
      <c r="A36" s="3"/>
      <c r="B36" s="19" t="s">
        <v>134</v>
      </c>
      <c r="C36" s="6" t="s">
        <v>53</v>
      </c>
      <c r="D36" s="6" t="s">
        <v>53</v>
      </c>
      <c r="E36" s="6" t="s">
        <v>53</v>
      </c>
      <c r="F36" s="6" t="s">
        <v>53</v>
      </c>
      <c r="G36" s="6" t="s">
        <v>53</v>
      </c>
      <c r="H36" s="50">
        <f>H35/C35-1</f>
        <v>0.03358902835890287</v>
      </c>
      <c r="I36" s="2"/>
      <c r="J36" s="2"/>
    </row>
    <row r="37">
      <c r="A37" s="3"/>
      <c r="B37" s="75" t="s">
        <v>109</v>
      </c>
      <c r="C37" s="1" t="s">
        <v>53</v>
      </c>
      <c r="D37" s="1">
        <f>IFERROR(D35-C35,"n/a")</f>
        <v>-22.5</v>
      </c>
      <c r="E37" s="1" t="s">
        <v>53</v>
      </c>
      <c r="F37" s="1">
        <f>IFERROR(F35-D35,"n/a")</f>
        <v>425</v>
      </c>
      <c r="G37" s="1">
        <f>IFERROR(G35-F35,"n/a")</f>
        <v>390</v>
      </c>
      <c r="H37" s="27">
        <f>IFERROR(H35-G35,"n/a")</f>
        <v>-70</v>
      </c>
      <c r="I37" s="2"/>
      <c r="J37" s="2"/>
    </row>
    <row r="38">
      <c r="A38" s="3"/>
      <c r="B38" s="69" t="s">
        <v>138</v>
      </c>
      <c r="C38" s="3"/>
      <c r="D38" s="3"/>
      <c r="E38" s="3"/>
      <c r="F38" s="3"/>
      <c r="G38" s="3"/>
      <c r="H38" s="13"/>
      <c r="I38" s="2"/>
      <c r="J38" s="2"/>
    </row>
    <row r="39">
      <c r="A39" s="3"/>
      <c r="B39" s="28" t="s">
        <v>123</v>
      </c>
      <c r="C39" s="31">
        <v>8350</v>
      </c>
      <c r="D39" s="1">
        <f>C43</f>
        <v>8435</v>
      </c>
      <c r="E39" s="1">
        <f>D44</f>
        <v>7845</v>
      </c>
      <c r="F39" s="1">
        <f>D43</f>
        <v>8445</v>
      </c>
      <c r="G39" s="1">
        <f>F43</f>
        <v>7555</v>
      </c>
      <c r="H39" s="27">
        <f>G43</f>
        <v>7565</v>
      </c>
      <c r="I39" s="2" t="s">
        <v>124</v>
      </c>
      <c r="J39" s="2"/>
    </row>
    <row r="40">
      <c r="A40" s="3"/>
      <c r="B40" s="28" t="s">
        <v>125</v>
      </c>
      <c r="C40" s="1" t="s">
        <v>94</v>
      </c>
      <c r="D40" s="1" t="s">
        <v>94</v>
      </c>
      <c r="E40" s="1" t="s">
        <v>94</v>
      </c>
      <c r="F40" s="1" t="s">
        <v>94</v>
      </c>
      <c r="G40" s="1" t="s">
        <v>94</v>
      </c>
      <c r="H40" s="27" t="s">
        <v>94</v>
      </c>
      <c r="I40" s="2" t="s">
        <v>110</v>
      </c>
      <c r="J40" s="2"/>
    </row>
    <row r="41">
      <c r="A41" s="3"/>
      <c r="B41" s="28" t="s">
        <v>126</v>
      </c>
      <c r="C41" s="1" t="s">
        <v>94</v>
      </c>
      <c r="D41" s="1" t="s">
        <v>94</v>
      </c>
      <c r="E41" s="1" t="s">
        <v>94</v>
      </c>
      <c r="F41" s="1" t="s">
        <v>94</v>
      </c>
      <c r="G41" s="1" t="s">
        <v>94</v>
      </c>
      <c r="H41" s="27" t="s">
        <v>94</v>
      </c>
      <c r="I41" s="2" t="s">
        <v>110</v>
      </c>
      <c r="J41" s="2"/>
    </row>
    <row r="42">
      <c r="A42" s="3"/>
      <c r="B42" s="28" t="s">
        <v>127</v>
      </c>
      <c r="C42" s="1">
        <f>C43-C39</f>
        <v>85</v>
      </c>
      <c r="D42" s="1">
        <f>D43-D39</f>
        <v>10</v>
      </c>
      <c r="E42" s="1">
        <f>E43-E39</f>
        <v>600</v>
      </c>
      <c r="F42" s="1">
        <f>F43-F39</f>
        <v>-890</v>
      </c>
      <c r="G42" s="1">
        <f>G43-G39</f>
        <v>10</v>
      </c>
      <c r="H42" s="20">
        <v>-100</v>
      </c>
      <c r="I42" s="2" t="s">
        <v>128</v>
      </c>
      <c r="J42" s="2"/>
    </row>
    <row r="43">
      <c r="A43" s="3"/>
      <c r="B43" s="86" t="s">
        <v>129</v>
      </c>
      <c r="C43" s="57">
        <v>8435</v>
      </c>
      <c r="D43" s="57">
        <v>8445</v>
      </c>
      <c r="E43" s="8">
        <f>D43</f>
        <v>8445</v>
      </c>
      <c r="F43" s="57">
        <v>7555</v>
      </c>
      <c r="G43" s="57">
        <v>7565</v>
      </c>
      <c r="H43" s="29">
        <f>H39+H42</f>
        <v>7465</v>
      </c>
      <c r="I43" s="2" t="s">
        <v>130</v>
      </c>
      <c r="J43" s="2"/>
    </row>
    <row r="44">
      <c r="A44" s="3"/>
      <c r="B44" s="75" t="s">
        <v>131</v>
      </c>
      <c r="C44" s="31">
        <v>7810</v>
      </c>
      <c r="D44" s="31">
        <v>7845</v>
      </c>
      <c r="E44" s="1">
        <f>D44</f>
        <v>7845</v>
      </c>
      <c r="F44" s="31">
        <v>8245</v>
      </c>
      <c r="G44" s="31">
        <v>8350</v>
      </c>
      <c r="H44" s="27">
        <f>C43</f>
        <v>8435</v>
      </c>
      <c r="I44" s="2" t="s">
        <v>132</v>
      </c>
      <c r="J44" s="2"/>
    </row>
    <row r="45">
      <c r="A45" s="3"/>
      <c r="B45" s="75" t="s">
        <v>133</v>
      </c>
      <c r="C45" s="1">
        <f>C43-C44</f>
        <v>625</v>
      </c>
      <c r="D45" s="1">
        <f>D43-D44</f>
        <v>600</v>
      </c>
      <c r="E45" s="1">
        <f>E43-E44</f>
        <v>600</v>
      </c>
      <c r="F45" s="1">
        <f>F43-F44</f>
        <v>-690</v>
      </c>
      <c r="G45" s="1">
        <f>G43-G44</f>
        <v>-785</v>
      </c>
      <c r="H45" s="27">
        <f>H43-H44</f>
        <v>-970</v>
      </c>
      <c r="I45" s="2"/>
      <c r="J45" s="2"/>
    </row>
    <row r="46">
      <c r="A46" s="3"/>
      <c r="B46" s="19" t="s">
        <v>134</v>
      </c>
      <c r="C46" s="6">
        <f>IFERROR(C43/C44-1,"n/a")</f>
        <v>0.08002560819462223</v>
      </c>
      <c r="D46" s="6">
        <f>IFERROR(D43/D44-1,"n/a")</f>
        <v>0.07648183556405352</v>
      </c>
      <c r="E46" s="6">
        <f>IFERROR(E43/E44-1,"n/a")</f>
        <v>0.07648183556405352</v>
      </c>
      <c r="F46" s="6">
        <f>IFERROR(F43/F44-1,"n/a")</f>
        <v>-0.08368708308065498</v>
      </c>
      <c r="G46" s="6">
        <f>IFERROR(G43/G44-1,"n/a")</f>
        <v>-0.09401197604790423</v>
      </c>
      <c r="H46" s="50">
        <f>IFERROR(H43/H44-1,"n/a")</f>
        <v>-0.11499703615886192</v>
      </c>
      <c r="I46" s="2"/>
      <c r="J46" s="2"/>
    </row>
    <row r="47">
      <c r="A47" s="3"/>
      <c r="B47" s="75" t="s">
        <v>109</v>
      </c>
      <c r="C47" s="1" t="s">
        <v>53</v>
      </c>
      <c r="D47" s="1">
        <f>D43-C43</f>
        <v>10</v>
      </c>
      <c r="E47" s="1" t="s">
        <v>53</v>
      </c>
      <c r="F47" s="1">
        <f>F43-D43</f>
        <v>-890</v>
      </c>
      <c r="G47" s="1">
        <f>G43-F43</f>
        <v>10</v>
      </c>
      <c r="H47" s="27">
        <f>H43-G43</f>
        <v>-100</v>
      </c>
      <c r="I47" s="2"/>
      <c r="J47" s="2"/>
    </row>
    <row r="48">
      <c r="A48" s="3"/>
      <c r="B48" s="28" t="s">
        <v>135</v>
      </c>
      <c r="C48" s="1">
        <f>AVERAGE(C39,C43)</f>
        <v>8392.5</v>
      </c>
      <c r="D48" s="1">
        <f>AVERAGE(D39,D43)</f>
        <v>8440</v>
      </c>
      <c r="E48" s="1">
        <f>AVERAGE(E39,E43)</f>
        <v>8145</v>
      </c>
      <c r="F48" s="1">
        <f>AVERAGE(F39,F43)</f>
        <v>8000</v>
      </c>
      <c r="G48" s="1">
        <f>AVERAGE(G39,G43)</f>
        <v>7560</v>
      </c>
      <c r="H48" s="27">
        <f>AVERAGE(H39,H43)</f>
        <v>7515</v>
      </c>
      <c r="I48" s="2" t="s">
        <v>136</v>
      </c>
      <c r="J48" s="2"/>
    </row>
    <row r="49">
      <c r="A49" s="3"/>
      <c r="B49" s="19" t="s">
        <v>134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50">
        <f>H48/C48-1</f>
        <v>-0.1045576407506702</v>
      </c>
      <c r="I49" s="2"/>
      <c r="J49" s="2"/>
    </row>
    <row r="50">
      <c r="A50" s="3"/>
      <c r="B50" s="75" t="s">
        <v>109</v>
      </c>
      <c r="C50" s="1" t="s">
        <v>53</v>
      </c>
      <c r="D50" s="1">
        <f>IFERROR(D48-C48,"n/a")</f>
        <v>47.5</v>
      </c>
      <c r="E50" s="1" t="s">
        <v>53</v>
      </c>
      <c r="F50" s="1">
        <f>IFERROR(F48-D48,"n/a")</f>
        <v>-440</v>
      </c>
      <c r="G50" s="1">
        <f>IFERROR(G48-F48,"n/a")</f>
        <v>-440</v>
      </c>
      <c r="H50" s="27">
        <f>IFERROR(H48-G48,"n/a")</f>
        <v>-45</v>
      </c>
      <c r="I50" s="2"/>
      <c r="J50" s="2"/>
    </row>
    <row r="51">
      <c r="A51" s="3"/>
      <c r="B51" s="69" t="s">
        <v>139</v>
      </c>
      <c r="C51" s="3"/>
      <c r="D51" s="3"/>
      <c r="E51" s="3"/>
      <c r="F51" s="3"/>
      <c r="G51" s="3"/>
      <c r="H51" s="13"/>
      <c r="I51" s="2"/>
      <c r="J51" s="2"/>
    </row>
    <row r="52">
      <c r="A52" s="3"/>
      <c r="B52" s="28" t="s">
        <v>123</v>
      </c>
      <c r="C52" s="31">
        <v>7490</v>
      </c>
      <c r="D52" s="1">
        <f>C56</f>
        <v>7460</v>
      </c>
      <c r="E52" s="1">
        <f>D57</f>
        <v>7435</v>
      </c>
      <c r="F52" s="1">
        <f>D56</f>
        <v>7380</v>
      </c>
      <c r="G52" s="1">
        <f>F56</f>
        <v>7160</v>
      </c>
      <c r="H52" s="27">
        <f>G56</f>
        <v>6780</v>
      </c>
      <c r="I52" s="2" t="s">
        <v>124</v>
      </c>
      <c r="J52" s="2"/>
    </row>
    <row r="53">
      <c r="A53" s="3"/>
      <c r="B53" s="28" t="s">
        <v>125</v>
      </c>
      <c r="C53" s="1" t="s">
        <v>94</v>
      </c>
      <c r="D53" s="1" t="s">
        <v>94</v>
      </c>
      <c r="E53" s="1" t="s">
        <v>94</v>
      </c>
      <c r="F53" s="1" t="s">
        <v>94</v>
      </c>
      <c r="G53" s="1" t="s">
        <v>94</v>
      </c>
      <c r="H53" s="27" t="s">
        <v>94</v>
      </c>
      <c r="I53" s="2" t="s">
        <v>110</v>
      </c>
      <c r="J53" s="2"/>
    </row>
    <row r="54">
      <c r="A54" s="3"/>
      <c r="B54" s="28" t="s">
        <v>126</v>
      </c>
      <c r="C54" s="1" t="s">
        <v>94</v>
      </c>
      <c r="D54" s="1" t="s">
        <v>94</v>
      </c>
      <c r="E54" s="1" t="s">
        <v>94</v>
      </c>
      <c r="F54" s="1" t="s">
        <v>94</v>
      </c>
      <c r="G54" s="1" t="s">
        <v>94</v>
      </c>
      <c r="H54" s="27" t="s">
        <v>94</v>
      </c>
      <c r="I54" s="2" t="s">
        <v>110</v>
      </c>
      <c r="J54" s="2"/>
    </row>
    <row r="55">
      <c r="A55" s="3"/>
      <c r="B55" s="28" t="s">
        <v>127</v>
      </c>
      <c r="C55" s="1">
        <f>C56-C52</f>
        <v>-30</v>
      </c>
      <c r="D55" s="1">
        <f>D56-D52</f>
        <v>-80</v>
      </c>
      <c r="E55" s="1">
        <f>E56-E52</f>
        <v>-55</v>
      </c>
      <c r="F55" s="1">
        <f>F56-F52</f>
        <v>-220</v>
      </c>
      <c r="G55" s="1">
        <f>G56-G52</f>
        <v>-380</v>
      </c>
      <c r="H55" s="20">
        <v>-130</v>
      </c>
      <c r="I55" s="2" t="s">
        <v>128</v>
      </c>
      <c r="J55" s="2"/>
    </row>
    <row r="56">
      <c r="A56" s="3"/>
      <c r="B56" s="86" t="s">
        <v>129</v>
      </c>
      <c r="C56" s="57">
        <v>7460</v>
      </c>
      <c r="D56" s="57">
        <v>7380</v>
      </c>
      <c r="E56" s="8">
        <f>D56</f>
        <v>7380</v>
      </c>
      <c r="F56" s="57">
        <v>7160</v>
      </c>
      <c r="G56" s="57">
        <v>6780</v>
      </c>
      <c r="H56" s="29">
        <f>H52+H55</f>
        <v>6650</v>
      </c>
      <c r="I56" s="2" t="s">
        <v>130</v>
      </c>
      <c r="J56" s="2"/>
    </row>
    <row r="57">
      <c r="A57" s="3"/>
      <c r="B57" s="75" t="s">
        <v>131</v>
      </c>
      <c r="C57" s="31">
        <v>7450</v>
      </c>
      <c r="D57" s="31">
        <v>7435</v>
      </c>
      <c r="E57" s="1">
        <f>D57</f>
        <v>7435</v>
      </c>
      <c r="F57" s="31">
        <v>7570</v>
      </c>
      <c r="G57" s="31">
        <v>7490</v>
      </c>
      <c r="H57" s="27">
        <f>C56</f>
        <v>7460</v>
      </c>
      <c r="I57" s="2" t="s">
        <v>132</v>
      </c>
      <c r="J57" s="2"/>
    </row>
    <row r="58">
      <c r="A58" s="3"/>
      <c r="B58" s="75" t="s">
        <v>133</v>
      </c>
      <c r="C58" s="1">
        <f>C56-C57</f>
        <v>10</v>
      </c>
      <c r="D58" s="1">
        <f>D56-D57</f>
        <v>-55</v>
      </c>
      <c r="E58" s="1">
        <f>E56-E57</f>
        <v>-55</v>
      </c>
      <c r="F58" s="1">
        <f>F56-F57</f>
        <v>-410</v>
      </c>
      <c r="G58" s="1">
        <f>G56-G57</f>
        <v>-710</v>
      </c>
      <c r="H58" s="27">
        <f>H56-H57</f>
        <v>-810</v>
      </c>
      <c r="I58" s="2"/>
      <c r="J58" s="2"/>
    </row>
    <row r="59">
      <c r="A59" s="3"/>
      <c r="B59" s="19" t="s">
        <v>134</v>
      </c>
      <c r="C59" s="6">
        <f>IFERROR(C56/C57-1,"n/a")</f>
        <v>0.0013422818791946067</v>
      </c>
      <c r="D59" s="6">
        <f>IFERROR(D56/D57-1,"n/a")</f>
        <v>-0.00739744451916613</v>
      </c>
      <c r="E59" s="6">
        <f>IFERROR(E56/E57-1,"n/a")</f>
        <v>-0.00739744451916613</v>
      </c>
      <c r="F59" s="6">
        <f>IFERROR(F56/F57-1,"n/a")</f>
        <v>-0.05416116248348746</v>
      </c>
      <c r="G59" s="6">
        <f>IFERROR(G56/G57-1,"n/a")</f>
        <v>-0.09479305740987987</v>
      </c>
      <c r="H59" s="50">
        <f>IFERROR(H56/H57-1,"n/a")</f>
        <v>-0.10857908847184983</v>
      </c>
      <c r="I59" s="2"/>
      <c r="J59" s="2"/>
    </row>
    <row r="60">
      <c r="A60" s="3"/>
      <c r="B60" s="75" t="s">
        <v>109</v>
      </c>
      <c r="C60" s="1" t="s">
        <v>53</v>
      </c>
      <c r="D60" s="1">
        <f>D56-C56</f>
        <v>-80</v>
      </c>
      <c r="E60" s="1" t="s">
        <v>53</v>
      </c>
      <c r="F60" s="1">
        <f>F56-D56</f>
        <v>-220</v>
      </c>
      <c r="G60" s="1">
        <f>G56-F56</f>
        <v>-380</v>
      </c>
      <c r="H60" s="27">
        <f>H56-G56</f>
        <v>-130</v>
      </c>
      <c r="I60" s="2"/>
      <c r="J60" s="2"/>
    </row>
    <row r="61">
      <c r="A61" s="3"/>
      <c r="B61" s="28" t="s">
        <v>135</v>
      </c>
      <c r="C61" s="1">
        <f>AVERAGE(C52,C56)</f>
        <v>7475</v>
      </c>
      <c r="D61" s="1">
        <f>AVERAGE(D52,D56)</f>
        <v>7420</v>
      </c>
      <c r="E61" s="1">
        <f>AVERAGE(E52,E56)</f>
        <v>7407.5</v>
      </c>
      <c r="F61" s="1">
        <f>AVERAGE(F52,F56)</f>
        <v>7270</v>
      </c>
      <c r="G61" s="1">
        <f>AVERAGE(G52,G56)</f>
        <v>6970</v>
      </c>
      <c r="H61" s="27">
        <f>AVERAGE(H52,H56)</f>
        <v>6715</v>
      </c>
      <c r="I61" s="2" t="s">
        <v>136</v>
      </c>
      <c r="J61" s="2"/>
    </row>
    <row r="62">
      <c r="A62" s="3"/>
      <c r="B62" s="19" t="s">
        <v>134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50">
        <f>H61/C61-1</f>
        <v>-0.10167224080267556</v>
      </c>
      <c r="I62" s="2"/>
      <c r="J62" s="2"/>
    </row>
    <row r="63">
      <c r="A63" s="3"/>
      <c r="B63" s="75" t="s">
        <v>109</v>
      </c>
      <c r="C63" s="1" t="s">
        <v>53</v>
      </c>
      <c r="D63" s="1">
        <f>IFERROR(D61-C61,"n/a")</f>
        <v>-55</v>
      </c>
      <c r="E63" s="1" t="s">
        <v>53</v>
      </c>
      <c r="F63" s="1">
        <f>IFERROR(F61-D61,"n/a")</f>
        <v>-150</v>
      </c>
      <c r="G63" s="1">
        <f>IFERROR(G61-F61,"n/a")</f>
        <v>-300</v>
      </c>
      <c r="H63" s="27">
        <f>IFERROR(H61-G61,"n/a")</f>
        <v>-255</v>
      </c>
      <c r="I63" s="2"/>
      <c r="J63" s="2"/>
    </row>
    <row r="64">
      <c r="A64" s="3"/>
      <c r="B64" s="69" t="s">
        <v>140</v>
      </c>
      <c r="C64" s="3"/>
      <c r="D64" s="3"/>
      <c r="E64" s="3"/>
      <c r="F64" s="3"/>
      <c r="G64" s="3"/>
      <c r="H64" s="13"/>
      <c r="I64" s="2"/>
      <c r="J64" s="2"/>
    </row>
    <row r="65">
      <c r="A65" s="3"/>
      <c r="B65" s="28" t="s">
        <v>123</v>
      </c>
      <c r="C65" s="31">
        <v>4305</v>
      </c>
      <c r="D65" s="1">
        <f>C69</f>
        <v>4300</v>
      </c>
      <c r="E65" s="1">
        <f>D70</f>
        <v>4335</v>
      </c>
      <c r="F65" s="1">
        <f>D69</f>
        <v>4285</v>
      </c>
      <c r="G65" s="1">
        <f>F69</f>
        <v>4270</v>
      </c>
      <c r="H65" s="27">
        <f>G69</f>
        <v>4260</v>
      </c>
      <c r="I65" s="2" t="s">
        <v>124</v>
      </c>
      <c r="J65" s="2"/>
    </row>
    <row r="66">
      <c r="A66" s="3"/>
      <c r="B66" s="28" t="s">
        <v>125</v>
      </c>
      <c r="C66" s="1" t="s">
        <v>94</v>
      </c>
      <c r="D66" s="1" t="s">
        <v>94</v>
      </c>
      <c r="E66" s="1" t="s">
        <v>94</v>
      </c>
      <c r="F66" s="1" t="s">
        <v>94</v>
      </c>
      <c r="G66" s="1" t="s">
        <v>94</v>
      </c>
      <c r="H66" s="27" t="s">
        <v>94</v>
      </c>
      <c r="I66" s="2" t="s">
        <v>110</v>
      </c>
      <c r="J66" s="2"/>
    </row>
    <row r="67">
      <c r="A67" s="3"/>
      <c r="B67" s="28" t="s">
        <v>126</v>
      </c>
      <c r="C67" s="1" t="s">
        <v>94</v>
      </c>
      <c r="D67" s="1" t="s">
        <v>94</v>
      </c>
      <c r="E67" s="1" t="s">
        <v>94</v>
      </c>
      <c r="F67" s="1" t="s">
        <v>94</v>
      </c>
      <c r="G67" s="1" t="s">
        <v>94</v>
      </c>
      <c r="H67" s="27" t="s">
        <v>94</v>
      </c>
      <c r="I67" s="2" t="s">
        <v>110</v>
      </c>
      <c r="J67" s="2"/>
    </row>
    <row r="68">
      <c r="A68" s="3"/>
      <c r="B68" s="28" t="s">
        <v>127</v>
      </c>
      <c r="C68" s="1">
        <f>C69-C65</f>
        <v>-5</v>
      </c>
      <c r="D68" s="1">
        <f>D69-D65</f>
        <v>-15</v>
      </c>
      <c r="E68" s="1">
        <f>E69-E65</f>
        <v>-50</v>
      </c>
      <c r="F68" s="1">
        <f>F69-F65</f>
        <v>-15</v>
      </c>
      <c r="G68" s="1">
        <f>G69-G65</f>
        <v>-10</v>
      </c>
      <c r="H68" s="20">
        <v>-10</v>
      </c>
      <c r="I68" s="2" t="s">
        <v>128</v>
      </c>
      <c r="J68" s="2"/>
    </row>
    <row r="69">
      <c r="A69" s="3"/>
      <c r="B69" s="86" t="s">
        <v>129</v>
      </c>
      <c r="C69" s="57">
        <v>4300</v>
      </c>
      <c r="D69" s="57">
        <v>4285</v>
      </c>
      <c r="E69" s="8">
        <f>D69</f>
        <v>4285</v>
      </c>
      <c r="F69" s="57">
        <v>4270</v>
      </c>
      <c r="G69" s="57">
        <v>4260</v>
      </c>
      <c r="H69" s="29">
        <f>H65+H68</f>
        <v>4250</v>
      </c>
      <c r="I69" s="2" t="s">
        <v>130</v>
      </c>
      <c r="J69" s="2"/>
    </row>
    <row r="70">
      <c r="A70" s="3"/>
      <c r="B70" s="75" t="s">
        <v>131</v>
      </c>
      <c r="C70" s="31">
        <v>4340</v>
      </c>
      <c r="D70" s="31">
        <v>4335</v>
      </c>
      <c r="E70" s="1">
        <f>D70</f>
        <v>4335</v>
      </c>
      <c r="F70" s="31">
        <v>4310</v>
      </c>
      <c r="G70" s="31">
        <v>4305</v>
      </c>
      <c r="H70" s="27">
        <f>C69</f>
        <v>4300</v>
      </c>
      <c r="I70" s="2" t="s">
        <v>132</v>
      </c>
      <c r="J70" s="2"/>
    </row>
    <row r="71">
      <c r="A71" s="3"/>
      <c r="B71" s="75" t="s">
        <v>133</v>
      </c>
      <c r="C71" s="1">
        <f>C69-C70</f>
        <v>-40</v>
      </c>
      <c r="D71" s="1">
        <f>D69-D70</f>
        <v>-50</v>
      </c>
      <c r="E71" s="1">
        <f>E69-E70</f>
        <v>-50</v>
      </c>
      <c r="F71" s="1">
        <f>F69-F70</f>
        <v>-40</v>
      </c>
      <c r="G71" s="1">
        <f>G69-G70</f>
        <v>-45</v>
      </c>
      <c r="H71" s="27">
        <f>H69-H70</f>
        <v>-50</v>
      </c>
      <c r="I71" s="2"/>
      <c r="J71" s="2"/>
    </row>
    <row r="72">
      <c r="A72" s="3"/>
      <c r="B72" s="19" t="s">
        <v>134</v>
      </c>
      <c r="C72" s="6">
        <f>IFERROR(C69/C70-1,"n/a")</f>
        <v>-0.009216589861751112</v>
      </c>
      <c r="D72" s="6">
        <f>IFERROR(D69/D70-1,"n/a")</f>
        <v>-0.011534025374855816</v>
      </c>
      <c r="E72" s="6">
        <f>IFERROR(E69/E70-1,"n/a")</f>
        <v>-0.011534025374855816</v>
      </c>
      <c r="F72" s="6">
        <f>IFERROR(F69/F70-1,"n/a")</f>
        <v>-0.009280742459396807</v>
      </c>
      <c r="G72" s="6">
        <f>IFERROR(G69/G70-1,"n/a")</f>
        <v>-0.010452961672473893</v>
      </c>
      <c r="H72" s="50">
        <f>IFERROR(H69/H70-1,"n/a")</f>
        <v>-0.011627906976744207</v>
      </c>
      <c r="I72" s="2"/>
      <c r="J72" s="2"/>
    </row>
    <row r="73">
      <c r="A73" s="3"/>
      <c r="B73" s="75" t="s">
        <v>109</v>
      </c>
      <c r="C73" s="1" t="s">
        <v>53</v>
      </c>
      <c r="D73" s="1">
        <f>D69-C69</f>
        <v>-15</v>
      </c>
      <c r="E73" s="1" t="s">
        <v>53</v>
      </c>
      <c r="F73" s="1">
        <f>F69-D69</f>
        <v>-15</v>
      </c>
      <c r="G73" s="1">
        <f>G69-F69</f>
        <v>-10</v>
      </c>
      <c r="H73" s="27">
        <f>H69-G69</f>
        <v>-10</v>
      </c>
      <c r="I73" s="2"/>
      <c r="J73" s="2"/>
    </row>
    <row r="74">
      <c r="A74" s="3"/>
      <c r="B74" s="28" t="s">
        <v>135</v>
      </c>
      <c r="C74" s="1">
        <f>AVERAGE(C65,C69)</f>
        <v>4302.5</v>
      </c>
      <c r="D74" s="1">
        <f>AVERAGE(D65,D69)</f>
        <v>4292.5</v>
      </c>
      <c r="E74" s="1">
        <f>AVERAGE(E65,E69)</f>
        <v>4310</v>
      </c>
      <c r="F74" s="1">
        <f>AVERAGE(F65,F69)</f>
        <v>4277.5</v>
      </c>
      <c r="G74" s="1">
        <f>AVERAGE(G65,G69)</f>
        <v>4265</v>
      </c>
      <c r="H74" s="27">
        <f>AVERAGE(H65,H69)</f>
        <v>4255</v>
      </c>
      <c r="I74" s="2" t="s">
        <v>136</v>
      </c>
      <c r="J74" s="2"/>
    </row>
    <row r="75">
      <c r="A75" s="3"/>
      <c r="B75" s="19" t="s">
        <v>134</v>
      </c>
      <c r="C75" s="6" t="s">
        <v>53</v>
      </c>
      <c r="D75" s="6" t="s">
        <v>53</v>
      </c>
      <c r="E75" s="6" t="s">
        <v>53</v>
      </c>
      <c r="F75" s="6" t="s">
        <v>53</v>
      </c>
      <c r="G75" s="6" t="s">
        <v>53</v>
      </c>
      <c r="H75" s="50">
        <f>H74/C74-1</f>
        <v>-0.01104009296920394</v>
      </c>
      <c r="I75" s="2"/>
      <c r="J75" s="2"/>
    </row>
    <row r="76">
      <c r="A76" s="3"/>
      <c r="B76" s="75" t="s">
        <v>109</v>
      </c>
      <c r="C76" s="1" t="s">
        <v>53</v>
      </c>
      <c r="D76" s="1">
        <f>IFERROR(D74-C74,"n/a")</f>
        <v>-10</v>
      </c>
      <c r="E76" s="1" t="s">
        <v>53</v>
      </c>
      <c r="F76" s="1">
        <f>IFERROR(F74-D74,"n/a")</f>
        <v>-15</v>
      </c>
      <c r="G76" s="1">
        <f>IFERROR(G74-F74,"n/a")</f>
        <v>-12.5</v>
      </c>
      <c r="H76" s="27">
        <f>IFERROR(H74-G74,"n/a")</f>
        <v>-10</v>
      </c>
      <c r="I76" s="2"/>
      <c r="J76" s="2"/>
    </row>
    <row r="77">
      <c r="A77" s="3"/>
      <c r="B77" s="69" t="s">
        <v>141</v>
      </c>
      <c r="C77" s="3"/>
      <c r="D77" s="3"/>
      <c r="E77" s="3"/>
      <c r="F77" s="3"/>
      <c r="G77" s="3"/>
      <c r="H77" s="13"/>
      <c r="I77" s="2"/>
      <c r="J77" s="2"/>
    </row>
    <row r="78">
      <c r="A78" s="3"/>
      <c r="B78" s="28" t="s">
        <v>123</v>
      </c>
      <c r="C78" s="31">
        <v>2800</v>
      </c>
      <c r="D78" s="1">
        <f>C82</f>
        <v>2795</v>
      </c>
      <c r="E78" s="1">
        <f>D83</f>
        <v>3050</v>
      </c>
      <c r="F78" s="1">
        <f>D82</f>
        <v>2770</v>
      </c>
      <c r="G78" s="1">
        <f>F82</f>
        <v>2740</v>
      </c>
      <c r="H78" s="27">
        <f>G82</f>
        <v>2710</v>
      </c>
      <c r="I78" s="2" t="s">
        <v>124</v>
      </c>
      <c r="J78" s="2"/>
    </row>
    <row r="79">
      <c r="A79" s="3"/>
      <c r="B79" s="28" t="s">
        <v>125</v>
      </c>
      <c r="C79" s="1" t="s">
        <v>94</v>
      </c>
      <c r="D79" s="1" t="s">
        <v>94</v>
      </c>
      <c r="E79" s="1" t="s">
        <v>94</v>
      </c>
      <c r="F79" s="1" t="s">
        <v>94</v>
      </c>
      <c r="G79" s="1" t="s">
        <v>94</v>
      </c>
      <c r="H79" s="27" t="s">
        <v>94</v>
      </c>
      <c r="I79" s="2" t="s">
        <v>110</v>
      </c>
      <c r="J79" s="2"/>
    </row>
    <row r="80">
      <c r="A80" s="3"/>
      <c r="B80" s="28" t="s">
        <v>126</v>
      </c>
      <c r="C80" s="1" t="s">
        <v>94</v>
      </c>
      <c r="D80" s="1" t="s">
        <v>94</v>
      </c>
      <c r="E80" s="1" t="s">
        <v>94</v>
      </c>
      <c r="F80" s="1" t="s">
        <v>94</v>
      </c>
      <c r="G80" s="1" t="s">
        <v>94</v>
      </c>
      <c r="H80" s="27" t="s">
        <v>94</v>
      </c>
      <c r="I80" s="2" t="s">
        <v>110</v>
      </c>
      <c r="J80" s="2"/>
    </row>
    <row r="81">
      <c r="A81" s="3"/>
      <c r="B81" s="28" t="s">
        <v>127</v>
      </c>
      <c r="C81" s="1">
        <f>C82-C78</f>
        <v>-5</v>
      </c>
      <c r="D81" s="1">
        <f>D82-D78</f>
        <v>-25</v>
      </c>
      <c r="E81" s="1">
        <f>E82-E78</f>
        <v>-280</v>
      </c>
      <c r="F81" s="1">
        <f>F82-F78</f>
        <v>-30</v>
      </c>
      <c r="G81" s="1">
        <f>G82-G78</f>
        <v>-30</v>
      </c>
      <c r="H81" s="20">
        <v>-20</v>
      </c>
      <c r="I81" s="2" t="s">
        <v>128</v>
      </c>
      <c r="J81" s="2"/>
    </row>
    <row r="82">
      <c r="A82" s="3"/>
      <c r="B82" s="86" t="s">
        <v>129</v>
      </c>
      <c r="C82" s="57">
        <v>2795</v>
      </c>
      <c r="D82" s="57">
        <v>2770</v>
      </c>
      <c r="E82" s="8">
        <f>D82</f>
        <v>2770</v>
      </c>
      <c r="F82" s="57">
        <v>2740</v>
      </c>
      <c r="G82" s="57">
        <v>2710</v>
      </c>
      <c r="H82" s="29">
        <f>H78+H81</f>
        <v>2690</v>
      </c>
      <c r="I82" s="2" t="s">
        <v>130</v>
      </c>
      <c r="J82" s="2"/>
    </row>
    <row r="83">
      <c r="A83" s="3"/>
      <c r="B83" s="75" t="s">
        <v>131</v>
      </c>
      <c r="C83" s="31">
        <v>3055</v>
      </c>
      <c r="D83" s="31">
        <v>3050</v>
      </c>
      <c r="E83" s="1">
        <f>D83</f>
        <v>3050</v>
      </c>
      <c r="F83" s="31">
        <v>2835</v>
      </c>
      <c r="G83" s="31">
        <v>2800</v>
      </c>
      <c r="H83" s="27">
        <f>C82</f>
        <v>2795</v>
      </c>
      <c r="I83" s="2" t="s">
        <v>132</v>
      </c>
      <c r="J83" s="2"/>
    </row>
    <row r="84">
      <c r="A84" s="3"/>
      <c r="B84" s="75" t="s">
        <v>133</v>
      </c>
      <c r="C84" s="1">
        <f>C82-C83</f>
        <v>-260</v>
      </c>
      <c r="D84" s="1">
        <f>D82-D83</f>
        <v>-280</v>
      </c>
      <c r="E84" s="1">
        <f>E82-E83</f>
        <v>-280</v>
      </c>
      <c r="F84" s="1">
        <f>F82-F83</f>
        <v>-95</v>
      </c>
      <c r="G84" s="1">
        <f>G82-G83</f>
        <v>-90</v>
      </c>
      <c r="H84" s="27">
        <f>H82-H83</f>
        <v>-105</v>
      </c>
      <c r="I84" s="2"/>
      <c r="J84" s="2"/>
    </row>
    <row r="85">
      <c r="A85" s="3"/>
      <c r="B85" s="19" t="s">
        <v>134</v>
      </c>
      <c r="C85" s="6">
        <f>IFERROR(C82/C83-1,"n/a")</f>
        <v>-0.08510638297872342</v>
      </c>
      <c r="D85" s="6">
        <f>IFERROR(D82/D83-1,"n/a")</f>
        <v>-0.09180327868852456</v>
      </c>
      <c r="E85" s="6">
        <f>IFERROR(E82/E83-1,"n/a")</f>
        <v>-0.09180327868852456</v>
      </c>
      <c r="F85" s="6">
        <f>IFERROR(F82/F83-1,"n/a")</f>
        <v>-0.0335097001763669</v>
      </c>
      <c r="G85" s="6">
        <f>IFERROR(G82/G83-1,"n/a")</f>
        <v>-0.03214285714285714</v>
      </c>
      <c r="H85" s="50">
        <f>IFERROR(H82/H83-1,"n/a")</f>
        <v>-0.03756708407871201</v>
      </c>
      <c r="I85" s="2"/>
      <c r="J85" s="2"/>
    </row>
    <row r="86">
      <c r="A86" s="3"/>
      <c r="B86" s="75" t="s">
        <v>109</v>
      </c>
      <c r="C86" s="1" t="s">
        <v>53</v>
      </c>
      <c r="D86" s="1">
        <f>D82-C82</f>
        <v>-25</v>
      </c>
      <c r="E86" s="1" t="s">
        <v>53</v>
      </c>
      <c r="F86" s="1">
        <f>F82-D82</f>
        <v>-30</v>
      </c>
      <c r="G86" s="1">
        <f>G82-F82</f>
        <v>-30</v>
      </c>
      <c r="H86" s="27">
        <f>H82-G82</f>
        <v>-20</v>
      </c>
      <c r="I86" s="2"/>
      <c r="J86" s="2"/>
    </row>
    <row r="87">
      <c r="A87" s="3"/>
      <c r="B87" s="28" t="s">
        <v>135</v>
      </c>
      <c r="C87" s="1">
        <f>AVERAGE(C78,C82)</f>
        <v>2797.5</v>
      </c>
      <c r="D87" s="1">
        <f>AVERAGE(D78,D82)</f>
        <v>2782.5</v>
      </c>
      <c r="E87" s="1">
        <f>AVERAGE(E78,E82)</f>
        <v>2910</v>
      </c>
      <c r="F87" s="1">
        <f>AVERAGE(F78,F82)</f>
        <v>2755</v>
      </c>
      <c r="G87" s="1">
        <f>AVERAGE(G78,G82)</f>
        <v>2725</v>
      </c>
      <c r="H87" s="27">
        <f>AVERAGE(H78,H82)</f>
        <v>2700</v>
      </c>
      <c r="I87" s="2" t="s">
        <v>136</v>
      </c>
      <c r="J87" s="2"/>
    </row>
    <row r="88">
      <c r="A88" s="3"/>
      <c r="B88" s="19" t="s">
        <v>134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50">
        <f>H87/C87-1</f>
        <v>-0.034852546916890104</v>
      </c>
      <c r="I88" s="2"/>
      <c r="J88" s="2"/>
    </row>
    <row r="89">
      <c r="A89" s="3"/>
      <c r="B89" s="75" t="s">
        <v>109</v>
      </c>
      <c r="C89" s="1" t="s">
        <v>53</v>
      </c>
      <c r="D89" s="1">
        <f>IFERROR(D87-C87,"n/a")</f>
        <v>-15</v>
      </c>
      <c r="E89" s="1" t="s">
        <v>53</v>
      </c>
      <c r="F89" s="1">
        <f>IFERROR(F87-D87,"n/a")</f>
        <v>-27.5</v>
      </c>
      <c r="G89" s="1">
        <f>IFERROR(G87-F87,"n/a")</f>
        <v>-30</v>
      </c>
      <c r="H89" s="27">
        <f>IFERROR(H87-G87,"n/a")</f>
        <v>-25</v>
      </c>
      <c r="I89" s="2"/>
      <c r="J89" s="2"/>
    </row>
    <row r="90">
      <c r="A90" s="3"/>
      <c r="B90" s="69" t="s">
        <v>142</v>
      </c>
      <c r="C90" s="3"/>
      <c r="D90" s="3"/>
      <c r="E90" s="3"/>
      <c r="F90" s="3"/>
      <c r="G90" s="3"/>
      <c r="H90" s="13"/>
      <c r="I90" s="2"/>
      <c r="J90" s="2"/>
    </row>
    <row r="91">
      <c r="A91" s="3"/>
      <c r="B91" s="28" t="s">
        <v>123</v>
      </c>
      <c r="C91" s="31">
        <v>1165</v>
      </c>
      <c r="D91" s="1">
        <f>C95</f>
        <v>1160</v>
      </c>
      <c r="E91" s="1">
        <f>D96</f>
        <v>1330</v>
      </c>
      <c r="F91" s="1">
        <f>D95</f>
        <v>1160</v>
      </c>
      <c r="G91" s="1">
        <f>F95</f>
        <v>1160</v>
      </c>
      <c r="H91" s="27">
        <f>G95</f>
        <v>1145</v>
      </c>
      <c r="I91" s="2" t="s">
        <v>124</v>
      </c>
      <c r="J91" s="2"/>
    </row>
    <row r="92">
      <c r="A92" s="3"/>
      <c r="B92" s="28" t="s">
        <v>125</v>
      </c>
      <c r="C92" s="1" t="s">
        <v>94</v>
      </c>
      <c r="D92" s="1" t="s">
        <v>94</v>
      </c>
      <c r="E92" s="1" t="s">
        <v>94</v>
      </c>
      <c r="F92" s="1" t="s">
        <v>94</v>
      </c>
      <c r="G92" s="1" t="s">
        <v>94</v>
      </c>
      <c r="H92" s="27" t="s">
        <v>94</v>
      </c>
      <c r="I92" s="2" t="s">
        <v>110</v>
      </c>
      <c r="J92" s="2"/>
    </row>
    <row r="93">
      <c r="A93" s="3"/>
      <c r="B93" s="28" t="s">
        <v>126</v>
      </c>
      <c r="C93" s="1" t="s">
        <v>94</v>
      </c>
      <c r="D93" s="1" t="s">
        <v>94</v>
      </c>
      <c r="E93" s="1" t="s">
        <v>94</v>
      </c>
      <c r="F93" s="1" t="s">
        <v>94</v>
      </c>
      <c r="G93" s="1" t="s">
        <v>94</v>
      </c>
      <c r="H93" s="27" t="s">
        <v>94</v>
      </c>
      <c r="I93" s="2" t="s">
        <v>110</v>
      </c>
      <c r="J93" s="2"/>
    </row>
    <row r="94">
      <c r="A94" s="3"/>
      <c r="B94" s="28" t="s">
        <v>127</v>
      </c>
      <c r="C94" s="1">
        <f>C95-C91</f>
        <v>-5</v>
      </c>
      <c r="D94" s="1">
        <f>D95-D91</f>
        <v>0</v>
      </c>
      <c r="E94" s="1">
        <f>E95-E91</f>
        <v>-170</v>
      </c>
      <c r="F94" s="1">
        <f>F95-F91</f>
        <v>0</v>
      </c>
      <c r="G94" s="1">
        <f>G95-G91</f>
        <v>-15</v>
      </c>
      <c r="H94" s="20">
        <v>-5</v>
      </c>
      <c r="I94" s="2" t="s">
        <v>128</v>
      </c>
      <c r="J94" s="2"/>
    </row>
    <row r="95">
      <c r="A95" s="3"/>
      <c r="B95" s="86" t="s">
        <v>129</v>
      </c>
      <c r="C95" s="57">
        <v>1160</v>
      </c>
      <c r="D95" s="57">
        <v>1160</v>
      </c>
      <c r="E95" s="8">
        <f>D95</f>
        <v>1160</v>
      </c>
      <c r="F95" s="57">
        <v>1160</v>
      </c>
      <c r="G95" s="57">
        <v>1145</v>
      </c>
      <c r="H95" s="29">
        <f>H91+H94</f>
        <v>1140</v>
      </c>
      <c r="I95" s="2" t="s">
        <v>130</v>
      </c>
      <c r="J95" s="2"/>
    </row>
    <row r="96">
      <c r="A96" s="3"/>
      <c r="B96" s="75" t="s">
        <v>131</v>
      </c>
      <c r="C96" s="31">
        <v>1335</v>
      </c>
      <c r="D96" s="31">
        <v>1330</v>
      </c>
      <c r="E96" s="1">
        <f>D96</f>
        <v>1330</v>
      </c>
      <c r="F96" s="31">
        <v>1160</v>
      </c>
      <c r="G96" s="31">
        <v>1165</v>
      </c>
      <c r="H96" s="27">
        <f>C95</f>
        <v>1160</v>
      </c>
      <c r="I96" s="2" t="s">
        <v>132</v>
      </c>
      <c r="J96" s="2"/>
    </row>
    <row r="97">
      <c r="A97" s="3"/>
      <c r="B97" s="75" t="s">
        <v>133</v>
      </c>
      <c r="C97" s="1">
        <f>C95-C96</f>
        <v>-175</v>
      </c>
      <c r="D97" s="1">
        <f>D95-D96</f>
        <v>-170</v>
      </c>
      <c r="E97" s="1">
        <f>E95-E96</f>
        <v>-170</v>
      </c>
      <c r="F97" s="1">
        <f>F95-F96</f>
        <v>0</v>
      </c>
      <c r="G97" s="1">
        <f>G95-G96</f>
        <v>-20</v>
      </c>
      <c r="H97" s="27">
        <f>H95-H96</f>
        <v>-20</v>
      </c>
      <c r="I97" s="2"/>
      <c r="J97" s="2"/>
    </row>
    <row r="98">
      <c r="A98" s="3"/>
      <c r="B98" s="19" t="s">
        <v>134</v>
      </c>
      <c r="C98" s="6">
        <f>IFERROR(C95/C96-1,"n/a")</f>
        <v>-0.13108614232209737</v>
      </c>
      <c r="D98" s="6">
        <f>IFERROR(D95/D96-1,"n/a")</f>
        <v>-0.1278195488721805</v>
      </c>
      <c r="E98" s="6">
        <f>IFERROR(E95/E96-1,"n/a")</f>
        <v>-0.1278195488721805</v>
      </c>
      <c r="F98" s="6">
        <f>IFERROR(F95/F96-1,"n/a")</f>
        <v>0</v>
      </c>
      <c r="G98" s="6">
        <f>IFERROR(G95/G96-1,"n/a")</f>
        <v>-0.01716738197424894</v>
      </c>
      <c r="H98" s="50">
        <f>IFERROR(H95/H96-1,"n/a")</f>
        <v>-0.017241379310344862</v>
      </c>
      <c r="I98" s="2"/>
      <c r="J98" s="2"/>
    </row>
    <row r="99">
      <c r="A99" s="3"/>
      <c r="B99" s="75" t="s">
        <v>109</v>
      </c>
      <c r="C99" s="1" t="s">
        <v>53</v>
      </c>
      <c r="D99" s="1">
        <f>D95-C95</f>
        <v>0</v>
      </c>
      <c r="E99" s="1" t="s">
        <v>53</v>
      </c>
      <c r="F99" s="1">
        <f>F95-D95</f>
        <v>0</v>
      </c>
      <c r="G99" s="1">
        <f>G95-F95</f>
        <v>-15</v>
      </c>
      <c r="H99" s="27">
        <f>H95-G95</f>
        <v>-5</v>
      </c>
      <c r="I99" s="2"/>
      <c r="J99" s="2"/>
    </row>
    <row r="100">
      <c r="A100" s="3"/>
      <c r="B100" s="28" t="s">
        <v>135</v>
      </c>
      <c r="C100" s="1">
        <f>AVERAGE(C91,C95)</f>
        <v>1162.5</v>
      </c>
      <c r="D100" s="1">
        <f>AVERAGE(D91,D95)</f>
        <v>1160</v>
      </c>
      <c r="E100" s="1">
        <f>AVERAGE(E91,E95)</f>
        <v>1245</v>
      </c>
      <c r="F100" s="1">
        <f>AVERAGE(F91,F95)</f>
        <v>1160</v>
      </c>
      <c r="G100" s="1">
        <f>AVERAGE(G91,G95)</f>
        <v>1152.5</v>
      </c>
      <c r="H100" s="27">
        <f>AVERAGE(H91,H95)</f>
        <v>1142.5</v>
      </c>
      <c r="I100" s="2" t="s">
        <v>136</v>
      </c>
      <c r="J100" s="2"/>
    </row>
    <row r="101">
      <c r="A101" s="3"/>
      <c r="B101" s="19" t="s">
        <v>134</v>
      </c>
      <c r="C101" s="6" t="s">
        <v>53</v>
      </c>
      <c r="D101" s="6" t="s">
        <v>53</v>
      </c>
      <c r="E101" s="6" t="s">
        <v>53</v>
      </c>
      <c r="F101" s="6" t="s">
        <v>53</v>
      </c>
      <c r="G101" s="6" t="s">
        <v>53</v>
      </c>
      <c r="H101" s="50">
        <f>H100/C100-1</f>
        <v>-0.017204301075268824</v>
      </c>
      <c r="I101" s="2"/>
      <c r="J101" s="2"/>
    </row>
    <row r="102">
      <c r="A102" s="3"/>
      <c r="B102" s="75" t="s">
        <v>109</v>
      </c>
      <c r="C102" s="1" t="s">
        <v>53</v>
      </c>
      <c r="D102" s="1">
        <f>IFERROR(D100-C100,"n/a")</f>
        <v>-2.5</v>
      </c>
      <c r="E102" s="1" t="s">
        <v>53</v>
      </c>
      <c r="F102" s="1">
        <f>IFERROR(F100-D100,"n/a")</f>
        <v>0</v>
      </c>
      <c r="G102" s="1">
        <f>IFERROR(G100-F100,"n/a")</f>
        <v>-7.5</v>
      </c>
      <c r="H102" s="27">
        <f>IFERROR(H100-G100,"n/a")</f>
        <v>-10</v>
      </c>
      <c r="I102" s="2"/>
      <c r="J102" s="2"/>
    </row>
    <row r="103">
      <c r="A103" s="3"/>
      <c r="B103" s="3"/>
      <c r="C103" s="3"/>
      <c r="D103" s="3"/>
      <c r="E103" s="3"/>
      <c r="F103" s="3"/>
      <c r="G103" s="3"/>
      <c r="H103" s="13"/>
      <c r="I103" s="2"/>
      <c r="J103" s="2"/>
    </row>
    <row r="104">
      <c r="A104" s="3"/>
      <c r="B104" s="23" t="s">
        <v>143</v>
      </c>
      <c r="C104" s="3"/>
      <c r="D104" s="3"/>
      <c r="E104" s="3"/>
      <c r="F104" s="3"/>
      <c r="G104" s="3"/>
      <c r="H104" s="13"/>
      <c r="I104" s="2"/>
      <c r="J104" s="2"/>
    </row>
    <row r="105">
      <c r="A105" s="3"/>
      <c r="B105" s="69" t="s">
        <v>144</v>
      </c>
      <c r="C105" s="8">
        <f>C17+C30</f>
        <v>29930</v>
      </c>
      <c r="D105" s="8">
        <f>D17+D30</f>
        <v>29650</v>
      </c>
      <c r="E105" s="8">
        <f>E17+E30</f>
        <v>29650</v>
      </c>
      <c r="F105" s="8">
        <f>F17+F30</f>
        <v>30065</v>
      </c>
      <c r="G105" s="8">
        <f>G17+G30</f>
        <v>29920</v>
      </c>
      <c r="H105" s="29">
        <f>H17+H30</f>
        <v>29800</v>
      </c>
      <c r="I105" s="2"/>
      <c r="J105" s="2"/>
    </row>
    <row r="106">
      <c r="A106" s="3"/>
      <c r="B106" s="69" t="s">
        <v>145</v>
      </c>
      <c r="C106" s="8">
        <f>C43+C56+C69</f>
        <v>20195</v>
      </c>
      <c r="D106" s="8">
        <f>D43+D56+D69</f>
        <v>20110</v>
      </c>
      <c r="E106" s="8">
        <f>E43+E56+E69</f>
        <v>20110</v>
      </c>
      <c r="F106" s="8">
        <f>F43+F56+F69</f>
        <v>18985</v>
      </c>
      <c r="G106" s="8">
        <f>G43+G56+G69</f>
        <v>18605</v>
      </c>
      <c r="H106" s="29">
        <f>H43+H56+H69</f>
        <v>18365</v>
      </c>
      <c r="I106" s="2"/>
      <c r="J106" s="2"/>
    </row>
    <row r="107">
      <c r="A107" s="3"/>
      <c r="B107" s="69" t="s">
        <v>146</v>
      </c>
      <c r="C107" s="8">
        <f>C17+C30+C43+C56+C69</f>
        <v>50125</v>
      </c>
      <c r="D107" s="8">
        <f>D17+D30+D43+D56+D69</f>
        <v>49760</v>
      </c>
      <c r="E107" s="8">
        <f>E17+E30+E43+E56+E69</f>
        <v>49760</v>
      </c>
      <c r="F107" s="8">
        <f>F17+F30+F43+F56+F69</f>
        <v>49050</v>
      </c>
      <c r="G107" s="8">
        <f>G17+G30+G43+G56+G69</f>
        <v>48525</v>
      </c>
      <c r="H107" s="29">
        <f>H17+H30+H43+H56+H69</f>
        <v>48165</v>
      </c>
      <c r="I107" s="2"/>
      <c r="J107" s="2"/>
    </row>
    <row r="108">
      <c r="A108" s="3"/>
      <c r="B108" s="28" t="s">
        <v>147</v>
      </c>
      <c r="C108" s="31">
        <v>50125</v>
      </c>
      <c r="D108" s="31">
        <v>49760</v>
      </c>
      <c r="E108" s="1">
        <f>D108</f>
        <v>49760</v>
      </c>
      <c r="F108" s="31">
        <v>49050</v>
      </c>
      <c r="G108" s="31">
        <v>48525</v>
      </c>
      <c r="H108" s="27"/>
      <c r="I108" s="2" t="s">
        <v>148</v>
      </c>
      <c r="J108" s="2"/>
    </row>
    <row r="109">
      <c r="A109" s="3"/>
      <c r="B109" s="28" t="s">
        <v>149</v>
      </c>
      <c r="C109" s="1">
        <f>C107-C108</f>
        <v>0</v>
      </c>
      <c r="D109" s="1">
        <f>D107-D108</f>
        <v>0</v>
      </c>
      <c r="E109" s="1">
        <f>E107-E108</f>
        <v>0</v>
      </c>
      <c r="F109" s="1">
        <f>F107-F108</f>
        <v>0</v>
      </c>
      <c r="G109" s="1">
        <f>G107-G108</f>
        <v>0</v>
      </c>
      <c r="H109" s="27" t="s">
        <v>53</v>
      </c>
      <c r="I109" s="2"/>
      <c r="J109" s="2"/>
    </row>
    <row r="110">
      <c r="A110" s="3"/>
      <c r="B110" s="75" t="s">
        <v>133</v>
      </c>
      <c r="C110" s="1">
        <f>C107-C117</f>
        <v>795</v>
      </c>
      <c r="D110" s="1">
        <f>D107-D117</f>
        <v>415</v>
      </c>
      <c r="E110" s="1">
        <f>E107-E117</f>
        <v>415</v>
      </c>
      <c r="F110" s="1">
        <f>F107-F117</f>
        <v>-1075</v>
      </c>
      <c r="G110" s="1">
        <f>G107-G117</f>
        <v>-1590</v>
      </c>
      <c r="H110" s="27">
        <f>H107-H117</f>
        <v>-1960</v>
      </c>
      <c r="I110" s="2"/>
      <c r="J110" s="2"/>
    </row>
    <row r="111">
      <c r="A111" s="3"/>
      <c r="B111" s="19" t="s">
        <v>134</v>
      </c>
      <c r="C111" s="6">
        <f>C107/C117-1</f>
        <v>0.016115953780660774</v>
      </c>
      <c r="D111" s="6">
        <f>D107/D117-1</f>
        <v>0.008410173269834731</v>
      </c>
      <c r="E111" s="6">
        <f>E107/E117-1</f>
        <v>0.008410173269834731</v>
      </c>
      <c r="F111" s="6">
        <f>F107/F117-1</f>
        <v>-0.02144638403990029</v>
      </c>
      <c r="G111" s="6">
        <f>G107/G117-1</f>
        <v>-0.03172702783597725</v>
      </c>
      <c r="H111" s="50">
        <f>H107/H117-1</f>
        <v>-0.03910224438902743</v>
      </c>
      <c r="I111" s="2"/>
      <c r="J111" s="2"/>
    </row>
    <row r="112">
      <c r="A112" s="3"/>
      <c r="B112" s="75" t="s">
        <v>109</v>
      </c>
      <c r="C112" s="1" t="s">
        <v>53</v>
      </c>
      <c r="D112" s="1">
        <f>IFERROR(D107-C107,"n/a")</f>
        <v>-365</v>
      </c>
      <c r="E112" s="1" t="s">
        <v>53</v>
      </c>
      <c r="F112" s="1">
        <f>IFERROR(F107-D107,"n/a")</f>
        <v>-710</v>
      </c>
      <c r="G112" s="1">
        <f>IFERROR(G107-F107,"n/a")</f>
        <v>-525</v>
      </c>
      <c r="H112" s="27">
        <f>IFERROR(H107-G107,"n/a")</f>
        <v>-360</v>
      </c>
      <c r="I112" s="2"/>
      <c r="J112" s="2"/>
    </row>
    <row r="113">
      <c r="A113" s="3"/>
      <c r="B113" s="28" t="s">
        <v>150</v>
      </c>
      <c r="C113" s="1">
        <f>C16+C29+C42+C55+C68</f>
        <v>10</v>
      </c>
      <c r="D113" s="1">
        <f>D16+D29+D42+D55+D68</f>
        <v>-365</v>
      </c>
      <c r="E113" s="1">
        <f>E16+E29+E42+E55+E68</f>
        <v>415</v>
      </c>
      <c r="F113" s="1">
        <f>F16+F29+F42+F55+F68</f>
        <v>-710</v>
      </c>
      <c r="G113" s="1">
        <f>G16+G29+G42+G55+G68</f>
        <v>-525</v>
      </c>
      <c r="H113" s="27">
        <f>H16+H29+H42+H55+H68</f>
        <v>-360</v>
      </c>
      <c r="I113" s="2"/>
      <c r="J113" s="2"/>
    </row>
    <row r="114">
      <c r="A114" s="3"/>
      <c r="B114" s="28" t="s">
        <v>151</v>
      </c>
      <c r="C114" s="1">
        <f>C22+C35+C48+C61+C74</f>
        <v>50120</v>
      </c>
      <c r="D114" s="1">
        <f>D22+D35+D48+D61+D74</f>
        <v>49942.5</v>
      </c>
      <c r="E114" s="1">
        <f>E22+E35+E48+E61+E74</f>
        <v>49552.5</v>
      </c>
      <c r="F114" s="1">
        <f>F22+F35+F48+F61+F74</f>
        <v>49405</v>
      </c>
      <c r="G114" s="1">
        <f>G22+G35+G48+G61+G74</f>
        <v>48787.5</v>
      </c>
      <c r="H114" s="27">
        <f>H22+H35+H48+H61+H74</f>
        <v>48345</v>
      </c>
      <c r="I114" s="2"/>
      <c r="J114" s="2"/>
    </row>
    <row r="115">
      <c r="A115" s="3"/>
      <c r="B115" s="19" t="s">
        <v>134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50">
        <f>H114/C114-1</f>
        <v>-0.035415003990422966</v>
      </c>
      <c r="I115" s="2"/>
      <c r="J115" s="2"/>
    </row>
    <row r="116">
      <c r="A116" s="3"/>
      <c r="B116" s="75" t="s">
        <v>109</v>
      </c>
      <c r="C116" s="1" t="s">
        <v>53</v>
      </c>
      <c r="D116" s="1">
        <f>IFERROR(D114-C114,"n/a")</f>
        <v>-177.5</v>
      </c>
      <c r="E116" s="1" t="s">
        <v>53</v>
      </c>
      <c r="F116" s="1">
        <f>IFERROR(F114-D114,"n/a")</f>
        <v>-537.5</v>
      </c>
      <c r="G116" s="1">
        <f>IFERROR(G114-F114,"n/a")</f>
        <v>-617.5</v>
      </c>
      <c r="H116" s="27">
        <f>IFERROR(H114-G114,"n/a")</f>
        <v>-442.5</v>
      </c>
      <c r="I116" s="2"/>
      <c r="J116" s="2"/>
    </row>
    <row r="117">
      <c r="A117" s="3"/>
      <c r="B117" s="28" t="s">
        <v>152</v>
      </c>
      <c r="C117" s="1">
        <f>C18+C31+C44+C57+C70</f>
        <v>49330</v>
      </c>
      <c r="D117" s="1">
        <f>D18+D31+D44+D57+D70</f>
        <v>49345</v>
      </c>
      <c r="E117" s="1">
        <f>E18+E31+E44+E57+E70</f>
        <v>49345</v>
      </c>
      <c r="F117" s="1">
        <f>F18+F31+F44+F57+F70</f>
        <v>50125</v>
      </c>
      <c r="G117" s="1">
        <f>G18+G31+G44+G57+G70</f>
        <v>50115</v>
      </c>
      <c r="H117" s="27">
        <f>H18+H31+H44+H57+H70</f>
        <v>50125</v>
      </c>
      <c r="I117" s="2"/>
      <c r="J117" s="2"/>
    </row>
    <row r="118">
      <c r="A118" s="3"/>
      <c r="B118" s="45" t="s">
        <v>153</v>
      </c>
      <c r="C118" s="6">
        <f>C17/C107</f>
        <v>0.1683790523690773</v>
      </c>
      <c r="D118" s="6">
        <f>D17/D107</f>
        <v>0.16408762057877813</v>
      </c>
      <c r="E118" s="6">
        <f>E17/E107</f>
        <v>0.16408762057877813</v>
      </c>
      <c r="F118" s="6">
        <f>F17/F107</f>
        <v>0.15749235474006115</v>
      </c>
      <c r="G118" s="6">
        <f>G17/G107</f>
        <v>0.1577537351880474</v>
      </c>
      <c r="H118" s="50">
        <f>H17/H107</f>
        <v>0.15779092702169625</v>
      </c>
      <c r="I118" s="2"/>
      <c r="J118" s="2"/>
    </row>
    <row r="119">
      <c r="A119" s="3"/>
      <c r="B119" s="19" t="s">
        <v>154</v>
      </c>
      <c r="C119" s="24" t="s">
        <v>53</v>
      </c>
      <c r="D119" s="24">
        <f>IFERROR((D118-C118)*10000,"n/a")</f>
        <v>-42.91431790299172</v>
      </c>
      <c r="E119" s="24" t="s">
        <v>53</v>
      </c>
      <c r="F119" s="24">
        <f>IFERROR((F118-D118)*10000,"n/a")</f>
        <v>-65.95265838716973</v>
      </c>
      <c r="G119" s="24">
        <f>IFERROR((G118-F118)*10000,"n/a")</f>
        <v>2.6138044798623694</v>
      </c>
      <c r="H119" s="66">
        <f>IFERROR((H118-G118)*10000,"n/a")</f>
        <v>0.37191833648864137</v>
      </c>
      <c r="I119" s="2"/>
      <c r="J119" s="2"/>
    </row>
    <row r="120">
      <c r="A120" s="3"/>
      <c r="B120" s="19" t="s">
        <v>155</v>
      </c>
      <c r="C120" s="24">
        <f>IFERROR((C118-C18/C117)*10000,"n/a")</f>
        <v>-120.38543414421594</v>
      </c>
      <c r="D120" s="24">
        <f>IFERROR((D118-D18/D117)*10000,"n/a")</f>
        <v>-151.60530196376394</v>
      </c>
      <c r="E120" s="24">
        <f>IFERROR((E118-E18/E117)*10000,"n/a")</f>
        <v>-151.60530196376394</v>
      </c>
      <c r="F120" s="24">
        <f>IFERROR((F118-F18/F117)*10000,"n/a")</f>
        <v>-102.88193888367769</v>
      </c>
      <c r="G120" s="24">
        <f>IFERROR((G118-G18/G117)*10000,"n/a")</f>
        <v>-106.589157148759</v>
      </c>
      <c r="H120" s="66">
        <f>(H118-C118)*10000</f>
        <v>-105.88125347381045</v>
      </c>
      <c r="I120" s="2"/>
      <c r="J120" s="2"/>
    </row>
    <row r="121">
      <c r="A121" s="3"/>
      <c r="B121" s="45" t="s">
        <v>156</v>
      </c>
      <c r="C121" s="6">
        <f>C30/C107</f>
        <v>0.4287281795511222</v>
      </c>
      <c r="D121" s="6">
        <f>D30/D107</f>
        <v>0.4317725080385852</v>
      </c>
      <c r="E121" s="6">
        <f>E30/E107</f>
        <v>0.4317725080385852</v>
      </c>
      <c r="F121" s="6">
        <f>F30/F107</f>
        <v>0.455453618756371</v>
      </c>
      <c r="G121" s="6">
        <f>G30/G107</f>
        <v>0.45883565172591445</v>
      </c>
      <c r="H121" s="50">
        <f>H30/H107</f>
        <v>0.46091560261600745</v>
      </c>
      <c r="I121" s="2"/>
      <c r="J121" s="2"/>
    </row>
    <row r="122">
      <c r="A122" s="3"/>
      <c r="B122" s="19" t="s">
        <v>154</v>
      </c>
      <c r="C122" s="24" t="s">
        <v>53</v>
      </c>
      <c r="D122" s="24">
        <f>IFERROR((D121-C121)*10000,"n/a")</f>
        <v>30.443284874629995</v>
      </c>
      <c r="E122" s="24" t="s">
        <v>53</v>
      </c>
      <c r="F122" s="24">
        <f>IFERROR((F121-D121)*10000,"n/a")</f>
        <v>236.81110717785836</v>
      </c>
      <c r="G122" s="24">
        <f>IFERROR((G121-F121)*10000,"n/a")</f>
        <v>33.820329695434246</v>
      </c>
      <c r="H122" s="66">
        <f>IFERROR((H121-G121)*10000,"n/a")</f>
        <v>20.799508900929965</v>
      </c>
      <c r="I122" s="2"/>
      <c r="J122" s="2"/>
    </row>
    <row r="123">
      <c r="A123" s="3"/>
      <c r="B123" s="19" t="s">
        <v>155</v>
      </c>
      <c r="C123" s="24">
        <f>IFERROR((C121-C31/C117)*10000,"n/a")</f>
        <v>64.69918857832101</v>
      </c>
      <c r="D123" s="24">
        <f>IFERROR((D121-D31/D117)*10000,"n/a")</f>
        <v>85.28005049427246</v>
      </c>
      <c r="E123" s="24">
        <f>IFERROR((E121-E31/E117)*10000,"n/a")</f>
        <v>85.28005049427246</v>
      </c>
      <c r="F123" s="24">
        <f>IFERROR((F121-F31/F117)*10000,"n/a")</f>
        <v>247.30426736420895</v>
      </c>
      <c r="G123" s="24">
        <f>IFERROR((G121-G31/G117)*10000,"n/a")</f>
        <v>292.2375907900238</v>
      </c>
      <c r="H123" s="66">
        <f>(H121-C121)*10000</f>
        <v>321.8742306488526</v>
      </c>
      <c r="I123" s="2"/>
      <c r="J123" s="2"/>
    </row>
    <row r="124">
      <c r="A124" s="3"/>
      <c r="B124" s="45" t="s">
        <v>157</v>
      </c>
      <c r="C124" s="6">
        <f>C43/C107</f>
        <v>0.1682793017456359</v>
      </c>
      <c r="D124" s="6">
        <f>D43/D107</f>
        <v>0.16971463022508038</v>
      </c>
      <c r="E124" s="6">
        <f>E43/E107</f>
        <v>0.16971463022508038</v>
      </c>
      <c r="F124" s="6">
        <f>F43/F107</f>
        <v>0.15402650356778796</v>
      </c>
      <c r="G124" s="6">
        <f>G43/G107</f>
        <v>0.15589902112313242</v>
      </c>
      <c r="H124" s="50">
        <f>H43/H107</f>
        <v>0.15498806187065298</v>
      </c>
      <c r="I124" s="2"/>
      <c r="J124" s="2"/>
    </row>
    <row r="125">
      <c r="A125" s="3"/>
      <c r="B125" s="19" t="s">
        <v>154</v>
      </c>
      <c r="C125" s="24" t="s">
        <v>53</v>
      </c>
      <c r="D125" s="24">
        <f>IFERROR((D124-C124)*10000,"n/a")</f>
        <v>14.353284794444699</v>
      </c>
      <c r="E125" s="24" t="s">
        <v>53</v>
      </c>
      <c r="F125" s="24">
        <f>IFERROR((F124-D124)*10000,"n/a")</f>
        <v>-156.88126657292412</v>
      </c>
      <c r="G125" s="24">
        <f>IFERROR((G124-F124)*10000,"n/a")</f>
        <v>18.72517555344455</v>
      </c>
      <c r="H125" s="66">
        <f>IFERROR((H124-G124)*10000,"n/a")</f>
        <v>-9.10959252479443</v>
      </c>
      <c r="I125" s="2"/>
      <c r="J125" s="2"/>
    </row>
    <row r="126">
      <c r="A126" s="3"/>
      <c r="B126" s="19" t="s">
        <v>155</v>
      </c>
      <c r="C126" s="24">
        <f>IFERROR((C124-C44/C117)*10000,"n/a")</f>
        <v>99.57793535621707</v>
      </c>
      <c r="D126" s="24">
        <f>IFERROR((D124-D44/D117)*10000,"n/a")</f>
        <v>107.31957208564013</v>
      </c>
      <c r="E126" s="24">
        <f>IFERROR((E124-E44/E117)*10000,"n/a")</f>
        <v>107.31957208564013</v>
      </c>
      <c r="F126" s="24">
        <f>IFERROR((F124-F44/F117)*10000,"n/a")</f>
        <v>-104.62274487074875</v>
      </c>
      <c r="G126" s="24">
        <f>IFERROR((G124-G44/G117)*10000,"n/a")</f>
        <v>-107.17760279641192</v>
      </c>
      <c r="H126" s="66">
        <f>(H124-C124)*10000</f>
        <v>-132.9123987498293</v>
      </c>
      <c r="I126" s="2"/>
      <c r="J126" s="2"/>
    </row>
    <row r="127">
      <c r="A127" s="3"/>
      <c r="B127" s="45" t="s">
        <v>158</v>
      </c>
      <c r="C127" s="6">
        <f>C56/C107</f>
        <v>0.14882793017456358</v>
      </c>
      <c r="D127" s="6">
        <f>D56/D107</f>
        <v>0.1483118971061093</v>
      </c>
      <c r="E127" s="6">
        <f>E56/E107</f>
        <v>0.1483118971061093</v>
      </c>
      <c r="F127" s="6">
        <f>F56/F107</f>
        <v>0.14597349643221202</v>
      </c>
      <c r="G127" s="6">
        <f>G56/G107</f>
        <v>0.13972179289026276</v>
      </c>
      <c r="H127" s="50">
        <f>H56/H107</f>
        <v>0.13806706114398423</v>
      </c>
      <c r="I127" s="2"/>
      <c r="J127" s="2"/>
    </row>
    <row r="128">
      <c r="A128" s="3"/>
      <c r="B128" s="19" t="s">
        <v>154</v>
      </c>
      <c r="C128" s="24" t="s">
        <v>53</v>
      </c>
      <c r="D128" s="24">
        <f>IFERROR((D127-C127)*10000,"n/a")</f>
        <v>-5.160330684542691</v>
      </c>
      <c r="E128" s="24" t="s">
        <v>53</v>
      </c>
      <c r="F128" s="24">
        <f>IFERROR((F127-D127)*10000,"n/a")</f>
        <v>-23.384006738972896</v>
      </c>
      <c r="G128" s="24">
        <f>IFERROR((G127-F127)*10000,"n/a")</f>
        <v>-62.51703541949261</v>
      </c>
      <c r="H128" s="66">
        <f>IFERROR((H127-G127)*10000,"n/a")</f>
        <v>-16.547317462785315</v>
      </c>
      <c r="I128" s="2"/>
      <c r="J128" s="2"/>
    </row>
    <row r="129">
      <c r="A129" s="3"/>
      <c r="B129" s="19" t="s">
        <v>155</v>
      </c>
      <c r="C129" s="24">
        <f>IFERROR((C127-C57/C117)*10000,"n/a")</f>
        <v>-21.957876442079694</v>
      </c>
      <c r="D129" s="24">
        <f>IFERROR((D127-D57/D117)*10000,"n/a")</f>
        <v>-23.61930029365411</v>
      </c>
      <c r="E129" s="24">
        <f>IFERROR((E127-E57/E117)*10000,"n/a")</f>
        <v>-23.61930029365411</v>
      </c>
      <c r="F129" s="24">
        <f>IFERROR((F127-F57/F117)*10000,"n/a")</f>
        <v>-50.489474580622804</v>
      </c>
      <c r="G129" s="24">
        <f>IFERROR((G127-G57/G117)*10000,"n/a")</f>
        <v>-97.34457733303032</v>
      </c>
      <c r="H129" s="66">
        <f>(H127-C127)*10000</f>
        <v>-107.6086903057935</v>
      </c>
      <c r="I129" s="2"/>
      <c r="J129" s="2"/>
    </row>
    <row r="130">
      <c r="A130" s="3"/>
      <c r="B130" s="45" t="s">
        <v>159</v>
      </c>
      <c r="C130" s="6">
        <f>C69/C107</f>
        <v>0.085785536159601</v>
      </c>
      <c r="D130" s="6">
        <f>D69/D107</f>
        <v>0.08611334405144695</v>
      </c>
      <c r="E130" s="6">
        <f>E69/E107</f>
        <v>0.08611334405144695</v>
      </c>
      <c r="F130" s="6">
        <f>F69/F107</f>
        <v>0.08705402650356779</v>
      </c>
      <c r="G130" s="6">
        <f>G69/G107</f>
        <v>0.08778979907264296</v>
      </c>
      <c r="H130" s="50">
        <f>H69/H107</f>
        <v>0.08823834734765909</v>
      </c>
      <c r="I130" s="2"/>
      <c r="J130" s="2"/>
    </row>
    <row r="131">
      <c r="A131" s="3"/>
      <c r="B131" s="19" t="s">
        <v>154</v>
      </c>
      <c r="C131" s="24" t="s">
        <v>53</v>
      </c>
      <c r="D131" s="24">
        <f>IFERROR((D130-C130)*10000,"n/a")</f>
        <v>3.2780789184595758</v>
      </c>
      <c r="E131" s="24" t="s">
        <v>53</v>
      </c>
      <c r="F131" s="24">
        <f>IFERROR((F130-D130)*10000,"n/a")</f>
        <v>9.40682452120839</v>
      </c>
      <c r="G131" s="24">
        <f>IFERROR((G130-F130)*10000,"n/a")</f>
        <v>7.357725690751716</v>
      </c>
      <c r="H131" s="66">
        <f>IFERROR((H130-G130)*10000,"n/a")</f>
        <v>4.485482750161279</v>
      </c>
      <c r="I131" s="2"/>
      <c r="J131" s="2"/>
    </row>
    <row r="132">
      <c r="A132" s="3"/>
      <c r="B132" s="19" t="s">
        <v>155</v>
      </c>
      <c r="C132" s="24">
        <f>IFERROR((C130-C70/C117)*10000,"n/a")</f>
        <v>-21.933813348243014</v>
      </c>
      <c r="D132" s="24">
        <f>IFERROR((D130-D70/D117)*10000,"n/a")</f>
        <v>-17.375020322494688</v>
      </c>
      <c r="E132" s="24">
        <f>IFERROR((E130-E70/E117)*10000,"n/a")</f>
        <v>-17.375020322494688</v>
      </c>
      <c r="F132" s="24">
        <f>IFERROR((F130-F70/F117)*10000,"n/a")</f>
        <v>10.689890970839999</v>
      </c>
      <c r="G132" s="24">
        <f>IFERROR((G130-G70/G117)*10000,"n/a")</f>
        <v>18.873746488177606</v>
      </c>
      <c r="H132" s="66">
        <f>(H130-C130)*10000</f>
        <v>24.528111880580962</v>
      </c>
      <c r="I132" s="2"/>
      <c r="J132" s="2"/>
    </row>
    <row r="133">
      <c r="A133" s="3"/>
      <c r="B133" s="45" t="s">
        <v>160</v>
      </c>
      <c r="C133" s="6">
        <f>C17/C105</f>
        <v>0.2819913130638156</v>
      </c>
      <c r="D133" s="6">
        <f>D17/D105</f>
        <v>0.27537942664418213</v>
      </c>
      <c r="E133" s="6">
        <f>E17/E105</f>
        <v>0.27537942664418213</v>
      </c>
      <c r="F133" s="6">
        <f>F17/F105</f>
        <v>0.25694328953933143</v>
      </c>
      <c r="G133" s="6">
        <f>G17/G105</f>
        <v>0.25584893048128343</v>
      </c>
      <c r="H133" s="50">
        <f>H17/H105</f>
        <v>0.2550335570469799</v>
      </c>
      <c r="I133" s="2"/>
      <c r="J133" s="2"/>
    </row>
    <row r="134">
      <c r="A134" s="3"/>
      <c r="B134" s="19" t="s">
        <v>91</v>
      </c>
      <c r="C134" s="24" t="s">
        <v>53</v>
      </c>
      <c r="D134" s="24">
        <f>IFERROR((D133-C133)*10000,"n/a")</f>
        <v>-66.1188641963345</v>
      </c>
      <c r="E134" s="24" t="s">
        <v>53</v>
      </c>
      <c r="F134" s="24">
        <f>IFERROR((F133-D133)*10000,"n/a")</f>
        <v>-184.36137104850704</v>
      </c>
      <c r="G134" s="24">
        <f>IFERROR((G133-F133)*10000,"n/a")</f>
        <v>-10.94359058048</v>
      </c>
      <c r="H134" s="66">
        <f>IFERROR((H133-G133)*10000,"n/a")</f>
        <v>-8.153734343035456</v>
      </c>
      <c r="I134" s="2"/>
      <c r="J134" s="2"/>
    </row>
    <row r="135">
      <c r="A135" s="3"/>
      <c r="B135" s="19" t="s">
        <v>92</v>
      </c>
      <c r="C135" s="24">
        <f>IFERROR((C133-C18/(C18+C31))*10000,"n/a")</f>
        <v>-173.6960183695807</v>
      </c>
      <c r="D135" s="24">
        <f>IFERROR((D133-D18/(D18+D31))*10000,"n/a")</f>
        <v>-221.31505074620418</v>
      </c>
      <c r="E135" s="24">
        <f>IFERROR((E133-E18/(E18+E31))*10000,"n/a")</f>
        <v>-221.31505074620418</v>
      </c>
      <c r="F135" s="24">
        <f>IFERROR((F133-F18/(F18+F31))*10000,"n/a")</f>
        <v>-233.90043794001892</v>
      </c>
      <c r="G135" s="24">
        <f>IFERROR((G133-G18/(G18+G31))*10000,"n/a")</f>
        <v>-257.66017800331497</v>
      </c>
      <c r="H135" s="66">
        <f>(H133-C133)*10000</f>
        <v>-269.57756016835697</v>
      </c>
      <c r="I135" s="2"/>
      <c r="J135" s="2"/>
    </row>
    <row r="136">
      <c r="A136" s="3"/>
      <c r="B136" s="28" t="s">
        <v>161</v>
      </c>
      <c r="C136" s="1">
        <f>C48+C74+C87</f>
        <v>15492.5</v>
      </c>
      <c r="D136" s="1">
        <f>D48+D74+D87</f>
        <v>15515</v>
      </c>
      <c r="E136" s="1">
        <f>E48+E74+E87</f>
        <v>15365</v>
      </c>
      <c r="F136" s="1">
        <f>F48+F74+F87</f>
        <v>15032.5</v>
      </c>
      <c r="G136" s="1">
        <f>G48+G74+G87</f>
        <v>14550</v>
      </c>
      <c r="H136" s="27">
        <f>H48+H74+H87</f>
        <v>14470</v>
      </c>
      <c r="I136" s="2"/>
      <c r="J136" s="2"/>
    </row>
    <row r="137">
      <c r="A137" s="3"/>
      <c r="B137" s="19" t="s">
        <v>134</v>
      </c>
      <c r="C137" s="6" t="s">
        <v>53</v>
      </c>
      <c r="D137" s="6" t="s">
        <v>53</v>
      </c>
      <c r="E137" s="6" t="s">
        <v>53</v>
      </c>
      <c r="F137" s="6" t="s">
        <v>53</v>
      </c>
      <c r="G137" s="6" t="s">
        <v>53</v>
      </c>
      <c r="H137" s="50">
        <f>H136/C136-1</f>
        <v>-0.06599967726319189</v>
      </c>
      <c r="I137" s="2"/>
      <c r="J137" s="2"/>
    </row>
    <row r="138">
      <c r="A138" s="3"/>
      <c r="B138" s="75" t="s">
        <v>109</v>
      </c>
      <c r="C138" s="1" t="s">
        <v>53</v>
      </c>
      <c r="D138" s="1">
        <f>IFERROR(D136-C136,"n/a")</f>
        <v>22.5</v>
      </c>
      <c r="E138" s="1" t="s">
        <v>53</v>
      </c>
      <c r="F138" s="1">
        <f>IFERROR(F136-D136,"n/a")</f>
        <v>-482.5</v>
      </c>
      <c r="G138" s="1">
        <f>IFERROR(G136-F136,"n/a")</f>
        <v>-482.5</v>
      </c>
      <c r="H138" s="27">
        <f>IFERROR(H136-G136,"n/a")</f>
        <v>-80</v>
      </c>
      <c r="I138" s="2"/>
      <c r="J138" s="2"/>
    </row>
    <row r="139">
      <c r="A139" s="3"/>
      <c r="B139" s="28" t="s">
        <v>162</v>
      </c>
      <c r="C139" s="1">
        <f>C22+C35</f>
        <v>29950</v>
      </c>
      <c r="D139" s="1">
        <f>D22+D35</f>
        <v>29790</v>
      </c>
      <c r="E139" s="1">
        <f>E22+E35</f>
        <v>29690</v>
      </c>
      <c r="F139" s="1">
        <f>F22+F35</f>
        <v>29857.5</v>
      </c>
      <c r="G139" s="1">
        <f>G22+G35</f>
        <v>29992.5</v>
      </c>
      <c r="H139" s="27">
        <f>H22+H35</f>
        <v>29860</v>
      </c>
      <c r="I139" s="2"/>
      <c r="J139" s="2"/>
    </row>
    <row r="140">
      <c r="A140" s="3"/>
      <c r="B140" s="19" t="s">
        <v>134</v>
      </c>
      <c r="C140" s="6" t="s">
        <v>53</v>
      </c>
      <c r="D140" s="6" t="s">
        <v>53</v>
      </c>
      <c r="E140" s="6" t="s">
        <v>53</v>
      </c>
      <c r="F140" s="6" t="s">
        <v>53</v>
      </c>
      <c r="G140" s="6" t="s">
        <v>53</v>
      </c>
      <c r="H140" s="50">
        <f>H139/C139-1</f>
        <v>-0.003005008347245375</v>
      </c>
      <c r="I140" s="2"/>
      <c r="J140" s="2"/>
    </row>
    <row r="141">
      <c r="A141" s="3"/>
      <c r="B141" s="75" t="s">
        <v>109</v>
      </c>
      <c r="C141" s="1" t="s">
        <v>53</v>
      </c>
      <c r="D141" s="1">
        <f>IFERROR(D139-C139,"n/a")</f>
        <v>-160</v>
      </c>
      <c r="E141" s="1" t="s">
        <v>53</v>
      </c>
      <c r="F141" s="1">
        <f>IFERROR(F139-D139,"n/a")</f>
        <v>67.5</v>
      </c>
      <c r="G141" s="1">
        <f>IFERROR(G139-F139,"n/a")</f>
        <v>135</v>
      </c>
      <c r="H141" s="27">
        <f>IFERROR(H139-G139,"n/a")</f>
        <v>-132.5</v>
      </c>
      <c r="I141" s="2"/>
      <c r="J141" s="2"/>
    </row>
    <row r="142">
      <c r="A142" s="3"/>
      <c r="B142" s="3"/>
      <c r="C142" s="3"/>
      <c r="D142" s="3"/>
      <c r="E142" s="3"/>
      <c r="F142" s="3"/>
      <c r="G142" s="3"/>
      <c r="H142" s="13"/>
      <c r="I142" s="2"/>
      <c r="J142" s="2"/>
    </row>
    <row r="143">
      <c r="A143" s="3"/>
      <c r="B143" s="23" t="s">
        <v>163</v>
      </c>
      <c r="C143" s="3"/>
      <c r="D143" s="3"/>
      <c r="E143" s="3"/>
      <c r="F143" s="3"/>
      <c r="G143" s="3"/>
      <c r="H143" s="13"/>
      <c r="I143" s="2"/>
      <c r="J143" s="2"/>
    </row>
    <row r="144">
      <c r="A144" s="3"/>
      <c r="B144" s="28" t="s">
        <v>164</v>
      </c>
      <c r="C144" s="1">
        <f>C147/C139/C9*1000</f>
        <v>212.00890372843628</v>
      </c>
      <c r="D144" s="1">
        <f>D147/D139/D9*1000</f>
        <v>211.2006266084816</v>
      </c>
      <c r="E144" s="1">
        <f>E147/E139/E9*1000</f>
        <v>213.14696306275962</v>
      </c>
      <c r="F144" s="1">
        <f>F147/F139/F9*1000</f>
        <v>214.4184878171314</v>
      </c>
      <c r="G144" s="1">
        <f>G147/G139/G9*1000</f>
        <v>211.6973687866411</v>
      </c>
      <c r="H144" s="20">
        <v>213</v>
      </c>
      <c r="I144" s="2" t="s">
        <v>165</v>
      </c>
      <c r="J144" s="2"/>
    </row>
    <row r="145">
      <c r="A145" s="3"/>
      <c r="B145" s="19" t="s">
        <v>79</v>
      </c>
      <c r="C145" s="6" t="s">
        <v>53</v>
      </c>
      <c r="D145" s="6" t="s">
        <v>53</v>
      </c>
      <c r="E145" s="6" t="s">
        <v>53</v>
      </c>
      <c r="F145" s="6" t="s">
        <v>53</v>
      </c>
      <c r="G145" s="6" t="s">
        <v>53</v>
      </c>
      <c r="H145" s="50">
        <f>IFERROR(H144/C144-1,"n/a")</f>
        <v>0.004674786078009419</v>
      </c>
      <c r="I145" s="2"/>
      <c r="J145" s="2"/>
    </row>
    <row r="146">
      <c r="A146" s="3"/>
      <c r="B146" s="75" t="s">
        <v>109</v>
      </c>
      <c r="C146" s="1" t="s">
        <v>53</v>
      </c>
      <c r="D146" s="1">
        <f>IFERROR(D144-C144,"n/a")</f>
        <v>-0.8082771199546812</v>
      </c>
      <c r="E146" s="1" t="s">
        <v>53</v>
      </c>
      <c r="F146" s="1">
        <f>IFERROR(F144-D144,"n/a")</f>
        <v>3.2178612086497935</v>
      </c>
      <c r="G146" s="1">
        <f>IFERROR(G144-F144,"n/a")</f>
        <v>-2.7211190304902857</v>
      </c>
      <c r="H146" s="27">
        <f>IFERROR(H144-G144,"n/a")</f>
        <v>1.302631213358893</v>
      </c>
      <c r="I146" s="2"/>
      <c r="J146" s="2"/>
    </row>
    <row r="147">
      <c r="A147" s="3"/>
      <c r="B147" s="69" t="s">
        <v>166</v>
      </c>
      <c r="C147" s="57">
        <v>19049</v>
      </c>
      <c r="D147" s="57">
        <v>18875</v>
      </c>
      <c r="E147" s="57">
        <v>75940</v>
      </c>
      <c r="F147" s="57">
        <v>19206</v>
      </c>
      <c r="G147" s="57">
        <v>19048</v>
      </c>
      <c r="H147" s="29">
        <f>H139*H144*H9/1000</f>
        <v>19080.54</v>
      </c>
      <c r="I147" s="2" t="s">
        <v>167</v>
      </c>
      <c r="J147" s="2"/>
    </row>
    <row r="148">
      <c r="A148" s="3"/>
      <c r="B148" s="75" t="s">
        <v>78</v>
      </c>
      <c r="C148" s="31">
        <v>18985</v>
      </c>
      <c r="D148" s="31">
        <v>19019</v>
      </c>
      <c r="E148" s="31">
        <v>74489</v>
      </c>
      <c r="F148" s="31">
        <v>19066</v>
      </c>
      <c r="G148" s="31">
        <v>18950</v>
      </c>
      <c r="H148" s="27">
        <f>C147</f>
        <v>19049</v>
      </c>
      <c r="I148" s="2" t="s">
        <v>168</v>
      </c>
      <c r="J148" s="2"/>
    </row>
    <row r="149">
      <c r="A149" s="3"/>
      <c r="B149" s="19" t="s">
        <v>79</v>
      </c>
      <c r="C149" s="6">
        <f>IFERROR(C147/C148-1,"n/a")</f>
        <v>0.003371082433500039</v>
      </c>
      <c r="D149" s="6">
        <f>IFERROR(D147/D148-1,"n/a")</f>
        <v>-0.007571375992428631</v>
      </c>
      <c r="E149" s="6">
        <f>IFERROR(E147/E148-1,"n/a")</f>
        <v>0.019479386218099304</v>
      </c>
      <c r="F149" s="6">
        <f>IFERROR(F147/F148-1,"n/a")</f>
        <v>0.007342914087905106</v>
      </c>
      <c r="G149" s="6">
        <f>IFERROR(G147/G148-1,"n/a")</f>
        <v>0.005171503957783541</v>
      </c>
      <c r="H149" s="50">
        <f>IFERROR(H147/C147-1,"n/a")</f>
        <v>0.0016557299595780783</v>
      </c>
      <c r="I149" s="2"/>
      <c r="J149" s="2"/>
    </row>
    <row r="150">
      <c r="A150" s="3"/>
      <c r="B150" s="19" t="s">
        <v>80</v>
      </c>
      <c r="C150" s="6" t="s">
        <v>53</v>
      </c>
      <c r="D150" s="6">
        <f>IFERROR(D147/C147-1,"n/a")</f>
        <v>-0.009134337760512312</v>
      </c>
      <c r="E150" s="6" t="s">
        <v>53</v>
      </c>
      <c r="F150" s="6">
        <f>IFERROR(F147/D147-1,"n/a")</f>
        <v>0.01753642384105958</v>
      </c>
      <c r="G150" s="6">
        <f>IFERROR(G147/F147-1,"n/a")</f>
        <v>-0.008226595855461816</v>
      </c>
      <c r="H150" s="50">
        <f>IFERROR(H147/G147-1,"n/a")</f>
        <v>0.0017083158336834714</v>
      </c>
      <c r="I150" s="2"/>
      <c r="J150" s="2"/>
    </row>
    <row r="151">
      <c r="A151" s="3"/>
      <c r="B151" s="75" t="s">
        <v>109</v>
      </c>
      <c r="C151" s="1" t="s">
        <v>53</v>
      </c>
      <c r="D151" s="1">
        <f>IFERROR(D147-C147,"n/a")</f>
        <v>-174</v>
      </c>
      <c r="E151" s="1" t="s">
        <v>53</v>
      </c>
      <c r="F151" s="1">
        <f>IFERROR(F147-D147,"n/a")</f>
        <v>331</v>
      </c>
      <c r="G151" s="1">
        <f>IFERROR(G147-F147,"n/a")</f>
        <v>-158</v>
      </c>
      <c r="H151" s="27">
        <f>IFERROR(H147-G147,"n/a")</f>
        <v>32.54000000000087</v>
      </c>
      <c r="I151" s="2"/>
      <c r="J151" s="2"/>
    </row>
    <row r="152">
      <c r="A152" s="3"/>
      <c r="B152" s="19" t="s">
        <v>82</v>
      </c>
      <c r="C152" s="6" t="s">
        <v>94</v>
      </c>
      <c r="D152" s="6" t="s">
        <v>94</v>
      </c>
      <c r="E152" s="6" t="s">
        <v>94</v>
      </c>
      <c r="F152" s="6" t="s">
        <v>94</v>
      </c>
      <c r="G152" s="6" t="s">
        <v>94</v>
      </c>
      <c r="H152" s="50" t="s">
        <v>94</v>
      </c>
      <c r="I152" s="2" t="s">
        <v>169</v>
      </c>
      <c r="J152" s="2"/>
    </row>
    <row r="153">
      <c r="A153" s="3"/>
      <c r="B153" s="19" t="s">
        <v>83</v>
      </c>
      <c r="C153" s="68">
        <v>0</v>
      </c>
      <c r="D153" s="68">
        <v>0</v>
      </c>
      <c r="E153" s="68">
        <v>0</v>
      </c>
      <c r="F153" s="68">
        <v>0</v>
      </c>
      <c r="G153" s="68">
        <v>0</v>
      </c>
      <c r="H153" s="67">
        <v>0</v>
      </c>
      <c r="I153" s="2" t="s">
        <v>170</v>
      </c>
      <c r="J153" s="2"/>
    </row>
    <row r="154">
      <c r="A154" s="3"/>
      <c r="B154" s="19" t="s">
        <v>84</v>
      </c>
      <c r="C154" s="6" t="str">
        <f>IF(OR(ISTEXT(C149),ISTEXT(C152),ISTEXT(C153)),"n/d",(1+C149)/((1+C152)*(1+C153))-1)</f>
        <v>n/d</v>
      </c>
      <c r="D154" s="6" t="str">
        <f>IF(OR(ISTEXT(D149),ISTEXT(D152),ISTEXT(D153)),"n/d",(1+D149)/((1+D152)*(1+D153))-1)</f>
        <v>n/d</v>
      </c>
      <c r="E154" s="6" t="str">
        <f>IF(OR(ISTEXT(E149),ISTEXT(E152),ISTEXT(E153)),"n/d",(1+E149)/((1+E152)*(1+E153))-1)</f>
        <v>n/d</v>
      </c>
      <c r="F154" s="6" t="str">
        <f>IF(OR(ISTEXT(F149),ISTEXT(F152),ISTEXT(F153)),"n/d",(1+F149)/((1+F152)*(1+F153))-1)</f>
        <v>n/d</v>
      </c>
      <c r="G154" s="6" t="str">
        <f>IF(OR(ISTEXT(G149),ISTEXT(G152),ISTEXT(G153)),"n/d",(1+G149)/((1+G152)*(1+G153))-1)</f>
        <v>n/d</v>
      </c>
      <c r="H154" s="50" t="str">
        <f>IF(OR(ISTEXT(H149),ISTEXT(H152),ISTEXT(H153)),"n/d",(1+H149)/((1+H152)*(1+H153))-1)</f>
        <v>n/d</v>
      </c>
      <c r="I154" s="2" t="s">
        <v>102</v>
      </c>
      <c r="J154" s="2"/>
    </row>
    <row r="155">
      <c r="A155" s="3"/>
      <c r="B155" s="19" t="s">
        <v>85</v>
      </c>
      <c r="C155" s="6">
        <f>C149</f>
        <v>0.003371082433500039</v>
      </c>
      <c r="D155" s="6">
        <f>D149</f>
        <v>-0.007571375992428631</v>
      </c>
      <c r="E155" s="6">
        <f>E149</f>
        <v>0.019479386218099304</v>
      </c>
      <c r="F155" s="6">
        <f>F149</f>
        <v>0.007342914087905106</v>
      </c>
      <c r="G155" s="6">
        <f>G149</f>
        <v>0.005171503957783541</v>
      </c>
      <c r="H155" s="50">
        <f>H149</f>
        <v>0.0016557299595780783</v>
      </c>
      <c r="I155" s="2"/>
      <c r="J155" s="2"/>
    </row>
    <row r="156">
      <c r="A156" s="3"/>
      <c r="B156" s="28" t="s">
        <v>171</v>
      </c>
      <c r="C156" s="1">
        <f>C159/C100/C9*1000</f>
        <v>236.84587813620072</v>
      </c>
      <c r="D156" s="1">
        <f>D159/D100/D9*1000</f>
        <v>247.41379310344828</v>
      </c>
      <c r="E156" s="1">
        <f>E159/E100/E9*1000</f>
        <v>220.08032128514054</v>
      </c>
      <c r="F156" s="1">
        <f>F159/F100/F9*1000</f>
        <v>262.0689655172414</v>
      </c>
      <c r="G156" s="1">
        <f>G159/G100/G9*1000</f>
        <v>273.0296456977585</v>
      </c>
      <c r="H156" s="20">
        <v>275</v>
      </c>
      <c r="I156" s="2" t="s">
        <v>172</v>
      </c>
      <c r="J156" s="2"/>
    </row>
    <row r="157">
      <c r="A157" s="3"/>
      <c r="B157" s="19" t="s">
        <v>79</v>
      </c>
      <c r="C157" s="6" t="s">
        <v>53</v>
      </c>
      <c r="D157" s="6" t="s">
        <v>53</v>
      </c>
      <c r="E157" s="6" t="s">
        <v>53</v>
      </c>
      <c r="F157" s="6" t="s">
        <v>53</v>
      </c>
      <c r="G157" s="6" t="s">
        <v>53</v>
      </c>
      <c r="H157" s="50">
        <f>IFERROR(H156/C156-1,"n/a")</f>
        <v>0.1610926150121066</v>
      </c>
      <c r="I157" s="2"/>
      <c r="J157" s="2"/>
    </row>
    <row r="158">
      <c r="A158" s="3"/>
      <c r="B158" s="75" t="s">
        <v>109</v>
      </c>
      <c r="C158" s="1" t="s">
        <v>53</v>
      </c>
      <c r="D158" s="1">
        <f>IFERROR(D156-C156,"n/a")</f>
        <v>10.56791496724756</v>
      </c>
      <c r="E158" s="1" t="s">
        <v>53</v>
      </c>
      <c r="F158" s="1">
        <f>IFERROR(F156-D156,"n/a")</f>
        <v>14.65517241379311</v>
      </c>
      <c r="G158" s="1">
        <f>IFERROR(G156-F156,"n/a")</f>
        <v>10.960680180517102</v>
      </c>
      <c r="H158" s="27">
        <f>IFERROR(H156-G156,"n/a")</f>
        <v>1.9703543022415033</v>
      </c>
      <c r="I158" s="2"/>
      <c r="J158" s="2"/>
    </row>
    <row r="159">
      <c r="A159" s="3"/>
      <c r="B159" s="69" t="s">
        <v>173</v>
      </c>
      <c r="C159" s="57">
        <v>826</v>
      </c>
      <c r="D159" s="57">
        <v>861</v>
      </c>
      <c r="E159" s="57">
        <v>3288</v>
      </c>
      <c r="F159" s="57">
        <v>912</v>
      </c>
      <c r="G159" s="57">
        <v>944</v>
      </c>
      <c r="H159" s="29">
        <f>H100*H156*H9/1000</f>
        <v>942.5625</v>
      </c>
      <c r="I159" s="2" t="s">
        <v>174</v>
      </c>
      <c r="J159" s="2"/>
    </row>
    <row r="160">
      <c r="A160" s="3"/>
      <c r="B160" s="75" t="s">
        <v>78</v>
      </c>
      <c r="C160" s="31">
        <v>769</v>
      </c>
      <c r="D160" s="31">
        <v>775</v>
      </c>
      <c r="E160" s="31">
        <v>3667</v>
      </c>
      <c r="F160" s="31">
        <v>782</v>
      </c>
      <c r="G160" s="31">
        <v>819</v>
      </c>
      <c r="H160" s="27">
        <f>C159</f>
        <v>826</v>
      </c>
      <c r="I160" s="2" t="s">
        <v>168</v>
      </c>
      <c r="J160" s="2"/>
    </row>
    <row r="161">
      <c r="A161" s="3"/>
      <c r="B161" s="19" t="s">
        <v>79</v>
      </c>
      <c r="C161" s="6">
        <f>IFERROR(C159/C160-1,"n/a")</f>
        <v>0.07412223667100126</v>
      </c>
      <c r="D161" s="6">
        <f>IFERROR(D159/D160-1,"n/a")</f>
        <v>0.11096774193548398</v>
      </c>
      <c r="E161" s="6">
        <f>IFERROR(E159/E160-1,"n/a")</f>
        <v>-0.10335424052358877</v>
      </c>
      <c r="F161" s="6">
        <f>IFERROR(F159/F160-1,"n/a")</f>
        <v>0.1662404092071612</v>
      </c>
      <c r="G161" s="6">
        <f>IFERROR(G159/G160-1,"n/a")</f>
        <v>0.15262515262515253</v>
      </c>
      <c r="H161" s="50">
        <f>IFERROR(H159/C159-1,"n/a")</f>
        <v>0.14111682808716708</v>
      </c>
      <c r="I161" s="2"/>
      <c r="J161" s="2"/>
    </row>
    <row r="162">
      <c r="A162" s="3"/>
      <c r="B162" s="19" t="s">
        <v>80</v>
      </c>
      <c r="C162" s="6" t="s">
        <v>53</v>
      </c>
      <c r="D162" s="6">
        <f>IFERROR(D159/C159-1,"n/a")</f>
        <v>0.04237288135593231</v>
      </c>
      <c r="E162" s="6" t="s">
        <v>53</v>
      </c>
      <c r="F162" s="6">
        <f>IFERROR(F159/D159-1,"n/a")</f>
        <v>0.059233449477351874</v>
      </c>
      <c r="G162" s="6">
        <f>IFERROR(G159/F159-1,"n/a")</f>
        <v>0.03508771929824572</v>
      </c>
      <c r="H162" s="50">
        <f>IFERROR(H159/G159-1,"n/a")</f>
        <v>-0.001522775423728806</v>
      </c>
      <c r="I162" s="2"/>
      <c r="J162" s="2"/>
    </row>
    <row r="163">
      <c r="A163" s="3"/>
      <c r="B163" s="75" t="s">
        <v>109</v>
      </c>
      <c r="C163" s="1" t="s">
        <v>53</v>
      </c>
      <c r="D163" s="1">
        <f>IFERROR(D159-C159,"n/a")</f>
        <v>35</v>
      </c>
      <c r="E163" s="1" t="s">
        <v>53</v>
      </c>
      <c r="F163" s="1">
        <f>IFERROR(F159-D159,"n/a")</f>
        <v>51</v>
      </c>
      <c r="G163" s="1">
        <f>IFERROR(G159-F159,"n/a")</f>
        <v>32</v>
      </c>
      <c r="H163" s="27">
        <f>IFERROR(H159-G159,"n/a")</f>
        <v>-1.4375</v>
      </c>
      <c r="I163" s="2"/>
      <c r="J163" s="2"/>
    </row>
    <row r="164">
      <c r="A164" s="3"/>
      <c r="B164" s="19" t="s">
        <v>82</v>
      </c>
      <c r="C164" s="6" t="s">
        <v>94</v>
      </c>
      <c r="D164" s="6" t="s">
        <v>94</v>
      </c>
      <c r="E164" s="6" t="s">
        <v>94</v>
      </c>
      <c r="F164" s="6" t="s">
        <v>94</v>
      </c>
      <c r="G164" s="6" t="s">
        <v>94</v>
      </c>
      <c r="H164" s="50" t="s">
        <v>94</v>
      </c>
      <c r="I164" s="2" t="s">
        <v>169</v>
      </c>
      <c r="J164" s="2"/>
    </row>
    <row r="165">
      <c r="A165" s="3"/>
      <c r="B165" s="19" t="s">
        <v>83</v>
      </c>
      <c r="C165" s="6" t="s">
        <v>94</v>
      </c>
      <c r="D165" s="6" t="s">
        <v>94</v>
      </c>
      <c r="E165" s="6" t="s">
        <v>94</v>
      </c>
      <c r="F165" s="6" t="s">
        <v>94</v>
      </c>
      <c r="G165" s="6" t="s">
        <v>94</v>
      </c>
      <c r="H165" s="50" t="s">
        <v>94</v>
      </c>
      <c r="I165" s="2" t="s">
        <v>111</v>
      </c>
      <c r="J165" s="2"/>
    </row>
    <row r="166">
      <c r="A166" s="3"/>
      <c r="B166" s="19" t="s">
        <v>84</v>
      </c>
      <c r="C166" s="6" t="str">
        <f>IF(OR(ISTEXT(C161),ISTEXT(C164),ISTEXT(C165)),"n/d",(1+C161)/((1+C164)*(1+C165))-1)</f>
        <v>n/d</v>
      </c>
      <c r="D166" s="6" t="str">
        <f>IF(OR(ISTEXT(D161),ISTEXT(D164),ISTEXT(D165)),"n/d",(1+D161)/((1+D164)*(1+D165))-1)</f>
        <v>n/d</v>
      </c>
      <c r="E166" s="6" t="str">
        <f>IF(OR(ISTEXT(E161),ISTEXT(E164),ISTEXT(E165)),"n/d",(1+E161)/((1+E164)*(1+E165))-1)</f>
        <v>n/d</v>
      </c>
      <c r="F166" s="6" t="str">
        <f>IF(OR(ISTEXT(F161),ISTEXT(F164),ISTEXT(F165)),"n/d",(1+F161)/((1+F164)*(1+F165))-1)</f>
        <v>n/d</v>
      </c>
      <c r="G166" s="6" t="str">
        <f>IF(OR(ISTEXT(G161),ISTEXT(G164),ISTEXT(G165)),"n/d",(1+G161)/((1+G164)*(1+G165))-1)</f>
        <v>n/d</v>
      </c>
      <c r="H166" s="50" t="str">
        <f>IF(OR(ISTEXT(H161),ISTEXT(H164),ISTEXT(H165)),"n/d",(1+H161)/((1+H164)*(1+H165))-1)</f>
        <v>n/d</v>
      </c>
      <c r="I166" s="2" t="s">
        <v>102</v>
      </c>
      <c r="J166" s="2"/>
    </row>
    <row r="167">
      <c r="A167" s="3"/>
      <c r="B167" s="19" t="s">
        <v>85</v>
      </c>
      <c r="C167" s="6">
        <f>C161</f>
        <v>0.07412223667100126</v>
      </c>
      <c r="D167" s="6">
        <f>D161</f>
        <v>0.11096774193548398</v>
      </c>
      <c r="E167" s="6">
        <f>E161</f>
        <v>-0.10335424052358877</v>
      </c>
      <c r="F167" s="6">
        <f>F161</f>
        <v>0.1662404092071612</v>
      </c>
      <c r="G167" s="6">
        <f>G161</f>
        <v>0.15262515262515253</v>
      </c>
      <c r="H167" s="50">
        <f>H161</f>
        <v>0.14111682808716708</v>
      </c>
      <c r="I167" s="2"/>
      <c r="J167" s="2"/>
    </row>
    <row r="168">
      <c r="A168" s="3"/>
      <c r="B168" s="69" t="s">
        <v>175</v>
      </c>
      <c r="C168" s="8">
        <f>C147+C159</f>
        <v>19875</v>
      </c>
      <c r="D168" s="8">
        <f>D147+D159</f>
        <v>19736</v>
      </c>
      <c r="E168" s="8">
        <f>E147+E159</f>
        <v>79228</v>
      </c>
      <c r="F168" s="8">
        <f>F147+F159</f>
        <v>20118</v>
      </c>
      <c r="G168" s="8">
        <f>G147+G159</f>
        <v>19992</v>
      </c>
      <c r="H168" s="29">
        <f>H147+H159</f>
        <v>20023.1025</v>
      </c>
      <c r="I168" s="2"/>
      <c r="J168" s="2"/>
    </row>
    <row r="169">
      <c r="A169" s="3"/>
      <c r="B169" s="75" t="s">
        <v>176</v>
      </c>
      <c r="C169" s="31">
        <v>19875</v>
      </c>
      <c r="D169" s="31">
        <v>19736</v>
      </c>
      <c r="E169" s="31">
        <v>79228</v>
      </c>
      <c r="F169" s="31">
        <v>20118</v>
      </c>
      <c r="G169" s="31">
        <v>19992</v>
      </c>
      <c r="H169" s="27"/>
      <c r="I169" s="2"/>
      <c r="J169" s="2"/>
    </row>
    <row r="170">
      <c r="A170" s="3"/>
      <c r="B170" s="75" t="s">
        <v>177</v>
      </c>
      <c r="C170" s="1">
        <f>C168-C169</f>
        <v>0</v>
      </c>
      <c r="D170" s="1">
        <f>D168-D169</f>
        <v>0</v>
      </c>
      <c r="E170" s="1">
        <f>E168-E169</f>
        <v>0</v>
      </c>
      <c r="F170" s="1">
        <f>F168-F169</f>
        <v>0</v>
      </c>
      <c r="G170" s="1">
        <f>G168-G169</f>
        <v>0</v>
      </c>
      <c r="H170" s="27" t="s">
        <v>53</v>
      </c>
      <c r="I170" s="2"/>
      <c r="J170" s="2"/>
    </row>
    <row r="171">
      <c r="A171" s="3"/>
      <c r="B171" s="75" t="s">
        <v>78</v>
      </c>
      <c r="C171" s="1">
        <f>C148+C160</f>
        <v>19754</v>
      </c>
      <c r="D171" s="1">
        <f>D148+D160</f>
        <v>19794</v>
      </c>
      <c r="E171" s="1">
        <f>E148+E160</f>
        <v>78156</v>
      </c>
      <c r="F171" s="1">
        <f>F148+F160</f>
        <v>19848</v>
      </c>
      <c r="G171" s="1">
        <f>G148+G160</f>
        <v>19769</v>
      </c>
      <c r="H171" s="27">
        <f>H148+H160</f>
        <v>19875</v>
      </c>
      <c r="I171" s="2"/>
      <c r="J171" s="2"/>
    </row>
    <row r="172">
      <c r="A172" s="3"/>
      <c r="B172" s="19" t="s">
        <v>79</v>
      </c>
      <c r="C172" s="6">
        <f>IFERROR(C168/C171-1,"n/a")</f>
        <v>0.006125341702946319</v>
      </c>
      <c r="D172" s="6">
        <f>IFERROR(D168/D171-1,"n/a")</f>
        <v>-0.0029301808628877657</v>
      </c>
      <c r="E172" s="6">
        <f>IFERROR(E168/E171-1,"n/a")</f>
        <v>0.013716157428732334</v>
      </c>
      <c r="F172" s="6">
        <f>IFERROR(F168/F171-1,"n/a")</f>
        <v>0.013603385731559836</v>
      </c>
      <c r="G172" s="6">
        <f>IFERROR(G168/G171-1,"n/a")</f>
        <v>0.011280287318528925</v>
      </c>
      <c r="H172" s="50">
        <f>IFERROR(H168/C168-1,"n/a")</f>
        <v>0.007451698113207561</v>
      </c>
      <c r="I172" s="2"/>
      <c r="J172" s="2"/>
    </row>
    <row r="173">
      <c r="A173" s="3"/>
      <c r="B173" s="19" t="s">
        <v>80</v>
      </c>
      <c r="C173" s="6" t="s">
        <v>53</v>
      </c>
      <c r="D173" s="6">
        <f>IFERROR(D168/C168-1,"n/a")</f>
        <v>-0.006993710691823862</v>
      </c>
      <c r="E173" s="6" t="s">
        <v>53</v>
      </c>
      <c r="F173" s="6">
        <f>IFERROR(F168/D168-1,"n/a")</f>
        <v>0.019355492501013316</v>
      </c>
      <c r="G173" s="6">
        <f>IFERROR(G168/F168-1,"n/a")</f>
        <v>-0.006263048016701411</v>
      </c>
      <c r="H173" s="50">
        <f>IFERROR(H168/G168-1,"n/a")</f>
        <v>0.0015557472989196075</v>
      </c>
      <c r="I173" s="2"/>
      <c r="J173" s="2"/>
    </row>
    <row r="174">
      <c r="A174" s="3"/>
      <c r="B174" s="19" t="s">
        <v>82</v>
      </c>
      <c r="C174" s="6" t="s">
        <v>94</v>
      </c>
      <c r="D174" s="6" t="s">
        <v>94</v>
      </c>
      <c r="E174" s="6" t="s">
        <v>94</v>
      </c>
      <c r="F174" s="6" t="s">
        <v>94</v>
      </c>
      <c r="G174" s="6" t="s">
        <v>94</v>
      </c>
      <c r="H174" s="50" t="s">
        <v>94</v>
      </c>
      <c r="I174" s="2" t="s">
        <v>169</v>
      </c>
      <c r="J174" s="2"/>
    </row>
    <row r="175">
      <c r="A175" s="3"/>
      <c r="B175" s="19" t="s">
        <v>83</v>
      </c>
      <c r="C175" s="6" t="s">
        <v>94</v>
      </c>
      <c r="D175" s="6" t="s">
        <v>94</v>
      </c>
      <c r="E175" s="6" t="s">
        <v>94</v>
      </c>
      <c r="F175" s="6" t="s">
        <v>94</v>
      </c>
      <c r="G175" s="6" t="s">
        <v>94</v>
      </c>
      <c r="H175" s="50" t="s">
        <v>94</v>
      </c>
      <c r="I175" s="2" t="s">
        <v>111</v>
      </c>
      <c r="J175" s="2"/>
    </row>
    <row r="176">
      <c r="A176" s="3"/>
      <c r="B176" s="19" t="s">
        <v>84</v>
      </c>
      <c r="C176" s="6" t="str">
        <f>IF(OR(ISTEXT(C172),ISTEXT(C174),ISTEXT(C175)),"n/d",(1+C172)/((1+C174)*(1+C175))-1)</f>
        <v>n/d</v>
      </c>
      <c r="D176" s="6" t="str">
        <f>IF(OR(ISTEXT(D172),ISTEXT(D174),ISTEXT(D175)),"n/d",(1+D172)/((1+D174)*(1+D175))-1)</f>
        <v>n/d</v>
      </c>
      <c r="E176" s="6" t="str">
        <f>IF(OR(ISTEXT(E172),ISTEXT(E174),ISTEXT(E175)),"n/d",(1+E172)/((1+E174)*(1+E175))-1)</f>
        <v>n/d</v>
      </c>
      <c r="F176" s="6" t="str">
        <f>IF(OR(ISTEXT(F172),ISTEXT(F174),ISTEXT(F175)),"n/d",(1+F172)/((1+F174)*(1+F175))-1)</f>
        <v>n/d</v>
      </c>
      <c r="G176" s="6" t="str">
        <f>IF(OR(ISTEXT(G172),ISTEXT(G174),ISTEXT(G175)),"n/d",(1+G172)/((1+G174)*(1+G175))-1)</f>
        <v>n/d</v>
      </c>
      <c r="H176" s="50" t="str">
        <f>IF(OR(ISTEXT(H172),ISTEXT(H174),ISTEXT(H175)),"n/d",(1+H172)/((1+H174)*(1+H175))-1)</f>
        <v>n/d</v>
      </c>
      <c r="I176" s="2" t="s">
        <v>102</v>
      </c>
      <c r="J176" s="2"/>
    </row>
    <row r="177">
      <c r="A177" s="3"/>
      <c r="B177" s="19" t="s">
        <v>85</v>
      </c>
      <c r="C177" s="6">
        <f>C172</f>
        <v>0.006125341702946319</v>
      </c>
      <c r="D177" s="6">
        <f>D172</f>
        <v>-0.0029301808628877657</v>
      </c>
      <c r="E177" s="6">
        <f>E172</f>
        <v>0.013716157428732334</v>
      </c>
      <c r="F177" s="6">
        <f>F172</f>
        <v>0.013603385731559836</v>
      </c>
      <c r="G177" s="6">
        <f>G172</f>
        <v>0.011280287318528925</v>
      </c>
      <c r="H177" s="50">
        <f>H172</f>
        <v>0.007451698113207561</v>
      </c>
      <c r="I177" s="2"/>
      <c r="J177" s="2"/>
    </row>
    <row r="178">
      <c r="A178" s="3"/>
      <c r="B178" s="28" t="s">
        <v>178</v>
      </c>
      <c r="C178" s="1">
        <f>C181/C136/C9*1000</f>
        <v>932.8384702275296</v>
      </c>
      <c r="D178" s="1">
        <f>D181/D136/D9*1000</f>
        <v>936.7493823181867</v>
      </c>
      <c r="E178" s="1">
        <f>E181/E136/E9*1000</f>
        <v>928.9781972014318</v>
      </c>
      <c r="F178" s="1">
        <f>F181/F136/F9*1000</f>
        <v>933.1337657298077</v>
      </c>
      <c r="G178" s="1">
        <f>G181/G136/G9*1000</f>
        <v>971.1340206185567</v>
      </c>
      <c r="H178" s="20">
        <v>983</v>
      </c>
      <c r="I178" s="2" t="s">
        <v>179</v>
      </c>
      <c r="J178" s="2"/>
    </row>
    <row r="179">
      <c r="A179" s="3"/>
      <c r="B179" s="19" t="s">
        <v>79</v>
      </c>
      <c r="C179" s="6" t="s">
        <v>53</v>
      </c>
      <c r="D179" s="6" t="s">
        <v>53</v>
      </c>
      <c r="E179" s="6" t="s">
        <v>53</v>
      </c>
      <c r="F179" s="6" t="s">
        <v>53</v>
      </c>
      <c r="G179" s="6" t="s">
        <v>53</v>
      </c>
      <c r="H179" s="50">
        <f>IFERROR(H178/C178-1,"n/a")</f>
        <v>0.05377300719623568</v>
      </c>
      <c r="I179" s="2"/>
      <c r="J179" s="2"/>
    </row>
    <row r="180">
      <c r="A180" s="3"/>
      <c r="B180" s="75" t="s">
        <v>109</v>
      </c>
      <c r="C180" s="1" t="s">
        <v>53</v>
      </c>
      <c r="D180" s="1">
        <f>IFERROR(D178-C178,"n/a")</f>
        <v>3.9109120906571206</v>
      </c>
      <c r="E180" s="1" t="s">
        <v>53</v>
      </c>
      <c r="F180" s="1">
        <f>IFERROR(F178-D178,"n/a")</f>
        <v>-3.615616588378998</v>
      </c>
      <c r="G180" s="1">
        <f>IFERROR(G178-F178,"n/a")</f>
        <v>38.000254888749055</v>
      </c>
      <c r="H180" s="27">
        <f>IFERROR(H178-G178,"n/a")</f>
        <v>11.865979381443253</v>
      </c>
      <c r="I180" s="2"/>
      <c r="J180" s="2"/>
    </row>
    <row r="181">
      <c r="A181" s="3"/>
      <c r="B181" s="69" t="s">
        <v>180</v>
      </c>
      <c r="C181" s="57">
        <v>43356</v>
      </c>
      <c r="D181" s="57">
        <v>43601</v>
      </c>
      <c r="E181" s="57">
        <v>171285</v>
      </c>
      <c r="F181" s="57">
        <v>42082</v>
      </c>
      <c r="G181" s="57">
        <v>42390</v>
      </c>
      <c r="H181" s="29">
        <f>H136*H178*H9/1000</f>
        <v>42672.03</v>
      </c>
      <c r="I181" s="2" t="s">
        <v>181</v>
      </c>
      <c r="J181" s="2"/>
    </row>
    <row r="182">
      <c r="A182" s="3"/>
      <c r="B182" s="75" t="s">
        <v>78</v>
      </c>
      <c r="C182" s="31">
        <v>34904</v>
      </c>
      <c r="D182" s="31">
        <v>34188</v>
      </c>
      <c r="E182" s="31">
        <v>139482</v>
      </c>
      <c r="F182" s="31">
        <v>41705</v>
      </c>
      <c r="G182" s="31">
        <v>42623</v>
      </c>
      <c r="H182" s="27">
        <f>C181</f>
        <v>43356</v>
      </c>
      <c r="I182" s="2" t="s">
        <v>168</v>
      </c>
      <c r="J182" s="2"/>
    </row>
    <row r="183">
      <c r="A183" s="3"/>
      <c r="B183" s="19" t="s">
        <v>79</v>
      </c>
      <c r="C183" s="6">
        <f>IFERROR(C181/C182-1,"n/a")</f>
        <v>0.2421498968599587</v>
      </c>
      <c r="D183" s="6">
        <f>IFERROR(D181/D182-1,"n/a")</f>
        <v>0.2753305253305254</v>
      </c>
      <c r="E183" s="6">
        <f>IFERROR(E181/E182-1,"n/a")</f>
        <v>0.2280079149997849</v>
      </c>
      <c r="F183" s="6">
        <f>IFERROR(F181/F182-1,"n/a")</f>
        <v>0.00903968349118811</v>
      </c>
      <c r="G183" s="6">
        <f>IFERROR(G181/G182-1,"n/a")</f>
        <v>-0.005466532154001391</v>
      </c>
      <c r="H183" s="50">
        <f>IFERROR(H181/C181-1,"n/a")</f>
        <v>-0.01577567118737888</v>
      </c>
      <c r="I183" s="2"/>
      <c r="J183" s="2"/>
    </row>
    <row r="184">
      <c r="A184" s="3"/>
      <c r="B184" s="19" t="s">
        <v>80</v>
      </c>
      <c r="C184" s="6" t="s">
        <v>53</v>
      </c>
      <c r="D184" s="6">
        <f>IFERROR(D181/C181-1,"n/a")</f>
        <v>0.005650890303533496</v>
      </c>
      <c r="E184" s="6" t="s">
        <v>53</v>
      </c>
      <c r="F184" s="6">
        <f>IFERROR(F181/D181-1,"n/a")</f>
        <v>-0.03483865048966772</v>
      </c>
      <c r="G184" s="6">
        <f>IFERROR(G181/F181-1,"n/a")</f>
        <v>0.0073190437716839085</v>
      </c>
      <c r="H184" s="50">
        <f>IFERROR(H181/G181-1,"n/a")</f>
        <v>0.006653220099079871</v>
      </c>
      <c r="I184" s="2"/>
      <c r="J184" s="2"/>
    </row>
    <row r="185">
      <c r="A185" s="3"/>
      <c r="B185" s="75" t="s">
        <v>109</v>
      </c>
      <c r="C185" s="1" t="s">
        <v>53</v>
      </c>
      <c r="D185" s="1">
        <f>IFERROR(D181-C181,"n/a")</f>
        <v>245</v>
      </c>
      <c r="E185" s="1" t="s">
        <v>53</v>
      </c>
      <c r="F185" s="1">
        <f>IFERROR(F181-D181,"n/a")</f>
        <v>-1519</v>
      </c>
      <c r="G185" s="1">
        <f>IFERROR(G181-F181,"n/a")</f>
        <v>308</v>
      </c>
      <c r="H185" s="27">
        <f>IFERROR(H181-G181,"n/a")</f>
        <v>282.02999999999884</v>
      </c>
      <c r="I185" s="2"/>
      <c r="J185" s="2"/>
    </row>
    <row r="186">
      <c r="A186" s="3"/>
      <c r="B186" s="19" t="s">
        <v>82</v>
      </c>
      <c r="C186" s="6" t="s">
        <v>94</v>
      </c>
      <c r="D186" s="6" t="s">
        <v>94</v>
      </c>
      <c r="E186" s="6" t="s">
        <v>94</v>
      </c>
      <c r="F186" s="6" t="s">
        <v>94</v>
      </c>
      <c r="G186" s="6" t="s">
        <v>94</v>
      </c>
      <c r="H186" s="50" t="s">
        <v>94</v>
      </c>
      <c r="I186" s="2" t="s">
        <v>169</v>
      </c>
      <c r="J186" s="2"/>
    </row>
    <row r="187">
      <c r="A187" s="3"/>
      <c r="B187" s="19" t="s">
        <v>83</v>
      </c>
      <c r="C187" s="68">
        <v>0</v>
      </c>
      <c r="D187" s="68">
        <v>0</v>
      </c>
      <c r="E187" s="68">
        <v>0</v>
      </c>
      <c r="F187" s="68">
        <v>0</v>
      </c>
      <c r="G187" s="68">
        <v>0</v>
      </c>
      <c r="H187" s="67">
        <v>0</v>
      </c>
      <c r="I187" s="2" t="s">
        <v>170</v>
      </c>
      <c r="J187" s="2"/>
    </row>
    <row r="188">
      <c r="A188" s="3"/>
      <c r="B188" s="19" t="s">
        <v>84</v>
      </c>
      <c r="C188" s="6" t="str">
        <f>IF(OR(ISTEXT(C183),ISTEXT(C186),ISTEXT(C187)),"n/d",(1+C183)/((1+C186)*(1+C187))-1)</f>
        <v>n/d</v>
      </c>
      <c r="D188" s="6" t="str">
        <f>IF(OR(ISTEXT(D183),ISTEXT(D186),ISTEXT(D187)),"n/d",(1+D183)/((1+D186)*(1+D187))-1)</f>
        <v>n/d</v>
      </c>
      <c r="E188" s="6" t="str">
        <f>IF(OR(ISTEXT(E183),ISTEXT(E186),ISTEXT(E187)),"n/d",(1+E183)/((1+E186)*(1+E187))-1)</f>
        <v>n/d</v>
      </c>
      <c r="F188" s="6" t="str">
        <f>IF(OR(ISTEXT(F183),ISTEXT(F186),ISTEXT(F187)),"n/d",(1+F183)/((1+F186)*(1+F187))-1)</f>
        <v>n/d</v>
      </c>
      <c r="G188" s="6" t="str">
        <f>IF(OR(ISTEXT(G183),ISTEXT(G186),ISTEXT(G187)),"n/d",(1+G183)/((1+G186)*(1+G187))-1)</f>
        <v>n/d</v>
      </c>
      <c r="H188" s="50" t="str">
        <f>IF(OR(ISTEXT(H183),ISTEXT(H186),ISTEXT(H187)),"n/d",(1+H183)/((1+H186)*(1+H187))-1)</f>
        <v>n/d</v>
      </c>
      <c r="I188" s="2" t="s">
        <v>102</v>
      </c>
      <c r="J188" s="2"/>
    </row>
    <row r="189">
      <c r="A189" s="3"/>
      <c r="B189" s="19" t="s">
        <v>85</v>
      </c>
      <c r="C189" s="6">
        <f>C183</f>
        <v>0.2421498968599587</v>
      </c>
      <c r="D189" s="6">
        <f>D183</f>
        <v>0.2753305253305254</v>
      </c>
      <c r="E189" s="6">
        <f>E183</f>
        <v>0.2280079149997849</v>
      </c>
      <c r="F189" s="6">
        <f>F183</f>
        <v>0.00903968349118811</v>
      </c>
      <c r="G189" s="6">
        <f>G183</f>
        <v>-0.005466532154001391</v>
      </c>
      <c r="H189" s="50">
        <f>H183</f>
        <v>-0.01577567118737888</v>
      </c>
      <c r="I189" s="2"/>
      <c r="J189" s="2"/>
    </row>
    <row r="190">
      <c r="A190" s="3"/>
      <c r="B190" s="28" t="s">
        <v>182</v>
      </c>
      <c r="C190" s="1">
        <f>C193/C61/C9*1000</f>
        <v>1063.0546265328874</v>
      </c>
      <c r="D190" s="1">
        <f>D193/D61/D9*1000</f>
        <v>1068.1042228212038</v>
      </c>
      <c r="E190" s="1">
        <f>E193/E61/E9*1000</f>
        <v>1061.8742265721678</v>
      </c>
      <c r="F190" s="1">
        <f>F193/F61/F9*1000</f>
        <v>1103.3929390187986</v>
      </c>
      <c r="G190" s="1">
        <f>G193/G61/G9*1000</f>
        <v>1130.3204208512673</v>
      </c>
      <c r="H190" s="20">
        <v>1140</v>
      </c>
      <c r="I190" s="2" t="s">
        <v>183</v>
      </c>
      <c r="J190" s="2"/>
    </row>
    <row r="191">
      <c r="A191" s="3"/>
      <c r="B191" s="19" t="s">
        <v>79</v>
      </c>
      <c r="C191" s="6" t="s">
        <v>53</v>
      </c>
      <c r="D191" s="6" t="s">
        <v>53</v>
      </c>
      <c r="E191" s="6" t="s">
        <v>53</v>
      </c>
      <c r="F191" s="6" t="s">
        <v>53</v>
      </c>
      <c r="G191" s="6" t="s">
        <v>53</v>
      </c>
      <c r="H191" s="50">
        <f>IFERROR(H190/C190-1,"n/a")</f>
        <v>0.07238139183690584</v>
      </c>
      <c r="I191" s="2"/>
      <c r="J191" s="2"/>
    </row>
    <row r="192">
      <c r="A192" s="3"/>
      <c r="B192" s="75" t="s">
        <v>109</v>
      </c>
      <c r="C192" s="1" t="s">
        <v>53</v>
      </c>
      <c r="D192" s="1">
        <f>IFERROR(D190-C190,"n/a")</f>
        <v>5.049596288316479</v>
      </c>
      <c r="E192" s="1" t="s">
        <v>53</v>
      </c>
      <c r="F192" s="1">
        <f>IFERROR(F190-D190,"n/a")</f>
        <v>35.288716197594795</v>
      </c>
      <c r="G192" s="1">
        <f>IFERROR(G190-F190,"n/a")</f>
        <v>26.92748183246863</v>
      </c>
      <c r="H192" s="27">
        <f>IFERROR(H190-G190,"n/a")</f>
        <v>9.679579148732728</v>
      </c>
      <c r="I192" s="2"/>
      <c r="J192" s="2"/>
    </row>
    <row r="193">
      <c r="A193" s="3"/>
      <c r="B193" s="69" t="s">
        <v>184</v>
      </c>
      <c r="C193" s="57">
        <v>23839</v>
      </c>
      <c r="D193" s="57">
        <v>23776</v>
      </c>
      <c r="E193" s="57">
        <v>94390</v>
      </c>
      <c r="F193" s="57">
        <v>24065</v>
      </c>
      <c r="G193" s="57">
        <v>23635</v>
      </c>
      <c r="H193" s="29">
        <f>H61*H190*H9/1000</f>
        <v>22965.3</v>
      </c>
      <c r="I193" s="2" t="s">
        <v>185</v>
      </c>
      <c r="J193" s="2"/>
    </row>
    <row r="194">
      <c r="A194" s="3"/>
      <c r="B194" s="75" t="s">
        <v>78</v>
      </c>
      <c r="C194" s="31">
        <v>20195</v>
      </c>
      <c r="D194" s="31">
        <v>20150</v>
      </c>
      <c r="E194" s="31">
        <v>80570</v>
      </c>
      <c r="F194" s="31">
        <v>23064</v>
      </c>
      <c r="G194" s="31">
        <v>23711</v>
      </c>
      <c r="H194" s="27">
        <f>C193</f>
        <v>23839</v>
      </c>
      <c r="I194" s="2" t="s">
        <v>168</v>
      </c>
      <c r="J194" s="2"/>
    </row>
    <row r="195">
      <c r="A195" s="3"/>
      <c r="B195" s="19" t="s">
        <v>79</v>
      </c>
      <c r="C195" s="6">
        <f>IFERROR(C193/C194-1,"n/a")</f>
        <v>0.18044070314434268</v>
      </c>
      <c r="D195" s="6">
        <f>IFERROR(D193/D194-1,"n/a")</f>
        <v>0.1799503722084368</v>
      </c>
      <c r="E195" s="6">
        <f>IFERROR(E193/E194-1,"n/a")</f>
        <v>0.17152786396921926</v>
      </c>
      <c r="F195" s="6">
        <f>IFERROR(F193/F194-1,"n/a")</f>
        <v>0.04340097121054454</v>
      </c>
      <c r="G195" s="6">
        <f>IFERROR(G193/G194-1,"n/a")</f>
        <v>-0.0032052633798659302</v>
      </c>
      <c r="H195" s="50">
        <f>IFERROR(H193/C193-1,"n/a")</f>
        <v>-0.036650027266244445</v>
      </c>
      <c r="I195" s="2"/>
      <c r="J195" s="2"/>
    </row>
    <row r="196">
      <c r="A196" s="3"/>
      <c r="B196" s="19" t="s">
        <v>80</v>
      </c>
      <c r="C196" s="6" t="s">
        <v>53</v>
      </c>
      <c r="D196" s="6">
        <f>IFERROR(D193/C193-1,"n/a")</f>
        <v>-0.0026427283023616743</v>
      </c>
      <c r="E196" s="6" t="s">
        <v>53</v>
      </c>
      <c r="F196" s="6">
        <f>IFERROR(F193/D193-1,"n/a")</f>
        <v>0.01215511440107675</v>
      </c>
      <c r="G196" s="6">
        <f>IFERROR(G193/F193-1,"n/a")</f>
        <v>-0.017868273426137504</v>
      </c>
      <c r="H196" s="50">
        <f>IFERROR(H193/G193-1,"n/a")</f>
        <v>-0.028335096255553194</v>
      </c>
      <c r="I196" s="2"/>
      <c r="J196" s="2"/>
    </row>
    <row r="197">
      <c r="A197" s="3"/>
      <c r="B197" s="75" t="s">
        <v>109</v>
      </c>
      <c r="C197" s="1" t="s">
        <v>53</v>
      </c>
      <c r="D197" s="1">
        <f>IFERROR(D193-C193,"n/a")</f>
        <v>-63</v>
      </c>
      <c r="E197" s="1" t="s">
        <v>53</v>
      </c>
      <c r="F197" s="1">
        <f>IFERROR(F193-D193,"n/a")</f>
        <v>289</v>
      </c>
      <c r="G197" s="1">
        <f>IFERROR(G193-F193,"n/a")</f>
        <v>-430</v>
      </c>
      <c r="H197" s="27">
        <f>IFERROR(H193-G193,"n/a")</f>
        <v>-669.7000000000007</v>
      </c>
      <c r="I197" s="2"/>
      <c r="J197" s="2"/>
    </row>
    <row r="198">
      <c r="A198" s="3"/>
      <c r="B198" s="19" t="s">
        <v>82</v>
      </c>
      <c r="C198" s="6" t="s">
        <v>94</v>
      </c>
      <c r="D198" s="6" t="s">
        <v>94</v>
      </c>
      <c r="E198" s="6" t="s">
        <v>94</v>
      </c>
      <c r="F198" s="6" t="s">
        <v>94</v>
      </c>
      <c r="G198" s="6" t="s">
        <v>94</v>
      </c>
      <c r="H198" s="50" t="s">
        <v>94</v>
      </c>
      <c r="I198" s="2" t="s">
        <v>169</v>
      </c>
      <c r="J198" s="2"/>
    </row>
    <row r="199">
      <c r="A199" s="3"/>
      <c r="B199" s="19" t="s">
        <v>83</v>
      </c>
      <c r="C199" s="68">
        <v>0</v>
      </c>
      <c r="D199" s="68">
        <v>0</v>
      </c>
      <c r="E199" s="68">
        <v>0</v>
      </c>
      <c r="F199" s="68">
        <v>0</v>
      </c>
      <c r="G199" s="68">
        <v>0</v>
      </c>
      <c r="H199" s="67">
        <v>0</v>
      </c>
      <c r="I199" s="2" t="s">
        <v>170</v>
      </c>
      <c r="J199" s="2"/>
    </row>
    <row r="200">
      <c r="A200" s="3"/>
      <c r="B200" s="19" t="s">
        <v>84</v>
      </c>
      <c r="C200" s="6" t="str">
        <f>IF(OR(ISTEXT(C195),ISTEXT(C198),ISTEXT(C199)),"n/d",(1+C195)/((1+C198)*(1+C199))-1)</f>
        <v>n/d</v>
      </c>
      <c r="D200" s="6" t="str">
        <f>IF(OR(ISTEXT(D195),ISTEXT(D198),ISTEXT(D199)),"n/d",(1+D195)/((1+D198)*(1+D199))-1)</f>
        <v>n/d</v>
      </c>
      <c r="E200" s="6" t="str">
        <f>IF(OR(ISTEXT(E195),ISTEXT(E198),ISTEXT(E199)),"n/d",(1+E195)/((1+E198)*(1+E199))-1)</f>
        <v>n/d</v>
      </c>
      <c r="F200" s="6" t="str">
        <f>IF(OR(ISTEXT(F195),ISTEXT(F198),ISTEXT(F199)),"n/d",(1+F195)/((1+F198)*(1+F199))-1)</f>
        <v>n/d</v>
      </c>
      <c r="G200" s="6" t="str">
        <f>IF(OR(ISTEXT(G195),ISTEXT(G198),ISTEXT(G199)),"n/d",(1+G195)/((1+G198)*(1+G199))-1)</f>
        <v>n/d</v>
      </c>
      <c r="H200" s="50" t="str">
        <f>IF(OR(ISTEXT(H195),ISTEXT(H198),ISTEXT(H199)),"n/d",(1+H195)/((1+H198)*(1+H199))-1)</f>
        <v>n/d</v>
      </c>
      <c r="I200" s="2" t="s">
        <v>102</v>
      </c>
      <c r="J200" s="2"/>
    </row>
    <row r="201">
      <c r="A201" s="3"/>
      <c r="B201" s="19" t="s">
        <v>85</v>
      </c>
      <c r="C201" s="6">
        <f>C195</f>
        <v>0.18044070314434268</v>
      </c>
      <c r="D201" s="6">
        <f>D195</f>
        <v>0.1799503722084368</v>
      </c>
      <c r="E201" s="6">
        <f>E195</f>
        <v>0.17152786396921926</v>
      </c>
      <c r="F201" s="6">
        <f>F195</f>
        <v>0.04340097121054454</v>
      </c>
      <c r="G201" s="6">
        <f>G195</f>
        <v>-0.0032052633798659302</v>
      </c>
      <c r="H201" s="50">
        <f>H195</f>
        <v>-0.036650027266244445</v>
      </c>
      <c r="I201" s="2"/>
      <c r="J201" s="2"/>
    </row>
    <row r="202">
      <c r="A202" s="3"/>
      <c r="B202" s="23" t="s">
        <v>186</v>
      </c>
      <c r="C202" s="8">
        <f>C168+C181+C193</f>
        <v>87070</v>
      </c>
      <c r="D202" s="8">
        <f>D168+D181+D193</f>
        <v>87113</v>
      </c>
      <c r="E202" s="8">
        <f>E168+E181+E193</f>
        <v>344903</v>
      </c>
      <c r="F202" s="8">
        <f>F168+F181+F193</f>
        <v>86265</v>
      </c>
      <c r="G202" s="8">
        <f>G168+G181+G193</f>
        <v>86017</v>
      </c>
      <c r="H202" s="29">
        <f>H168+H181+H193</f>
        <v>85660.4325</v>
      </c>
      <c r="I202" s="2"/>
      <c r="J202" s="2"/>
    </row>
    <row r="203">
      <c r="A203" s="3"/>
      <c r="B203" s="28" t="s">
        <v>187</v>
      </c>
      <c r="C203" s="31">
        <v>87070</v>
      </c>
      <c r="D203" s="31">
        <v>87113</v>
      </c>
      <c r="E203" s="31">
        <v>344903</v>
      </c>
      <c r="F203" s="31">
        <v>86265</v>
      </c>
      <c r="G203" s="31">
        <v>86017</v>
      </c>
      <c r="H203" s="27"/>
      <c r="I203" s="2"/>
      <c r="J203" s="2"/>
    </row>
    <row r="204">
      <c r="A204" s="3"/>
      <c r="B204" s="28" t="s">
        <v>188</v>
      </c>
      <c r="C204" s="1">
        <f>C202-C203</f>
        <v>0</v>
      </c>
      <c r="D204" s="1">
        <f>D202-D203</f>
        <v>0</v>
      </c>
      <c r="E204" s="1">
        <f>E202-E203</f>
        <v>0</v>
      </c>
      <c r="F204" s="1">
        <f>F202-F203</f>
        <v>0</v>
      </c>
      <c r="G204" s="1">
        <f>G202-G203</f>
        <v>0</v>
      </c>
      <c r="H204" s="27" t="s">
        <v>53</v>
      </c>
      <c r="I204" s="2"/>
      <c r="J204" s="2"/>
    </row>
    <row r="205">
      <c r="A205" s="3"/>
      <c r="B205" s="28" t="s">
        <v>78</v>
      </c>
      <c r="C205" s="31">
        <v>74853</v>
      </c>
      <c r="D205" s="31">
        <v>74132</v>
      </c>
      <c r="E205" s="31">
        <v>298208</v>
      </c>
      <c r="F205" s="31">
        <v>84617</v>
      </c>
      <c r="G205" s="31">
        <v>86103</v>
      </c>
      <c r="H205" s="27">
        <f>C202</f>
        <v>87070</v>
      </c>
      <c r="I205" s="2"/>
      <c r="J205" s="2"/>
    </row>
    <row r="206">
      <c r="A206" s="3"/>
      <c r="B206" s="45" t="s">
        <v>79</v>
      </c>
      <c r="C206" s="6">
        <f>IFERROR(C202/C205-1,"n/a")</f>
        <v>0.1632132312666159</v>
      </c>
      <c r="D206" s="6">
        <f>IFERROR(D202/D205-1,"n/a")</f>
        <v>0.17510656666486812</v>
      </c>
      <c r="E206" s="6">
        <f>IFERROR(E202/E205-1,"n/a")</f>
        <v>0.15658533640948602</v>
      </c>
      <c r="F206" s="6">
        <f>IFERROR(F202/F205-1,"n/a")</f>
        <v>0.019475991821974237</v>
      </c>
      <c r="G206" s="6">
        <f>IFERROR(G202/G205-1,"n/a")</f>
        <v>-0.0009988037582895348</v>
      </c>
      <c r="H206" s="50">
        <f>IFERROR(H202/C202-1,"n/a")</f>
        <v>-0.01618889973584481</v>
      </c>
      <c r="I206" s="2"/>
      <c r="J206" s="2"/>
    </row>
    <row r="207">
      <c r="A207" s="3"/>
      <c r="B207" s="45" t="s">
        <v>80</v>
      </c>
      <c r="C207" s="6" t="s">
        <v>53</v>
      </c>
      <c r="D207" s="6">
        <f>IFERROR(D202/C202-1,"n/a")</f>
        <v>0.0004938555185483029</v>
      </c>
      <c r="E207" s="6" t="s">
        <v>53</v>
      </c>
      <c r="F207" s="6">
        <f>IFERROR(F202/D202-1,"n/a")</f>
        <v>-0.009734482798204658</v>
      </c>
      <c r="G207" s="6">
        <f>IFERROR(G202/F202-1,"n/a")</f>
        <v>-0.002874862342781004</v>
      </c>
      <c r="H207" s="50">
        <f>IFERROR(H202/G202-1,"n/a")</f>
        <v>-0.004145314298336422</v>
      </c>
      <c r="I207" s="2"/>
      <c r="J207" s="2"/>
    </row>
    <row r="208">
      <c r="A208" s="3"/>
      <c r="B208" s="19" t="s">
        <v>82</v>
      </c>
      <c r="C208" s="6" t="s">
        <v>94</v>
      </c>
      <c r="D208" s="6" t="s">
        <v>94</v>
      </c>
      <c r="E208" s="6" t="s">
        <v>94</v>
      </c>
      <c r="F208" s="6" t="s">
        <v>94</v>
      </c>
      <c r="G208" s="6" t="s">
        <v>94</v>
      </c>
      <c r="H208" s="50" t="s">
        <v>94</v>
      </c>
      <c r="I208" s="2" t="s">
        <v>169</v>
      </c>
      <c r="J208" s="2"/>
    </row>
    <row r="209">
      <c r="A209" s="3"/>
      <c r="B209" s="19" t="s">
        <v>83</v>
      </c>
      <c r="C209" s="6" t="s">
        <v>94</v>
      </c>
      <c r="D209" s="6" t="s">
        <v>94</v>
      </c>
      <c r="E209" s="6" t="s">
        <v>94</v>
      </c>
      <c r="F209" s="6" t="s">
        <v>94</v>
      </c>
      <c r="G209" s="6" t="s">
        <v>94</v>
      </c>
      <c r="H209" s="50" t="s">
        <v>94</v>
      </c>
      <c r="I209" s="2" t="s">
        <v>111</v>
      </c>
      <c r="J209" s="2"/>
    </row>
    <row r="210">
      <c r="A210" s="3"/>
      <c r="B210" s="19" t="s">
        <v>84</v>
      </c>
      <c r="C210" s="6" t="str">
        <f>IF(OR(ISTEXT(C206),ISTEXT(C208),ISTEXT(C209)),"n/d",(1+C206)/((1+C208)*(1+C209))-1)</f>
        <v>n/d</v>
      </c>
      <c r="D210" s="6" t="str">
        <f>IF(OR(ISTEXT(D206),ISTEXT(D208),ISTEXT(D209)),"n/d",(1+D206)/((1+D208)*(1+D209))-1)</f>
        <v>n/d</v>
      </c>
      <c r="E210" s="6" t="str">
        <f>IF(OR(ISTEXT(E206),ISTEXT(E208),ISTEXT(E209)),"n/d",(1+E206)/((1+E208)*(1+E209))-1)</f>
        <v>n/d</v>
      </c>
      <c r="F210" s="6" t="str">
        <f>IF(OR(ISTEXT(F206),ISTEXT(F208),ISTEXT(F209)),"n/d",(1+F206)/((1+F208)*(1+F209))-1)</f>
        <v>n/d</v>
      </c>
      <c r="G210" s="6" t="str">
        <f>IF(OR(ISTEXT(G206),ISTEXT(G208),ISTEXT(G209)),"n/d",(1+G206)/((1+G208)*(1+G209))-1)</f>
        <v>n/d</v>
      </c>
      <c r="H210" s="50" t="str">
        <f>IF(OR(ISTEXT(H206),ISTEXT(H208),ISTEXT(H209)),"n/d",(1+H206)/((1+H208)*(1+H209))-1)</f>
        <v>n/d</v>
      </c>
      <c r="I210" s="2" t="s">
        <v>102</v>
      </c>
      <c r="J210" s="2"/>
    </row>
    <row r="211">
      <c r="A211" s="3"/>
      <c r="B211" s="19" t="s">
        <v>85</v>
      </c>
      <c r="C211" s="6">
        <f>C206</f>
        <v>0.1632132312666159</v>
      </c>
      <c r="D211" s="6">
        <f>D206</f>
        <v>0.17510656666486812</v>
      </c>
      <c r="E211" s="6">
        <f>E206</f>
        <v>0.15658533640948602</v>
      </c>
      <c r="F211" s="6">
        <f>F206</f>
        <v>0.019475991821974237</v>
      </c>
      <c r="G211" s="6">
        <f>G206</f>
        <v>-0.0009988037582895348</v>
      </c>
      <c r="H211" s="50">
        <f>H206</f>
        <v>-0.01618889973584481</v>
      </c>
      <c r="I211" s="2"/>
      <c r="J211" s="2"/>
    </row>
    <row r="212">
      <c r="A212" s="3"/>
      <c r="B212" s="45" t="s">
        <v>189</v>
      </c>
      <c r="C212" s="6">
        <f>C147/C202</f>
        <v>0.21877799471689446</v>
      </c>
      <c r="D212" s="6">
        <f>D147/D202</f>
        <v>0.21667259766050992</v>
      </c>
      <c r="E212" s="6">
        <f>E147/E202</f>
        <v>0.22017784710483818</v>
      </c>
      <c r="F212" s="6">
        <f>F147/F202</f>
        <v>0.2226395409494001</v>
      </c>
      <c r="G212" s="6">
        <f>G147/G202</f>
        <v>0.22144459816082868</v>
      </c>
      <c r="H212" s="50">
        <f>H147/H202</f>
        <v>0.2227462486837199</v>
      </c>
      <c r="I212" s="2"/>
      <c r="J212" s="2"/>
    </row>
    <row r="213">
      <c r="A213" s="3"/>
      <c r="B213" s="19" t="s">
        <v>91</v>
      </c>
      <c r="C213" s="24" t="s">
        <v>53</v>
      </c>
      <c r="D213" s="24">
        <f>IFERROR((D212-C212)*10000,"n/a")</f>
        <v>-21.053970563845446</v>
      </c>
      <c r="E213" s="24" t="s">
        <v>53</v>
      </c>
      <c r="F213" s="24">
        <f>IFERROR((F212-D212)*10000,"n/a")</f>
        <v>59.669432888901916</v>
      </c>
      <c r="G213" s="24">
        <f>IFERROR((G212-F212)*10000,"n/a")</f>
        <v>-11.949427885714348</v>
      </c>
      <c r="H213" s="66">
        <f>IFERROR((H212-G212)*10000,"n/a")</f>
        <v>13.016505228912179</v>
      </c>
      <c r="I213" s="2"/>
      <c r="J213" s="2"/>
    </row>
    <row r="214">
      <c r="A214" s="3"/>
      <c r="B214" s="19" t="s">
        <v>92</v>
      </c>
      <c r="C214" s="24">
        <f>IFERROR((C212-C148/C205)*10000,"n/a")</f>
        <v>-348.5245429650513</v>
      </c>
      <c r="D214" s="24">
        <f>IFERROR((D212-D148/D205)*10000,"n/a")</f>
        <v>-398.83275646563936</v>
      </c>
      <c r="E214" s="24">
        <f>IFERROR((E212-E148/E205)*10000,"n/a")</f>
        <v>-296.1089095718564</v>
      </c>
      <c r="F214" s="24">
        <f>IFERROR((F212-F148/F205)*10000,"n/a")</f>
        <v>-26.816120104070084</v>
      </c>
      <c r="G214" s="24">
        <f>IFERROR((G212-G148/G205)*10000,"n/a")</f>
        <v>13.593514214583768</v>
      </c>
      <c r="H214" s="66">
        <f>(H212-C212)*10000</f>
        <v>39.6825396682543</v>
      </c>
      <c r="I214" s="2"/>
      <c r="J214" s="2"/>
    </row>
    <row r="215">
      <c r="A215" s="3"/>
      <c r="B215" s="45" t="s">
        <v>190</v>
      </c>
      <c r="C215" s="6">
        <f>C159/C202</f>
        <v>0.00948661996095096</v>
      </c>
      <c r="D215" s="6">
        <f>D159/D202</f>
        <v>0.009883714256195976</v>
      </c>
      <c r="E215" s="6">
        <f>E159/E202</f>
        <v>0.009533115107725941</v>
      </c>
      <c r="F215" s="6">
        <f>F159/F202</f>
        <v>0.01057207442183968</v>
      </c>
      <c r="G215" s="6">
        <f>G159/G202</f>
        <v>0.010974574793354803</v>
      </c>
      <c r="H215" s="50">
        <f>H159/H202</f>
        <v>0.011003475846330803</v>
      </c>
      <c r="I215" s="2"/>
      <c r="J215" s="2"/>
    </row>
    <row r="216">
      <c r="A216" s="3"/>
      <c r="B216" s="19" t="s">
        <v>91</v>
      </c>
      <c r="C216" s="24" t="s">
        <v>53</v>
      </c>
      <c r="D216" s="24">
        <f>IFERROR((D215-C215)*10000,"n/a")</f>
        <v>3.9709429524501654</v>
      </c>
      <c r="E216" s="24" t="s">
        <v>53</v>
      </c>
      <c r="F216" s="24">
        <f>IFERROR((F215-D215)*10000,"n/a")</f>
        <v>6.883601656437043</v>
      </c>
      <c r="G216" s="24">
        <f>IFERROR((G215-F215)*10000,"n/a")</f>
        <v>4.025003715151225</v>
      </c>
      <c r="H216" s="66">
        <f>IFERROR((H215-G215)*10000,"n/a")</f>
        <v>0.289010529759999</v>
      </c>
      <c r="I216" s="2"/>
      <c r="J216" s="2"/>
    </row>
    <row r="217">
      <c r="A217" s="3"/>
      <c r="B217" s="19" t="s">
        <v>92</v>
      </c>
      <c r="C217" s="24">
        <f>IFERROR((C215-C160/C205)*10000,"n/a")</f>
        <v>-7.8684937227549785</v>
      </c>
      <c r="D217" s="24">
        <f>IFERROR((D215-D160/D205)*10000,"n/a")</f>
        <v>-5.706104618744927</v>
      </c>
      <c r="E217" s="24">
        <f>IFERROR((E215-E160/E205)*10000,"n/a")</f>
        <v>-27.636710281255457</v>
      </c>
      <c r="F217" s="24">
        <f>IFERROR((F215-F160/F205)*10000,"n/a")</f>
        <v>13.304326713640073</v>
      </c>
      <c r="G217" s="24">
        <f>IFERROR((G215-G160/G205)*10000,"n/a")</f>
        <v>14.627110952258171</v>
      </c>
      <c r="H217" s="66">
        <f>(H215-C215)*10000</f>
        <v>15.168558853798434</v>
      </c>
      <c r="I217" s="2"/>
      <c r="J217" s="2"/>
    </row>
    <row r="218">
      <c r="A218" s="3"/>
      <c r="B218" s="45" t="s">
        <v>191</v>
      </c>
      <c r="C218" s="6">
        <f>C181/C202</f>
        <v>0.49794418284139197</v>
      </c>
      <c r="D218" s="6">
        <f>D181/D202</f>
        <v>0.5005108307600473</v>
      </c>
      <c r="E218" s="6">
        <f>E181/E202</f>
        <v>0.49661788966752973</v>
      </c>
      <c r="F218" s="6">
        <f>F181/F202</f>
        <v>0.4878224076972121</v>
      </c>
      <c r="G218" s="6">
        <f>G181/G202</f>
        <v>0.4928095609007522</v>
      </c>
      <c r="H218" s="50">
        <f>H181/H202</f>
        <v>0.4981533335125293</v>
      </c>
      <c r="I218" s="2"/>
      <c r="J218" s="2"/>
    </row>
    <row r="219">
      <c r="A219" s="3"/>
      <c r="B219" s="19" t="s">
        <v>91</v>
      </c>
      <c r="C219" s="24" t="s">
        <v>53</v>
      </c>
      <c r="D219" s="24">
        <f>IFERROR((D218-C218)*10000,"n/a")</f>
        <v>25.666479186553516</v>
      </c>
      <c r="E219" s="24" t="s">
        <v>53</v>
      </c>
      <c r="F219" s="24">
        <f>IFERROR((F218-D218)*10000,"n/a")</f>
        <v>-126.88423062835241</v>
      </c>
      <c r="G219" s="24">
        <f>IFERROR((G218-F218)*10000,"n/a")</f>
        <v>49.87153203540095</v>
      </c>
      <c r="H219" s="66">
        <f>IFERROR((H218-G218)*10000,"n/a")</f>
        <v>53.43772611777098</v>
      </c>
      <c r="I219" s="2"/>
      <c r="J219" s="2"/>
    </row>
    <row r="220">
      <c r="A220" s="3"/>
      <c r="B220" s="19" t="s">
        <v>92</v>
      </c>
      <c r="C220" s="24">
        <f>IFERROR((C218-C182/C205)*10000,"n/a")</f>
        <v>316.4356696761267</v>
      </c>
      <c r="D220" s="24">
        <f>IFERROR((D218-D182/D205)*10000,"n/a")</f>
        <v>393.33471455023863</v>
      </c>
      <c r="E220" s="24">
        <f>IFERROR((E218-E182/E205)*10000,"n/a")</f>
        <v>288.83958988272286</v>
      </c>
      <c r="F220" s="24">
        <f>IFERROR((F218-F182/F205)*10000,"n/a")</f>
        <v>-50.454557344860596</v>
      </c>
      <c r="G220" s="24">
        <f>IFERROR((G218-G182/G205)*10000,"n/a")</f>
        <v>-22.13841303584485</v>
      </c>
      <c r="H220" s="66">
        <f>(H218-C218)*10000</f>
        <v>2.091506711373037</v>
      </c>
      <c r="I220" s="2"/>
      <c r="J220" s="2"/>
    </row>
    <row r="221">
      <c r="A221" s="3"/>
      <c r="B221" s="45" t="s">
        <v>192</v>
      </c>
      <c r="C221" s="6">
        <f>C193/C202</f>
        <v>0.2737912024807626</v>
      </c>
      <c r="D221" s="6">
        <f>D193/D202</f>
        <v>0.2729328573232468</v>
      </c>
      <c r="E221" s="6">
        <f>E193/E202</f>
        <v>0.27367114811990617</v>
      </c>
      <c r="F221" s="6">
        <f>F193/F202</f>
        <v>0.2789659769315481</v>
      </c>
      <c r="G221" s="6">
        <f>G193/G202</f>
        <v>0.27477126614506436</v>
      </c>
      <c r="H221" s="50">
        <f>H193/H202</f>
        <v>0.26809694195742007</v>
      </c>
      <c r="I221" s="2"/>
      <c r="J221" s="2"/>
    </row>
    <row r="222">
      <c r="A222" s="3"/>
      <c r="B222" s="19" t="s">
        <v>91</v>
      </c>
      <c r="C222" s="24" t="s">
        <v>53</v>
      </c>
      <c r="D222" s="24">
        <f>IFERROR((D221-C221)*10000,"n/a")</f>
        <v>-8.583451575158163</v>
      </c>
      <c r="E222" s="24" t="s">
        <v>53</v>
      </c>
      <c r="F222" s="24">
        <f>IFERROR((F221-D221)*10000,"n/a")</f>
        <v>60.331196083013296</v>
      </c>
      <c r="G222" s="24">
        <f>IFERROR((G221-F221)*10000,"n/a")</f>
        <v>-41.94710786483758</v>
      </c>
      <c r="H222" s="66">
        <f>IFERROR((H221-G221)*10000,"n/a")</f>
        <v>-66.74324187644298</v>
      </c>
      <c r="I222" s="2"/>
      <c r="J222" s="2"/>
    </row>
    <row r="223">
      <c r="A223" s="3"/>
      <c r="B223" s="19" t="s">
        <v>92</v>
      </c>
      <c r="C223" s="24">
        <f>IFERROR((C221-C194/C205)*10000,"n/a")</f>
        <v>39.95736701167929</v>
      </c>
      <c r="D223" s="24">
        <f>IFERROR((D221-D194/D205)*10000,"n/a")</f>
        <v>11.204146534146142</v>
      </c>
      <c r="E223" s="24">
        <f>IFERROR((E221-E194/E205)*10000,"n/a")</f>
        <v>34.90602997038905</v>
      </c>
      <c r="F223" s="24">
        <f>IFERROR((F221-F194/F205)*10000,"n/a")</f>
        <v>63.966350735290554</v>
      </c>
      <c r="G223" s="24">
        <f>IFERROR((G221-G194/G205)*10000,"n/a")</f>
        <v>-6.082212130996689</v>
      </c>
      <c r="H223" s="66">
        <f>(H221-C221)*10000</f>
        <v>-56.942605233425425</v>
      </c>
      <c r="I223" s="2"/>
      <c r="J223" s="2"/>
    </row>
    <row r="224">
      <c r="A224" s="3"/>
      <c r="B224" s="3"/>
      <c r="C224" s="3"/>
      <c r="D224" s="3"/>
      <c r="E224" s="3"/>
      <c r="F224" s="3"/>
      <c r="G224" s="3"/>
      <c r="H224" s="13"/>
      <c r="I224" s="2"/>
      <c r="J224" s="2"/>
    </row>
    <row r="225">
      <c r="A225" s="3"/>
      <c r="B225" s="23" t="s">
        <v>193</v>
      </c>
      <c r="C225" s="3"/>
      <c r="D225" s="3"/>
      <c r="E225" s="3"/>
      <c r="F225" s="3"/>
      <c r="G225" s="3"/>
      <c r="H225" s="13"/>
      <c r="I225" s="2"/>
      <c r="J225" s="2"/>
    </row>
    <row r="226">
      <c r="A226" s="3"/>
      <c r="B226" s="25" t="s">
        <v>194</v>
      </c>
      <c r="C226" s="31">
        <v>83924</v>
      </c>
      <c r="D226" s="10">
        <f>Inputs!D176-Inputs!C176</f>
        <v>83934</v>
      </c>
      <c r="E226" s="10">
        <f>Inputs!D176</f>
        <v>332390</v>
      </c>
      <c r="F226" s="31">
        <v>82986</v>
      </c>
      <c r="G226" s="31">
        <v>82613</v>
      </c>
      <c r="H226" s="27">
        <f>H202-H235-H244</f>
        <v>82190.4325</v>
      </c>
      <c r="I226" s="2" t="s">
        <v>195</v>
      </c>
      <c r="J226" s="2"/>
    </row>
    <row r="227">
      <c r="A227" s="3"/>
      <c r="B227" s="75" t="s">
        <v>196</v>
      </c>
      <c r="C227" s="31">
        <v>71624</v>
      </c>
      <c r="D227" s="1" t="s">
        <v>53</v>
      </c>
      <c r="E227" s="31">
        <v>286004</v>
      </c>
      <c r="F227" s="31">
        <v>81513</v>
      </c>
      <c r="G227" s="31">
        <v>83019</v>
      </c>
      <c r="H227" s="27">
        <f>C226</f>
        <v>83924</v>
      </c>
      <c r="I227" s="2"/>
      <c r="J227" s="2"/>
    </row>
    <row r="228">
      <c r="A228" s="3"/>
      <c r="B228" s="19" t="s">
        <v>79</v>
      </c>
      <c r="C228" s="6">
        <f>IFERROR(C226/C227-1,"n/a")</f>
        <v>0.17173014631966943</v>
      </c>
      <c r="D228" s="6" t="str">
        <f>IFERROR(D226/D227-1,"n/a")</f>
        <v>n/a</v>
      </c>
      <c r="E228" s="6">
        <f>IFERROR(E226/E227-1,"n/a")</f>
        <v>0.16218654284555467</v>
      </c>
      <c r="F228" s="6">
        <f>IFERROR(F226/F227-1,"n/a")</f>
        <v>0.018070737183025987</v>
      </c>
      <c r="G228" s="6">
        <f>IFERROR(G226/G227-1,"n/a")</f>
        <v>-0.004890446765198342</v>
      </c>
      <c r="H228" s="50">
        <f>IFERROR(H226/C226-1,"n/a")</f>
        <v>-0.02065639745484016</v>
      </c>
      <c r="I228" s="2"/>
      <c r="J228" s="2"/>
    </row>
    <row r="229">
      <c r="A229" s="3"/>
      <c r="B229" s="19" t="s">
        <v>80</v>
      </c>
      <c r="C229" s="6" t="s">
        <v>53</v>
      </c>
      <c r="D229" s="6">
        <f>IFERROR(D226/C226-1,"n/a")</f>
        <v>0.0001191554263382244</v>
      </c>
      <c r="E229" s="6" t="s">
        <v>53</v>
      </c>
      <c r="F229" s="6">
        <f>IFERROR(F226/D226-1,"n/a")</f>
        <v>-0.011294588605332723</v>
      </c>
      <c r="G229" s="6">
        <f>IFERROR(G226/F226-1,"n/a")</f>
        <v>-0.004494734051526783</v>
      </c>
      <c r="H229" s="50">
        <f>IFERROR(H226/G226-1,"n/a")</f>
        <v>-0.005115024269788049</v>
      </c>
      <c r="I229" s="2"/>
      <c r="J229" s="2"/>
    </row>
    <row r="230">
      <c r="A230" s="3"/>
      <c r="B230" s="19" t="s">
        <v>197</v>
      </c>
      <c r="C230" s="6">
        <f>IFERROR(C226/C202,"n/d")</f>
        <v>0.9638681520615596</v>
      </c>
      <c r="D230" s="6">
        <f>IFERROR(D226/D202,"n/d")</f>
        <v>0.963507168849655</v>
      </c>
      <c r="E230" s="6">
        <f>IFERROR(E226/E202,"n/d")</f>
        <v>0.9637202343847401</v>
      </c>
      <c r="F230" s="6">
        <f>IFERROR(F226/F202,"n/d")</f>
        <v>0.9619892192662146</v>
      </c>
      <c r="G230" s="6">
        <f>IFERROR(G226/G202,"n/d")</f>
        <v>0.9604264273341316</v>
      </c>
      <c r="H230" s="50">
        <f>IFERROR(H226/H202,"n/d")</f>
        <v>0.9594912155037275</v>
      </c>
      <c r="I230" s="2"/>
      <c r="J230" s="2"/>
    </row>
    <row r="231">
      <c r="A231" s="3"/>
      <c r="B231" s="19" t="s">
        <v>82</v>
      </c>
      <c r="C231" s="6" t="s">
        <v>94</v>
      </c>
      <c r="D231" s="6" t="s">
        <v>94</v>
      </c>
      <c r="E231" s="6" t="s">
        <v>94</v>
      </c>
      <c r="F231" s="6" t="s">
        <v>94</v>
      </c>
      <c r="G231" s="6" t="s">
        <v>94</v>
      </c>
      <c r="H231" s="50" t="s">
        <v>94</v>
      </c>
      <c r="I231" s="2" t="s">
        <v>169</v>
      </c>
      <c r="J231" s="2"/>
    </row>
    <row r="232">
      <c r="A232" s="3"/>
      <c r="B232" s="19" t="s">
        <v>83</v>
      </c>
      <c r="C232" s="6" t="s">
        <v>94</v>
      </c>
      <c r="D232" s="6" t="s">
        <v>94</v>
      </c>
      <c r="E232" s="6" t="s">
        <v>94</v>
      </c>
      <c r="F232" s="6" t="s">
        <v>94</v>
      </c>
      <c r="G232" s="6" t="s">
        <v>94</v>
      </c>
      <c r="H232" s="50" t="s">
        <v>94</v>
      </c>
      <c r="I232" s="2" t="s">
        <v>111</v>
      </c>
      <c r="J232" s="2"/>
    </row>
    <row r="233">
      <c r="A233" s="3"/>
      <c r="B233" s="19" t="s">
        <v>84</v>
      </c>
      <c r="C233" s="6" t="str">
        <f>IF(OR(ISTEXT(C228),ISTEXT(C231),ISTEXT(C232)),"n/d",(1+C228)/((1+C231)*(1+C232))-1)</f>
        <v>n/d</v>
      </c>
      <c r="D233" s="6" t="str">
        <f>IF(OR(ISTEXT(D228),ISTEXT(D231),ISTEXT(D232)),"n/d",(1+D228)/((1+D231)*(1+D232))-1)</f>
        <v>n/d</v>
      </c>
      <c r="E233" s="6" t="str">
        <f>IF(OR(ISTEXT(E228),ISTEXT(E231),ISTEXT(E232)),"n/d",(1+E228)/((1+E231)*(1+E232))-1)</f>
        <v>n/d</v>
      </c>
      <c r="F233" s="6" t="str">
        <f>IF(OR(ISTEXT(F228),ISTEXT(F231),ISTEXT(F232)),"n/d",(1+F228)/((1+F231)*(1+F232))-1)</f>
        <v>n/d</v>
      </c>
      <c r="G233" s="6" t="str">
        <f>IF(OR(ISTEXT(G228),ISTEXT(G231),ISTEXT(G232)),"n/d",(1+G228)/((1+G231)*(1+G232))-1)</f>
        <v>n/d</v>
      </c>
      <c r="H233" s="50" t="str">
        <f>IF(OR(ISTEXT(H228),ISTEXT(H231),ISTEXT(H232)),"n/d",(1+H228)/((1+H231)*(1+H232))-1)</f>
        <v>n/d</v>
      </c>
      <c r="I233" s="2" t="s">
        <v>102</v>
      </c>
      <c r="J233" s="2"/>
    </row>
    <row r="234">
      <c r="A234" s="3"/>
      <c r="B234" s="19" t="s">
        <v>85</v>
      </c>
      <c r="C234" s="6">
        <f>C228</f>
        <v>0.17173014631966943</v>
      </c>
      <c r="D234" s="6" t="str">
        <f>D228</f>
        <v>n/a</v>
      </c>
      <c r="E234" s="6">
        <f>E228</f>
        <v>0.16218654284555467</v>
      </c>
      <c r="F234" s="6">
        <f>F228</f>
        <v>0.018070737183025987</v>
      </c>
      <c r="G234" s="6">
        <f>G228</f>
        <v>-0.004890446765198342</v>
      </c>
      <c r="H234" s="50">
        <f>H228</f>
        <v>-0.02065639745484016</v>
      </c>
      <c r="I234" s="2"/>
      <c r="J234" s="2"/>
    </row>
    <row r="235">
      <c r="A235" s="3"/>
      <c r="B235" s="25" t="s">
        <v>198</v>
      </c>
      <c r="C235" s="31">
        <v>2578</v>
      </c>
      <c r="D235" s="10">
        <f>Inputs!D177-Inputs!C177</f>
        <v>2675</v>
      </c>
      <c r="E235" s="10">
        <f>Inputs!D177</f>
        <v>10340</v>
      </c>
      <c r="F235" s="31">
        <v>2775</v>
      </c>
      <c r="G235" s="31">
        <v>2754</v>
      </c>
      <c r="H235" s="20">
        <v>2830</v>
      </c>
      <c r="I235" s="2" t="s">
        <v>199</v>
      </c>
      <c r="J235" s="2"/>
    </row>
    <row r="236">
      <c r="A236" s="3"/>
      <c r="B236" s="75" t="s">
        <v>196</v>
      </c>
      <c r="C236" s="31">
        <v>2422</v>
      </c>
      <c r="D236" s="1" t="s">
        <v>53</v>
      </c>
      <c r="E236" s="31">
        <v>9791</v>
      </c>
      <c r="F236" s="31">
        <v>2576</v>
      </c>
      <c r="G236" s="31">
        <v>2511</v>
      </c>
      <c r="H236" s="27">
        <f>C235</f>
        <v>2578</v>
      </c>
      <c r="I236" s="2"/>
      <c r="J236" s="2"/>
    </row>
    <row r="237">
      <c r="A237" s="3"/>
      <c r="B237" s="19" t="s">
        <v>79</v>
      </c>
      <c r="C237" s="6">
        <f>IFERROR(C235/C236-1,"n/a")</f>
        <v>0.06440957886044596</v>
      </c>
      <c r="D237" s="6" t="str">
        <f>IFERROR(D235/D236-1,"n/a")</f>
        <v>n/a</v>
      </c>
      <c r="E237" s="6">
        <f>IFERROR(E235/E236-1,"n/a")</f>
        <v>0.056071902767848014</v>
      </c>
      <c r="F237" s="6">
        <f>IFERROR(F235/F236-1,"n/a")</f>
        <v>0.07725155279503104</v>
      </c>
      <c r="G237" s="6">
        <f>IFERROR(G235/G236-1,"n/a")</f>
        <v>0.09677419354838701</v>
      </c>
      <c r="H237" s="50">
        <f>IFERROR(H235/C235-1,"n/a")</f>
        <v>0.09775019394879747</v>
      </c>
      <c r="I237" s="2"/>
      <c r="J237" s="2"/>
    </row>
    <row r="238">
      <c r="A238" s="3"/>
      <c r="B238" s="19" t="s">
        <v>80</v>
      </c>
      <c r="C238" s="6" t="s">
        <v>53</v>
      </c>
      <c r="D238" s="6">
        <f>IFERROR(D235/C235-1,"n/a")</f>
        <v>0.03762606671838631</v>
      </c>
      <c r="E238" s="6" t="s">
        <v>53</v>
      </c>
      <c r="F238" s="6">
        <f>IFERROR(F235/D235-1,"n/a")</f>
        <v>0.03738317757009346</v>
      </c>
      <c r="G238" s="6">
        <f>IFERROR(G235/F235-1,"n/a")</f>
        <v>-0.007567567567567601</v>
      </c>
      <c r="H238" s="50">
        <f>IFERROR(H235/G235-1,"n/a")</f>
        <v>0.027596223674654974</v>
      </c>
      <c r="I238" s="2"/>
      <c r="J238" s="2"/>
    </row>
    <row r="239">
      <c r="A239" s="3"/>
      <c r="B239" s="19" t="s">
        <v>197</v>
      </c>
      <c r="C239" s="6">
        <f>IFERROR(C235/C202,"n/d")</f>
        <v>0.029608361088779143</v>
      </c>
      <c r="D239" s="6">
        <f>IFERROR(D235/D202,"n/d")</f>
        <v>0.03070724231744975</v>
      </c>
      <c r="E239" s="6">
        <f>IFERROR(E235/E202,"n/d")</f>
        <v>0.02997944349570749</v>
      </c>
      <c r="F239" s="6">
        <f>IFERROR(F235/F202,"n/d")</f>
        <v>0.03216831855329508</v>
      </c>
      <c r="G239" s="6">
        <f>IFERROR(G235/G202,"n/d")</f>
        <v>0.032016926886545685</v>
      </c>
      <c r="H239" s="50">
        <f>IFERROR(H235/H202,"n/d")</f>
        <v>0.03303742366698884</v>
      </c>
      <c r="I239" s="2"/>
      <c r="J239" s="2"/>
    </row>
    <row r="240">
      <c r="A240" s="3"/>
      <c r="B240" s="19" t="s">
        <v>82</v>
      </c>
      <c r="C240" s="6" t="s">
        <v>94</v>
      </c>
      <c r="D240" s="6" t="s">
        <v>94</v>
      </c>
      <c r="E240" s="6" t="s">
        <v>94</v>
      </c>
      <c r="F240" s="6" t="s">
        <v>94</v>
      </c>
      <c r="G240" s="6" t="s">
        <v>94</v>
      </c>
      <c r="H240" s="50" t="s">
        <v>94</v>
      </c>
      <c r="I240" s="2" t="s">
        <v>169</v>
      </c>
      <c r="J240" s="2"/>
    </row>
    <row r="241">
      <c r="A241" s="3"/>
      <c r="B241" s="19" t="s">
        <v>83</v>
      </c>
      <c r="C241" s="6" t="s">
        <v>94</v>
      </c>
      <c r="D241" s="6" t="s">
        <v>94</v>
      </c>
      <c r="E241" s="6" t="s">
        <v>94</v>
      </c>
      <c r="F241" s="6" t="s">
        <v>94</v>
      </c>
      <c r="G241" s="6" t="s">
        <v>94</v>
      </c>
      <c r="H241" s="50" t="s">
        <v>94</v>
      </c>
      <c r="I241" s="2" t="s">
        <v>111</v>
      </c>
      <c r="J241" s="2"/>
    </row>
    <row r="242">
      <c r="A242" s="3"/>
      <c r="B242" s="19" t="s">
        <v>84</v>
      </c>
      <c r="C242" s="6" t="str">
        <f>IF(OR(ISTEXT(C237),ISTEXT(C240),ISTEXT(C241)),"n/d",(1+C237)/((1+C240)*(1+C241))-1)</f>
        <v>n/d</v>
      </c>
      <c r="D242" s="6" t="str">
        <f>IF(OR(ISTEXT(D237),ISTEXT(D240),ISTEXT(D241)),"n/d",(1+D237)/((1+D240)*(1+D241))-1)</f>
        <v>n/d</v>
      </c>
      <c r="E242" s="6" t="str">
        <f>IF(OR(ISTEXT(E237),ISTEXT(E240),ISTEXT(E241)),"n/d",(1+E237)/((1+E240)*(1+E241))-1)</f>
        <v>n/d</v>
      </c>
      <c r="F242" s="6" t="str">
        <f>IF(OR(ISTEXT(F237),ISTEXT(F240),ISTEXT(F241)),"n/d",(1+F237)/((1+F240)*(1+F241))-1)</f>
        <v>n/d</v>
      </c>
      <c r="G242" s="6" t="str">
        <f>IF(OR(ISTEXT(G237),ISTEXT(G240),ISTEXT(G241)),"n/d",(1+G237)/((1+G240)*(1+G241))-1)</f>
        <v>n/d</v>
      </c>
      <c r="H242" s="50" t="str">
        <f>IF(OR(ISTEXT(H237),ISTEXT(H240),ISTEXT(H241)),"n/d",(1+H237)/((1+H240)*(1+H241))-1)</f>
        <v>n/d</v>
      </c>
      <c r="I242" s="2" t="s">
        <v>102</v>
      </c>
      <c r="J242" s="2"/>
    </row>
    <row r="243">
      <c r="A243" s="3"/>
      <c r="B243" s="19" t="s">
        <v>85</v>
      </c>
      <c r="C243" s="6">
        <f>C237</f>
        <v>0.06440957886044596</v>
      </c>
      <c r="D243" s="6" t="str">
        <f>D237</f>
        <v>n/a</v>
      </c>
      <c r="E243" s="6">
        <f>E237</f>
        <v>0.056071902767848014</v>
      </c>
      <c r="F243" s="6">
        <f>F237</f>
        <v>0.07725155279503104</v>
      </c>
      <c r="G243" s="6">
        <f>G237</f>
        <v>0.09677419354838701</v>
      </c>
      <c r="H243" s="50">
        <f>H237</f>
        <v>0.09775019394879747</v>
      </c>
      <c r="I243" s="2"/>
      <c r="J243" s="2"/>
    </row>
    <row r="244">
      <c r="A244" s="3"/>
      <c r="B244" s="25" t="s">
        <v>200</v>
      </c>
      <c r="C244" s="31">
        <v>568</v>
      </c>
      <c r="D244" s="10">
        <f>Inputs!D178-Inputs!C178</f>
        <v>504</v>
      </c>
      <c r="E244" s="10">
        <f>Inputs!D178</f>
        <v>2173</v>
      </c>
      <c r="F244" s="31">
        <v>504</v>
      </c>
      <c r="G244" s="31">
        <v>650</v>
      </c>
      <c r="H244" s="20">
        <v>640</v>
      </c>
      <c r="I244" s="2" t="s">
        <v>201</v>
      </c>
      <c r="J244" s="2"/>
    </row>
    <row r="245">
      <c r="A245" s="3"/>
      <c r="B245" s="75" t="s">
        <v>196</v>
      </c>
      <c r="C245" s="31">
        <v>807</v>
      </c>
      <c r="D245" s="1" t="s">
        <v>53</v>
      </c>
      <c r="E245" s="31">
        <v>2413</v>
      </c>
      <c r="F245" s="31">
        <v>528</v>
      </c>
      <c r="G245" s="31">
        <v>573</v>
      </c>
      <c r="H245" s="27">
        <f>C244</f>
        <v>568</v>
      </c>
      <c r="I245" s="2"/>
      <c r="J245" s="2"/>
    </row>
    <row r="246">
      <c r="A246" s="3"/>
      <c r="B246" s="19" t="s">
        <v>79</v>
      </c>
      <c r="C246" s="6">
        <f>IFERROR(C244/C245-1,"n/a")</f>
        <v>-0.2961586121437423</v>
      </c>
      <c r="D246" s="6" t="str">
        <f>IFERROR(D244/D245-1,"n/a")</f>
        <v>n/a</v>
      </c>
      <c r="E246" s="6">
        <f>IFERROR(E244/E245-1,"n/a")</f>
        <v>-0.09946125155408203</v>
      </c>
      <c r="F246" s="6">
        <f>IFERROR(F244/F245-1,"n/a")</f>
        <v>-0.045454545454545414</v>
      </c>
      <c r="G246" s="6">
        <f>IFERROR(G244/G245-1,"n/a")</f>
        <v>0.13438045375218155</v>
      </c>
      <c r="H246" s="50">
        <f>IFERROR(H244/C244-1,"n/a")</f>
        <v>0.12676056338028174</v>
      </c>
      <c r="I246" s="2"/>
      <c r="J246" s="2"/>
    </row>
    <row r="247">
      <c r="A247" s="3"/>
      <c r="B247" s="19" t="s">
        <v>80</v>
      </c>
      <c r="C247" s="6" t="s">
        <v>53</v>
      </c>
      <c r="D247" s="6">
        <f>IFERROR(D244/C244-1,"n/a")</f>
        <v>-0.11267605633802813</v>
      </c>
      <c r="E247" s="6" t="s">
        <v>53</v>
      </c>
      <c r="F247" s="6">
        <f>IFERROR(F244/D244-1,"n/a")</f>
        <v>0</v>
      </c>
      <c r="G247" s="6">
        <f>IFERROR(G244/F244-1,"n/a")</f>
        <v>0.28968253968253976</v>
      </c>
      <c r="H247" s="50">
        <f>IFERROR(H244/G244-1,"n/a")</f>
        <v>-0.01538461538461533</v>
      </c>
      <c r="I247" s="2"/>
      <c r="J247" s="2"/>
    </row>
    <row r="248">
      <c r="A248" s="3"/>
      <c r="B248" s="19" t="s">
        <v>197</v>
      </c>
      <c r="C248" s="6">
        <f>IFERROR(C244/C202,"n/d")</f>
        <v>0.006523486849661192</v>
      </c>
      <c r="D248" s="6">
        <f>IFERROR(D244/D202,"n/d")</f>
        <v>0.005785588832895205</v>
      </c>
      <c r="E248" s="6">
        <f>IFERROR(E244/E202,"n/d")</f>
        <v>0.006300322119552454</v>
      </c>
      <c r="F248" s="6">
        <f>IFERROR(F244/F202,"n/d")</f>
        <v>0.00584246218049035</v>
      </c>
      <c r="G248" s="6">
        <f>IFERROR(G244/G202,"n/d")</f>
        <v>0.007556645779322692</v>
      </c>
      <c r="H248" s="50">
        <f>IFERROR(H244/H202,"n/d")</f>
        <v>0.007471360829283695</v>
      </c>
      <c r="I248" s="2"/>
      <c r="J248" s="2"/>
    </row>
    <row r="249">
      <c r="A249" s="3"/>
      <c r="B249" s="19" t="s">
        <v>82</v>
      </c>
      <c r="C249" s="6" t="s">
        <v>94</v>
      </c>
      <c r="D249" s="6" t="s">
        <v>94</v>
      </c>
      <c r="E249" s="6" t="s">
        <v>94</v>
      </c>
      <c r="F249" s="6" t="s">
        <v>94</v>
      </c>
      <c r="G249" s="6" t="s">
        <v>94</v>
      </c>
      <c r="H249" s="50" t="s">
        <v>94</v>
      </c>
      <c r="I249" s="2" t="s">
        <v>169</v>
      </c>
      <c r="J249" s="2"/>
    </row>
    <row r="250">
      <c r="A250" s="3"/>
      <c r="B250" s="19" t="s">
        <v>83</v>
      </c>
      <c r="C250" s="6" t="s">
        <v>94</v>
      </c>
      <c r="D250" s="6" t="s">
        <v>94</v>
      </c>
      <c r="E250" s="6" t="s">
        <v>94</v>
      </c>
      <c r="F250" s="6" t="s">
        <v>94</v>
      </c>
      <c r="G250" s="6" t="s">
        <v>94</v>
      </c>
      <c r="H250" s="50" t="s">
        <v>94</v>
      </c>
      <c r="I250" s="2" t="s">
        <v>111</v>
      </c>
      <c r="J250" s="2"/>
    </row>
    <row r="251">
      <c r="A251" s="3"/>
      <c r="B251" s="19" t="s">
        <v>84</v>
      </c>
      <c r="C251" s="6" t="str">
        <f>IF(OR(ISTEXT(C246),ISTEXT(C249),ISTEXT(C250)),"n/d",(1+C246)/((1+C249)*(1+C250))-1)</f>
        <v>n/d</v>
      </c>
      <c r="D251" s="6" t="str">
        <f>IF(OR(ISTEXT(D246),ISTEXT(D249),ISTEXT(D250)),"n/d",(1+D246)/((1+D249)*(1+D250))-1)</f>
        <v>n/d</v>
      </c>
      <c r="E251" s="6" t="str">
        <f>IF(OR(ISTEXT(E246),ISTEXT(E249),ISTEXT(E250)),"n/d",(1+E246)/((1+E249)*(1+E250))-1)</f>
        <v>n/d</v>
      </c>
      <c r="F251" s="6" t="str">
        <f>IF(OR(ISTEXT(F246),ISTEXT(F249),ISTEXT(F250)),"n/d",(1+F246)/((1+F249)*(1+F250))-1)</f>
        <v>n/d</v>
      </c>
      <c r="G251" s="6" t="str">
        <f>IF(OR(ISTEXT(G246),ISTEXT(G249),ISTEXT(G250)),"n/d",(1+G246)/((1+G249)*(1+G250))-1)</f>
        <v>n/d</v>
      </c>
      <c r="H251" s="50" t="str">
        <f>IF(OR(ISTEXT(H246),ISTEXT(H249),ISTEXT(H250)),"n/d",(1+H246)/((1+H249)*(1+H250))-1)</f>
        <v>n/d</v>
      </c>
      <c r="I251" s="2" t="s">
        <v>102</v>
      </c>
      <c r="J251" s="2"/>
    </row>
    <row r="252">
      <c r="A252" s="3"/>
      <c r="B252" s="19" t="s">
        <v>85</v>
      </c>
      <c r="C252" s="6">
        <f>C246</f>
        <v>-0.2961586121437423</v>
      </c>
      <c r="D252" s="6" t="str">
        <f>D246</f>
        <v>n/a</v>
      </c>
      <c r="E252" s="6">
        <f>E246</f>
        <v>-0.09946125155408203</v>
      </c>
      <c r="F252" s="6">
        <f>F246</f>
        <v>-0.045454545454545414</v>
      </c>
      <c r="G252" s="6">
        <f>G246</f>
        <v>0.13438045375218155</v>
      </c>
      <c r="H252" s="50">
        <f>H246</f>
        <v>0.12676056338028174</v>
      </c>
      <c r="I252" s="2"/>
      <c r="J252" s="2"/>
    </row>
    <row r="253">
      <c r="A253" s="3"/>
      <c r="B253" s="69" t="s">
        <v>202</v>
      </c>
      <c r="C253" s="8">
        <f>IFERROR(C226+C235,"n/d")</f>
        <v>86502</v>
      </c>
      <c r="D253" s="8">
        <f>IFERROR(D226+D235,"n/d")</f>
        <v>86609</v>
      </c>
      <c r="E253" s="8">
        <f>IFERROR(E226+E235,"n/d")</f>
        <v>342730</v>
      </c>
      <c r="F253" s="8">
        <f>IFERROR(F226+F235,"n/d")</f>
        <v>85761</v>
      </c>
      <c r="G253" s="8">
        <f>IFERROR(G226+G235,"n/d")</f>
        <v>85367</v>
      </c>
      <c r="H253" s="29">
        <f>IFERROR(H226+H235,"n/d")</f>
        <v>85020.4325</v>
      </c>
      <c r="I253" s="2"/>
      <c r="J253" s="2"/>
    </row>
    <row r="254">
      <c r="A254" s="3"/>
      <c r="B254" s="69" t="s">
        <v>203</v>
      </c>
      <c r="C254" s="8">
        <f>IFERROR(C226+C235+C244,"n/d")</f>
        <v>87070</v>
      </c>
      <c r="D254" s="8">
        <f>IFERROR(D226+D235+D244,"n/d")</f>
        <v>87113</v>
      </c>
      <c r="E254" s="8">
        <f>IFERROR(E226+E235+E244,"n/d")</f>
        <v>344903</v>
      </c>
      <c r="F254" s="8">
        <f>IFERROR(F226+F235+F244,"n/d")</f>
        <v>86265</v>
      </c>
      <c r="G254" s="8">
        <f>IFERROR(G226+G235+G244,"n/d")</f>
        <v>86017</v>
      </c>
      <c r="H254" s="29">
        <f>IFERROR(H226+H235+H244,"n/d")</f>
        <v>85660.4325</v>
      </c>
      <c r="I254" s="2"/>
      <c r="J254" s="2"/>
    </row>
    <row r="255">
      <c r="A255" s="3"/>
      <c r="B255" s="28" t="s">
        <v>204</v>
      </c>
      <c r="C255" s="1">
        <f>IFERROR(C254-C202,"n/a")</f>
        <v>0</v>
      </c>
      <c r="D255" s="1">
        <f>IFERROR(D254-D202,"n/a")</f>
        <v>0</v>
      </c>
      <c r="E255" s="1">
        <f>IFERROR(E254-E202,"n/a")</f>
        <v>0</v>
      </c>
      <c r="F255" s="1">
        <f>IFERROR(F254-F202,"n/a")</f>
        <v>0</v>
      </c>
      <c r="G255" s="1">
        <f>IFERROR(G254-G202,"n/a")</f>
        <v>0</v>
      </c>
      <c r="H255" s="27">
        <f>IFERROR(H254-H202,"n/a")</f>
        <v>0</v>
      </c>
      <c r="I255" s="2" t="s">
        <v>205</v>
      </c>
      <c r="J255" s="2"/>
    </row>
    <row r="256">
      <c r="A256" s="3"/>
      <c r="B256" s="3"/>
      <c r="C256" s="3"/>
      <c r="D256" s="3"/>
      <c r="E256" s="3"/>
      <c r="F256" s="3"/>
      <c r="G256" s="3"/>
      <c r="H256" s="13"/>
      <c r="I256" s="2"/>
      <c r="J256" s="2"/>
    </row>
    <row r="257">
      <c r="A257" s="3"/>
      <c r="B257" s="23" t="s">
        <v>206</v>
      </c>
      <c r="C257" s="3"/>
      <c r="D257" s="3"/>
      <c r="E257" s="3"/>
      <c r="F257" s="3"/>
      <c r="G257" s="3"/>
      <c r="H257" s="13"/>
      <c r="I257" s="2"/>
      <c r="J257" s="2"/>
    </row>
    <row r="258">
      <c r="A258" s="3"/>
      <c r="B258" s="23" t="s">
        <v>207</v>
      </c>
      <c r="C258" s="57">
        <v>1805</v>
      </c>
      <c r="D258" s="57">
        <v>319</v>
      </c>
      <c r="E258" s="57">
        <v>9425</v>
      </c>
      <c r="F258" s="57">
        <v>5694</v>
      </c>
      <c r="G258" s="57">
        <v>3942</v>
      </c>
      <c r="H258" s="64">
        <f>'Income Statement'!H79-'Segment - Optum Health'!H93-'Segment - Optum Insight'!H70-'Segment - Optum Rx'!H76</f>
        <v>2607.1931391582534</v>
      </c>
      <c r="I258" s="2" t="s">
        <v>208</v>
      </c>
      <c r="J258" s="2"/>
    </row>
    <row r="259">
      <c r="A259" s="3"/>
      <c r="B259" s="28" t="s">
        <v>209</v>
      </c>
      <c r="C259" s="31">
        <v>4212</v>
      </c>
      <c r="D259" s="31">
        <v>2973</v>
      </c>
      <c r="E259" s="31">
        <v>15584</v>
      </c>
      <c r="F259" s="31">
        <v>5226</v>
      </c>
      <c r="G259" s="31">
        <v>2075</v>
      </c>
      <c r="H259" s="27">
        <f>C258</f>
        <v>1805</v>
      </c>
      <c r="I259" s="2"/>
      <c r="J259" s="2"/>
    </row>
    <row r="260">
      <c r="A260" s="3"/>
      <c r="B260" s="45" t="s">
        <v>79</v>
      </c>
      <c r="C260" s="6">
        <f>IFERROR(C258/C259-1,"n/a")</f>
        <v>-0.5714624881291548</v>
      </c>
      <c r="D260" s="6">
        <f>IFERROR(D258/D259-1,"n/a")</f>
        <v>-0.8927009754456777</v>
      </c>
      <c r="E260" s="6">
        <f>IFERROR(E258/E259-1,"n/a")</f>
        <v>-0.39521303901437377</v>
      </c>
      <c r="F260" s="6">
        <f>IFERROR(F258/F259-1,"n/a")</f>
        <v>0.08955223880597019</v>
      </c>
      <c r="G260" s="6">
        <f>IFERROR(G258/G259-1,"n/a")</f>
        <v>0.8997590361445784</v>
      </c>
      <c r="H260" s="50">
        <f>IFERROR(H258/C258-1,"n/a")</f>
        <v>0.44442833194363063</v>
      </c>
      <c r="I260" s="2"/>
      <c r="J260" s="2"/>
    </row>
    <row r="261">
      <c r="A261" s="3"/>
      <c r="B261" s="45" t="s">
        <v>80</v>
      </c>
      <c r="C261" s="6" t="s">
        <v>53</v>
      </c>
      <c r="D261" s="6">
        <f>IFERROR(D258/C258-1,"n/a")</f>
        <v>-0.8232686980609418</v>
      </c>
      <c r="E261" s="6" t="s">
        <v>53</v>
      </c>
      <c r="F261" s="6">
        <f>IFERROR(F258/D258-1,"n/a")</f>
        <v>16.849529780564264</v>
      </c>
      <c r="G261" s="6">
        <f>IFERROR(G258/F258-1,"n/a")</f>
        <v>-0.3076923076923077</v>
      </c>
      <c r="H261" s="50">
        <f>IFERROR(H258/G258-1,"n/a")</f>
        <v>-0.33861158316634865</v>
      </c>
      <c r="I261" s="2" t="s">
        <v>210</v>
      </c>
      <c r="J261" s="2"/>
    </row>
    <row r="262">
      <c r="A262" s="3"/>
      <c r="B262" s="58" t="s">
        <v>211</v>
      </c>
      <c r="C262" s="6">
        <f>C258/C202</f>
        <v>0.020730446766969106</v>
      </c>
      <c r="D262" s="6">
        <f>D258/D202</f>
        <v>0.0036619103922491477</v>
      </c>
      <c r="E262" s="6">
        <f>E258/E202</f>
        <v>0.027326523689269158</v>
      </c>
      <c r="F262" s="6">
        <f>F258/F202</f>
        <v>0.06600591201530169</v>
      </c>
      <c r="G262" s="6">
        <f>G258/G202</f>
        <v>0.04582815024936931</v>
      </c>
      <c r="H262" s="50">
        <f>H258/H202</f>
        <v>0.030436376084819014</v>
      </c>
      <c r="I262" s="2"/>
      <c r="J262" s="2"/>
    </row>
    <row r="263">
      <c r="A263" s="3"/>
      <c r="B263" s="45" t="s">
        <v>91</v>
      </c>
      <c r="C263" s="24" t="s">
        <v>53</v>
      </c>
      <c r="D263" s="24">
        <f>IFERROR((D262-C262)*10000,"n/a")</f>
        <v>-170.68536374719957</v>
      </c>
      <c r="E263" s="24" t="s">
        <v>53</v>
      </c>
      <c r="F263" s="24">
        <f>IFERROR((F262-D262)*10000,"n/a")</f>
        <v>623.4400162305254</v>
      </c>
      <c r="G263" s="24">
        <f>IFERROR((G262-F262)*10000,"n/a")</f>
        <v>-201.77761765932382</v>
      </c>
      <c r="H263" s="66">
        <f>IFERROR((H262-G262)*10000,"n/a")</f>
        <v>-153.91774164550293</v>
      </c>
      <c r="I263" s="2"/>
      <c r="J263" s="2"/>
    </row>
    <row r="264">
      <c r="A264" s="3"/>
      <c r="B264" s="45" t="s">
        <v>92</v>
      </c>
      <c r="C264" s="24">
        <f>IFERROR((C262-C259/C205)*10000,"n/a")</f>
        <v>-355.39843000976066</v>
      </c>
      <c r="D264" s="24">
        <f>IFERROR((D262-D259/D205)*10000,"n/a")</f>
        <v>-364.4222817139409</v>
      </c>
      <c r="E264" s="24">
        <f>IFERROR((E262-E259/E205)*10000,"n/a")</f>
        <v>-249.32302365028514</v>
      </c>
      <c r="F264" s="24">
        <f>IFERROR((F262-F259/F205)*10000,"n/a")</f>
        <v>42.452729002302526</v>
      </c>
      <c r="G264" s="24">
        <f>IFERROR((G262-G259/G205)*10000,"n/a")</f>
        <v>217.29106081337997</v>
      </c>
      <c r="H264" s="66">
        <f>(H262-C262)*10000</f>
        <v>97.05929317849908</v>
      </c>
      <c r="I264" s="2"/>
      <c r="J264" s="2"/>
    </row>
    <row r="265">
      <c r="A265" s="3"/>
      <c r="B265" s="25" t="s">
        <v>212</v>
      </c>
      <c r="C265" s="31">
        <v>0</v>
      </c>
      <c r="D265" s="31">
        <v>153</v>
      </c>
      <c r="E265" s="31">
        <v>153</v>
      </c>
      <c r="F265" s="31">
        <v>0</v>
      </c>
      <c r="G265" s="31">
        <v>0</v>
      </c>
      <c r="H265" s="20">
        <v>0</v>
      </c>
      <c r="I265" s="2" t="s">
        <v>213</v>
      </c>
      <c r="J265" s="2"/>
    </row>
    <row r="266">
      <c r="A266" s="3"/>
      <c r="B266" s="23" t="s">
        <v>214</v>
      </c>
      <c r="C266" s="8">
        <f>C258+C265</f>
        <v>1805</v>
      </c>
      <c r="D266" s="8">
        <f>D258+D265</f>
        <v>472</v>
      </c>
      <c r="E266" s="8">
        <f>E258+E265</f>
        <v>9578</v>
      </c>
      <c r="F266" s="8">
        <f>F258+F265</f>
        <v>5694</v>
      </c>
      <c r="G266" s="8">
        <f>G258+G265</f>
        <v>3942</v>
      </c>
      <c r="H266" s="29">
        <f>H258+H265</f>
        <v>2607.1931391582534</v>
      </c>
      <c r="I266" s="2"/>
      <c r="J266" s="2"/>
    </row>
    <row r="267">
      <c r="A267" s="3"/>
      <c r="B267" s="58" t="s">
        <v>215</v>
      </c>
      <c r="C267" s="6">
        <f>C266/C202</f>
        <v>0.020730446766969106</v>
      </c>
      <c r="D267" s="6">
        <f>D266/D202</f>
        <v>0.00541824985937805</v>
      </c>
      <c r="E267" s="6">
        <f>E266/E202</f>
        <v>0.02777012667329655</v>
      </c>
      <c r="F267" s="6">
        <f>F266/F202</f>
        <v>0.06600591201530169</v>
      </c>
      <c r="G267" s="6">
        <f>G266/G202</f>
        <v>0.04582815024936931</v>
      </c>
      <c r="H267" s="50">
        <f>H266/H202</f>
        <v>0.030436376084819014</v>
      </c>
      <c r="I267" s="2"/>
      <c r="J267" s="2"/>
    </row>
    <row r="268">
      <c r="A268" s="3"/>
      <c r="B268" s="45" t="s">
        <v>91</v>
      </c>
      <c r="C268" s="24" t="s">
        <v>53</v>
      </c>
      <c r="D268" s="24">
        <f>IFERROR((D267-C267)*10000,"n/a")</f>
        <v>-153.12196907591056</v>
      </c>
      <c r="E268" s="24" t="s">
        <v>53</v>
      </c>
      <c r="F268" s="24">
        <f>IFERROR((F267-D267)*10000,"n/a")</f>
        <v>605.8766215592365</v>
      </c>
      <c r="G268" s="24">
        <f>IFERROR((G267-F267)*10000,"n/a")</f>
        <v>-201.77761765932382</v>
      </c>
      <c r="H268" s="66">
        <f>IFERROR((H267-G267)*10000,"n/a")</f>
        <v>-153.91774164550293</v>
      </c>
      <c r="I268" s="2"/>
      <c r="J268" s="2"/>
    </row>
    <row r="269">
      <c r="A269" s="3"/>
      <c r="B269" s="45" t="s">
        <v>92</v>
      </c>
      <c r="C269" s="24" t="s">
        <v>53</v>
      </c>
      <c r="D269" s="24" t="s">
        <v>53</v>
      </c>
      <c r="E269" s="24" t="s">
        <v>53</v>
      </c>
      <c r="F269" s="24" t="s">
        <v>53</v>
      </c>
      <c r="G269" s="24" t="s">
        <v>53</v>
      </c>
      <c r="H269" s="66">
        <f>(H267-C267)*10000</f>
        <v>97.05929317849908</v>
      </c>
      <c r="I269" s="2"/>
      <c r="J269" s="2"/>
    </row>
    <row r="270">
      <c r="A270" s="3"/>
      <c r="B270" s="25" t="s">
        <v>216</v>
      </c>
      <c r="C270" s="1"/>
      <c r="D270" s="1"/>
      <c r="E270" s="1"/>
      <c r="F270" s="1"/>
      <c r="G270" s="1"/>
      <c r="H270" s="27">
        <f>F258+G258+H258</f>
        <v>12243.193139158253</v>
      </c>
      <c r="I270" s="2" t="s">
        <v>217</v>
      </c>
      <c r="J270" s="2"/>
    </row>
    <row r="271">
      <c r="A271" s="3"/>
      <c r="B271" s="3"/>
      <c r="C271" s="3"/>
      <c r="D271" s="3"/>
      <c r="E271" s="3"/>
      <c r="F271" s="3"/>
      <c r="G271" s="3"/>
      <c r="H271" s="13"/>
      <c r="I271" s="2"/>
      <c r="J271" s="2"/>
    </row>
    <row r="272">
      <c r="A272" s="3"/>
      <c r="B272" s="3"/>
      <c r="C272" s="3"/>
      <c r="D272" s="3"/>
      <c r="E272" s="3"/>
      <c r="F272" s="3"/>
      <c r="G272" s="3"/>
      <c r="H272" s="13"/>
      <c r="I272" s="2"/>
      <c r="J272" s="2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J10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218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11" t="s">
        <v>119</v>
      </c>
      <c r="C9" s="85">
        <v>3</v>
      </c>
      <c r="D9" s="85">
        <v>3</v>
      </c>
      <c r="E9" s="85">
        <v>12</v>
      </c>
      <c r="F9" s="85">
        <v>3</v>
      </c>
      <c r="G9" s="85">
        <v>3</v>
      </c>
      <c r="H9" s="83">
        <v>3</v>
      </c>
      <c r="I9" s="2"/>
      <c r="J9" s="2"/>
    </row>
    <row r="10">
      <c r="A10" s="3"/>
      <c r="B10" s="3"/>
      <c r="C10" s="3"/>
      <c r="D10" s="3"/>
      <c r="E10" s="3"/>
      <c r="F10" s="3"/>
      <c r="G10" s="3"/>
      <c r="H10" s="13"/>
      <c r="I10" s="2"/>
      <c r="J10" s="2"/>
    </row>
    <row r="11">
      <c r="A11" s="3"/>
      <c r="B11" s="23" t="s">
        <v>219</v>
      </c>
      <c r="C11" s="3"/>
      <c r="D11" s="3"/>
      <c r="E11" s="3"/>
      <c r="F11" s="3"/>
      <c r="G11" s="3"/>
      <c r="H11" s="13"/>
      <c r="I11" s="2"/>
      <c r="J11" s="2"/>
    </row>
    <row r="12">
      <c r="A12" s="3"/>
      <c r="B12" s="28" t="s">
        <v>123</v>
      </c>
      <c r="C12" s="31">
        <v>95</v>
      </c>
      <c r="D12" s="1">
        <f>C16</f>
        <v>93</v>
      </c>
      <c r="E12" s="1" t="s">
        <v>94</v>
      </c>
      <c r="F12" s="1">
        <f>D16</f>
        <v>92</v>
      </c>
      <c r="G12" s="1">
        <f>F16</f>
        <v>93</v>
      </c>
      <c r="H12" s="27">
        <f>G16</f>
        <v>93</v>
      </c>
      <c r="I12" s="2" t="s">
        <v>220</v>
      </c>
      <c r="J12" s="2"/>
    </row>
    <row r="13">
      <c r="A13" s="3"/>
      <c r="B13" s="28" t="s">
        <v>125</v>
      </c>
      <c r="C13" s="1" t="s">
        <v>94</v>
      </c>
      <c r="D13" s="1" t="s">
        <v>94</v>
      </c>
      <c r="E13" s="1" t="s">
        <v>94</v>
      </c>
      <c r="F13" s="1" t="s">
        <v>94</v>
      </c>
      <c r="G13" s="1" t="s">
        <v>94</v>
      </c>
      <c r="H13" s="27" t="s">
        <v>94</v>
      </c>
      <c r="I13" s="2" t="s">
        <v>110</v>
      </c>
      <c r="J13" s="2"/>
    </row>
    <row r="14">
      <c r="A14" s="3"/>
      <c r="B14" s="28" t="s">
        <v>126</v>
      </c>
      <c r="C14" s="1" t="s">
        <v>94</v>
      </c>
      <c r="D14" s="1" t="s">
        <v>94</v>
      </c>
      <c r="E14" s="1" t="s">
        <v>94</v>
      </c>
      <c r="F14" s="1" t="s">
        <v>94</v>
      </c>
      <c r="G14" s="1" t="s">
        <v>94</v>
      </c>
      <c r="H14" s="27" t="s">
        <v>94</v>
      </c>
      <c r="I14" s="2" t="s">
        <v>110</v>
      </c>
      <c r="J14" s="2"/>
    </row>
    <row r="15">
      <c r="A15" s="3"/>
      <c r="B15" s="28" t="s">
        <v>127</v>
      </c>
      <c r="C15" s="1">
        <f>C16-C12</f>
        <v>-2</v>
      </c>
      <c r="D15" s="1">
        <f>D16-D12</f>
        <v>-1</v>
      </c>
      <c r="E15" s="1" t="s">
        <v>94</v>
      </c>
      <c r="F15" s="1">
        <f>F16-F12</f>
        <v>1</v>
      </c>
      <c r="G15" s="1">
        <f>G16-G12</f>
        <v>0</v>
      </c>
      <c r="H15" s="20">
        <v>-1</v>
      </c>
      <c r="I15" s="2" t="s">
        <v>221</v>
      </c>
      <c r="J15" s="2"/>
    </row>
    <row r="16">
      <c r="A16" s="3"/>
      <c r="B16" s="86" t="s">
        <v>129</v>
      </c>
      <c r="C16" s="57">
        <v>93</v>
      </c>
      <c r="D16" s="57">
        <v>92</v>
      </c>
      <c r="E16" s="8">
        <f>D16</f>
        <v>92</v>
      </c>
      <c r="F16" s="57">
        <v>93</v>
      </c>
      <c r="G16" s="57">
        <v>93</v>
      </c>
      <c r="H16" s="29">
        <f>H12+H15</f>
        <v>92</v>
      </c>
      <c r="I16" s="2" t="s">
        <v>222</v>
      </c>
      <c r="J16" s="2"/>
    </row>
    <row r="17">
      <c r="A17" s="3"/>
      <c r="B17" s="75" t="s">
        <v>131</v>
      </c>
      <c r="C17" s="1" t="s">
        <v>94</v>
      </c>
      <c r="D17" s="1" t="s">
        <v>94</v>
      </c>
      <c r="E17" s="1" t="s">
        <v>94</v>
      </c>
      <c r="F17" s="31">
        <v>95</v>
      </c>
      <c r="G17" s="31">
        <v>95</v>
      </c>
      <c r="H17" s="27">
        <f>C16</f>
        <v>93</v>
      </c>
      <c r="I17" s="2" t="s">
        <v>223</v>
      </c>
      <c r="J17" s="2"/>
    </row>
    <row r="18">
      <c r="A18" s="3"/>
      <c r="B18" s="75" t="s">
        <v>133</v>
      </c>
      <c r="C18" s="1" t="str">
        <f>IFERROR(C16-C17,"n/a")</f>
        <v>n/a</v>
      </c>
      <c r="D18" s="1" t="str">
        <f>IFERROR(D16-D17,"n/a")</f>
        <v>n/a</v>
      </c>
      <c r="E18" s="1" t="str">
        <f>IFERROR(E16-E17,"n/a")</f>
        <v>n/a</v>
      </c>
      <c r="F18" s="1">
        <f>IFERROR(F16-F17,"n/a")</f>
        <v>-2</v>
      </c>
      <c r="G18" s="1">
        <f>IFERROR(G16-G17,"n/a")</f>
        <v>-2</v>
      </c>
      <c r="H18" s="27">
        <f>IFERROR(H16-H17,"n/a")</f>
        <v>-1</v>
      </c>
      <c r="I18" s="2"/>
      <c r="J18" s="2"/>
    </row>
    <row r="19">
      <c r="A19" s="3"/>
      <c r="B19" s="19" t="s">
        <v>134</v>
      </c>
      <c r="C19" s="6" t="str">
        <f>IFERROR(C16/C17-1,"n/a")</f>
        <v>n/a</v>
      </c>
      <c r="D19" s="6" t="str">
        <f>IFERROR(D16/D17-1,"n/a")</f>
        <v>n/a</v>
      </c>
      <c r="E19" s="6" t="str">
        <f>IFERROR(E16/E17-1,"n/a")</f>
        <v>n/a</v>
      </c>
      <c r="F19" s="6">
        <f>IFERROR(F16/F17-1,"n/a")</f>
        <v>-0.021052631578947323</v>
      </c>
      <c r="G19" s="6">
        <f>IFERROR(G16/G17-1,"n/a")</f>
        <v>-0.021052631578947323</v>
      </c>
      <c r="H19" s="50">
        <f>IFERROR(H16/H17-1,"n/a")</f>
        <v>-0.010752688172043001</v>
      </c>
      <c r="I19" s="2"/>
      <c r="J19" s="2"/>
    </row>
    <row r="20">
      <c r="A20" s="3"/>
      <c r="B20" s="75" t="s">
        <v>109</v>
      </c>
      <c r="C20" s="1" t="s">
        <v>53</v>
      </c>
      <c r="D20" s="1">
        <f>D16-C16</f>
        <v>-1</v>
      </c>
      <c r="E20" s="1" t="s">
        <v>53</v>
      </c>
      <c r="F20" s="1">
        <f>F16-D16</f>
        <v>1</v>
      </c>
      <c r="G20" s="1">
        <f>G16-F16</f>
        <v>0</v>
      </c>
      <c r="H20" s="27">
        <f>H16-G16</f>
        <v>-1</v>
      </c>
      <c r="I20" s="2"/>
      <c r="J20" s="2"/>
    </row>
    <row r="21">
      <c r="A21" s="3"/>
      <c r="B21" s="28" t="s">
        <v>135</v>
      </c>
      <c r="C21" s="1">
        <f>AVERAGE(C12,C16)</f>
        <v>94</v>
      </c>
      <c r="D21" s="1">
        <f>AVERAGE(D12,D16)</f>
        <v>92.5</v>
      </c>
      <c r="E21" s="1" t="s">
        <v>94</v>
      </c>
      <c r="F21" s="1">
        <f>AVERAGE(F12,F16)</f>
        <v>92.5</v>
      </c>
      <c r="G21" s="1">
        <f>AVERAGE(G12,G16)</f>
        <v>93</v>
      </c>
      <c r="H21" s="27">
        <f>AVERAGE(H12,H16)</f>
        <v>92.5</v>
      </c>
      <c r="I21" s="2"/>
      <c r="J21" s="2"/>
    </row>
    <row r="22">
      <c r="A22" s="3"/>
      <c r="B22" s="19" t="s">
        <v>134</v>
      </c>
      <c r="C22" s="6" t="s">
        <v>53</v>
      </c>
      <c r="D22" s="6" t="s">
        <v>53</v>
      </c>
      <c r="E22" s="6" t="s">
        <v>53</v>
      </c>
      <c r="F22" s="6" t="s">
        <v>53</v>
      </c>
      <c r="G22" s="6" t="s">
        <v>53</v>
      </c>
      <c r="H22" s="50">
        <f>H21/C21-1</f>
        <v>-0.015957446808510634</v>
      </c>
      <c r="I22" s="2"/>
      <c r="J22" s="2"/>
    </row>
    <row r="23">
      <c r="A23" s="3"/>
      <c r="B23" s="75" t="s">
        <v>109</v>
      </c>
      <c r="C23" s="1" t="s">
        <v>53</v>
      </c>
      <c r="D23" s="1">
        <f>IFERROR(D21-C21,"n/a")</f>
        <v>-1.5</v>
      </c>
      <c r="E23" s="1" t="s">
        <v>53</v>
      </c>
      <c r="F23" s="1">
        <f>IFERROR(F21-D21,"n/a")</f>
        <v>0</v>
      </c>
      <c r="G23" s="1">
        <f>IFERROR(G21-F21,"n/a")</f>
        <v>0.5</v>
      </c>
      <c r="H23" s="27">
        <f>IFERROR(H21-G21,"n/a")</f>
        <v>-0.5</v>
      </c>
      <c r="I23" s="2"/>
      <c r="J23" s="2"/>
    </row>
    <row r="24">
      <c r="A24" s="3"/>
      <c r="B24" s="3"/>
      <c r="C24" s="3"/>
      <c r="D24" s="3"/>
      <c r="E24" s="3"/>
      <c r="F24" s="3"/>
      <c r="G24" s="3"/>
      <c r="H24" s="13"/>
      <c r="I24" s="2"/>
      <c r="J24" s="2"/>
    </row>
    <row r="25">
      <c r="A25" s="3"/>
      <c r="B25" s="23" t="s">
        <v>163</v>
      </c>
      <c r="C25" s="3"/>
      <c r="D25" s="3"/>
      <c r="E25" s="3"/>
      <c r="F25" s="3"/>
      <c r="G25" s="3"/>
      <c r="H25" s="13"/>
      <c r="I25" s="2"/>
      <c r="J25" s="2"/>
    </row>
    <row r="26">
      <c r="A26" s="3"/>
      <c r="B26" s="28" t="s">
        <v>224</v>
      </c>
      <c r="C26" s="1">
        <f>C29/C21/C9</f>
        <v>90.14893617021276</v>
      </c>
      <c r="D26" s="1">
        <f>D29/D21/D9</f>
        <v>90.33153153153154</v>
      </c>
      <c r="E26" s="1" t="s">
        <v>94</v>
      </c>
      <c r="F26" s="1">
        <f>F29/F21/F9</f>
        <v>86.87927927927927</v>
      </c>
      <c r="G26" s="1">
        <f>G29/G21/G9</f>
        <v>84.12903225806451</v>
      </c>
      <c r="H26" s="20">
        <v>84.4</v>
      </c>
      <c r="I26" s="2" t="s">
        <v>225</v>
      </c>
      <c r="J26" s="2"/>
    </row>
    <row r="27">
      <c r="A27" s="3"/>
      <c r="B27" s="19" t="s">
        <v>79</v>
      </c>
      <c r="C27" s="6" t="s">
        <v>53</v>
      </c>
      <c r="D27" s="6" t="s">
        <v>53</v>
      </c>
      <c r="E27" s="6" t="s">
        <v>53</v>
      </c>
      <c r="F27" s="6" t="s">
        <v>53</v>
      </c>
      <c r="G27" s="6" t="s">
        <v>53</v>
      </c>
      <c r="H27" s="50">
        <f>IFERROR(H26/C26-1,"n/a")</f>
        <v>-0.06377153646447953</v>
      </c>
      <c r="I27" s="2"/>
      <c r="J27" s="2"/>
    </row>
    <row r="28">
      <c r="A28" s="3"/>
      <c r="B28" s="75" t="s">
        <v>109</v>
      </c>
      <c r="C28" s="1" t="s">
        <v>53</v>
      </c>
      <c r="D28" s="1">
        <f>IFERROR(D26-C26,"n/a")</f>
        <v>0.18259536131877496</v>
      </c>
      <c r="E28" s="1" t="s">
        <v>53</v>
      </c>
      <c r="F28" s="1">
        <f>IFERROR(F26-D26,"n/a")</f>
        <v>-3.452252252252265</v>
      </c>
      <c r="G28" s="1">
        <f>IFERROR(G26-F26,"n/a")</f>
        <v>-2.7502470212147614</v>
      </c>
      <c r="H28" s="27">
        <f>IFERROR(H26-G26,"n/a")</f>
        <v>0.2709677419354932</v>
      </c>
      <c r="I28" s="2"/>
      <c r="J28" s="2"/>
    </row>
    <row r="29">
      <c r="A29" s="3"/>
      <c r="B29" s="23" t="s">
        <v>226</v>
      </c>
      <c r="C29" s="57">
        <v>25422</v>
      </c>
      <c r="D29" s="57">
        <v>25067</v>
      </c>
      <c r="E29" s="57">
        <v>100051</v>
      </c>
      <c r="F29" s="57">
        <v>24109</v>
      </c>
      <c r="G29" s="57">
        <v>23472</v>
      </c>
      <c r="H29" s="29">
        <f>H21*H26*H9</f>
        <v>23421.000000000004</v>
      </c>
      <c r="I29" s="2" t="s">
        <v>227</v>
      </c>
      <c r="J29" s="2"/>
    </row>
    <row r="30">
      <c r="A30" s="3"/>
      <c r="B30" s="28" t="s">
        <v>78</v>
      </c>
      <c r="C30" s="1" t="s">
        <v>94</v>
      </c>
      <c r="D30" s="1" t="s">
        <v>94</v>
      </c>
      <c r="E30" s="31">
        <v>103516</v>
      </c>
      <c r="F30" s="31">
        <v>24837</v>
      </c>
      <c r="G30" s="31">
        <v>24725</v>
      </c>
      <c r="H30" s="27">
        <f>C29</f>
        <v>25422</v>
      </c>
      <c r="I30" s="2" t="s">
        <v>228</v>
      </c>
      <c r="J30" s="2"/>
    </row>
    <row r="31">
      <c r="A31" s="3"/>
      <c r="B31" s="45" t="s">
        <v>79</v>
      </c>
      <c r="C31" s="6" t="str">
        <f>IFERROR(C29/C30-1,"n/a")</f>
        <v>n/a</v>
      </c>
      <c r="D31" s="6" t="str">
        <f>IFERROR(D29/D30-1,"n/a")</f>
        <v>n/a</v>
      </c>
      <c r="E31" s="6">
        <f>IFERROR(E29/E30-1,"n/a")</f>
        <v>-0.033473086286177955</v>
      </c>
      <c r="F31" s="6">
        <f>IFERROR(F29/F30-1,"n/a")</f>
        <v>-0.02931110842694362</v>
      </c>
      <c r="G31" s="6">
        <f>IFERROR(G29/G30-1,"n/a")</f>
        <v>-0.0506774519716886</v>
      </c>
      <c r="H31" s="50">
        <f>IFERROR(H29/C29-1,"n/a")</f>
        <v>-0.07871135237196114</v>
      </c>
      <c r="I31" s="2"/>
      <c r="J31" s="2"/>
    </row>
    <row r="32">
      <c r="A32" s="3"/>
      <c r="B32" s="45" t="s">
        <v>80</v>
      </c>
      <c r="C32" s="6" t="s">
        <v>53</v>
      </c>
      <c r="D32" s="6">
        <f>IFERROR(D29/C29-1,"n/a")</f>
        <v>-0.013964282904570857</v>
      </c>
      <c r="E32" s="6" t="s">
        <v>53</v>
      </c>
      <c r="F32" s="6">
        <f>IFERROR(F29/D29-1,"n/a")</f>
        <v>-0.03821757689392424</v>
      </c>
      <c r="G32" s="6">
        <f>IFERROR(G29/F29-1,"n/a")</f>
        <v>-0.026421668256667585</v>
      </c>
      <c r="H32" s="50">
        <f>IFERROR(H29/G29-1,"n/a")</f>
        <v>-0.00217280163599165</v>
      </c>
      <c r="I32" s="2"/>
      <c r="J32" s="2"/>
    </row>
    <row r="33">
      <c r="A33" s="3"/>
      <c r="B33" s="28" t="s">
        <v>109</v>
      </c>
      <c r="C33" s="1" t="s">
        <v>53</v>
      </c>
      <c r="D33" s="1">
        <f>IFERROR(D29-C29,"n/a")</f>
        <v>-355</v>
      </c>
      <c r="E33" s="1" t="s">
        <v>53</v>
      </c>
      <c r="F33" s="1">
        <f>IFERROR(F29-D29,"n/a")</f>
        <v>-958</v>
      </c>
      <c r="G33" s="1">
        <f>IFERROR(G29-F29,"n/a")</f>
        <v>-637</v>
      </c>
      <c r="H33" s="27">
        <f>IFERROR(H29-G29,"n/a")</f>
        <v>-50.99999999999636</v>
      </c>
      <c r="I33" s="2"/>
      <c r="J33" s="2"/>
    </row>
    <row r="34">
      <c r="A34" s="3"/>
      <c r="B34" s="19" t="s">
        <v>82</v>
      </c>
      <c r="C34" s="6" t="s">
        <v>94</v>
      </c>
      <c r="D34" s="6" t="s">
        <v>94</v>
      </c>
      <c r="E34" s="6" t="s">
        <v>94</v>
      </c>
      <c r="F34" s="6" t="s">
        <v>94</v>
      </c>
      <c r="G34" s="6" t="s">
        <v>94</v>
      </c>
      <c r="H34" s="50" t="s">
        <v>94</v>
      </c>
      <c r="I34" s="2" t="s">
        <v>229</v>
      </c>
      <c r="J34" s="2"/>
    </row>
    <row r="35" ht="45">
      <c r="A35" s="3"/>
      <c r="B35" s="19" t="s">
        <v>83</v>
      </c>
      <c r="C35" s="95" t="s">
        <v>94</v>
      </c>
      <c r="D35" s="95" t="s">
        <v>94</v>
      </c>
      <c r="E35" s="95" t="s">
        <v>94</v>
      </c>
      <c r="F35" s="95" t="s">
        <v>94</v>
      </c>
      <c r="G35" s="95" t="s">
        <v>94</v>
      </c>
      <c r="H35" s="67">
        <v>0</v>
      </c>
      <c r="I35" s="105" t="s">
        <v>230</v>
      </c>
      <c r="J35" s="2"/>
    </row>
    <row r="36">
      <c r="A36" s="3"/>
      <c r="B36" s="19" t="s">
        <v>84</v>
      </c>
      <c r="C36" s="6" t="str">
        <f>IF(OR(ISTEXT(C31),ISTEXT(C34),ISTEXT(C35)),"n/d",(1+C31)/((1+C34)*(1+C35))-1)</f>
        <v>n/d</v>
      </c>
      <c r="D36" s="6" t="str">
        <f>IF(OR(ISTEXT(D31),ISTEXT(D34),ISTEXT(D35)),"n/d",(1+D31)/((1+D34)*(1+D35))-1)</f>
        <v>n/d</v>
      </c>
      <c r="E36" s="6" t="str">
        <f>IF(OR(ISTEXT(E31),ISTEXT(E34),ISTEXT(E35)),"n/d",(1+E31)/((1+E34)*(1+E35))-1)</f>
        <v>n/d</v>
      </c>
      <c r="F36" s="6" t="str">
        <f>IF(OR(ISTEXT(F31),ISTEXT(F34),ISTEXT(F35)),"n/d",(1+F31)/((1+F34)*(1+F35))-1)</f>
        <v>n/d</v>
      </c>
      <c r="G36" s="6" t="str">
        <f>IF(OR(ISTEXT(G31),ISTEXT(G34),ISTEXT(G35)),"n/d",(1+G31)/((1+G34)*(1+G35))-1)</f>
        <v>n/d</v>
      </c>
      <c r="H36" s="50" t="str">
        <f>IF(OR(ISTEXT(H31),ISTEXT(H34),ISTEXT(H35)),"n/d",(1+H31)/((1+H34)*(1+H35))-1)</f>
        <v>n/d</v>
      </c>
      <c r="I36" s="2" t="s">
        <v>102</v>
      </c>
      <c r="J36" s="2"/>
    </row>
    <row r="37">
      <c r="A37" s="3"/>
      <c r="B37" s="19" t="s">
        <v>85</v>
      </c>
      <c r="C37" s="6" t="str">
        <f>C31</f>
        <v>n/a</v>
      </c>
      <c r="D37" s="6" t="str">
        <f>D31</f>
        <v>n/a</v>
      </c>
      <c r="E37" s="6">
        <f>E31</f>
        <v>-0.033473086286177955</v>
      </c>
      <c r="F37" s="6">
        <f>F31</f>
        <v>-0.02931110842694362</v>
      </c>
      <c r="G37" s="6">
        <f>G31</f>
        <v>-0.0506774519716886</v>
      </c>
      <c r="H37" s="50">
        <f>H31</f>
        <v>-0.07871135237196114</v>
      </c>
      <c r="I37" s="2"/>
      <c r="J37" s="2"/>
    </row>
    <row r="38">
      <c r="A38" s="3"/>
      <c r="B38" s="3"/>
      <c r="C38" s="3"/>
      <c r="D38" s="3"/>
      <c r="E38" s="3"/>
      <c r="F38" s="3"/>
      <c r="G38" s="3"/>
      <c r="H38" s="13"/>
      <c r="I38" s="2"/>
      <c r="J38" s="2"/>
    </row>
    <row r="39">
      <c r="A39" s="3"/>
      <c r="B39" s="23" t="s">
        <v>193</v>
      </c>
      <c r="C39" s="3"/>
      <c r="D39" s="3"/>
      <c r="E39" s="3"/>
      <c r="F39" s="3"/>
      <c r="G39" s="3"/>
      <c r="H39" s="13"/>
      <c r="I39" s="2"/>
      <c r="J39" s="2"/>
    </row>
    <row r="40">
      <c r="A40" s="3"/>
      <c r="B40" s="25" t="s">
        <v>231</v>
      </c>
      <c r="C40" s="1" t="s">
        <v>94</v>
      </c>
      <c r="D40" s="1" t="s">
        <v>94</v>
      </c>
      <c r="E40" s="1" t="s">
        <v>94</v>
      </c>
      <c r="F40" s="31">
        <v>4575</v>
      </c>
      <c r="G40" s="31">
        <v>4343</v>
      </c>
      <c r="H40" s="12">
        <f>'Income Statement'!H13-'Segment - UnitedHealthcare'!H226</f>
        <v>4369.434541249997</v>
      </c>
      <c r="I40" s="2" t="s">
        <v>232</v>
      </c>
      <c r="J40" s="2"/>
    </row>
    <row r="41">
      <c r="A41" s="3"/>
      <c r="B41" s="75" t="s">
        <v>196</v>
      </c>
      <c r="C41" s="1" t="s">
        <v>94</v>
      </c>
      <c r="D41" s="1" t="s">
        <v>94</v>
      </c>
      <c r="E41" s="1" t="s">
        <v>94</v>
      </c>
      <c r="F41" s="31">
        <v>5021</v>
      </c>
      <c r="G41" s="31">
        <v>4886</v>
      </c>
      <c r="H41" s="27" t="str">
        <f>C40</f>
        <v>n/d</v>
      </c>
      <c r="I41" s="2"/>
      <c r="J41" s="2"/>
    </row>
    <row r="42">
      <c r="A42" s="3"/>
      <c r="B42" s="19" t="s">
        <v>79</v>
      </c>
      <c r="C42" s="6" t="str">
        <f>IFERROR(C40/C41-1,"n/a")</f>
        <v>n/a</v>
      </c>
      <c r="D42" s="6" t="str">
        <f>IFERROR(D40/D41-1,"n/a")</f>
        <v>n/a</v>
      </c>
      <c r="E42" s="6" t="str">
        <f>IFERROR(E40/E41-1,"n/a")</f>
        <v>n/a</v>
      </c>
      <c r="F42" s="6">
        <f>IFERROR(F40/F41-1,"n/a")</f>
        <v>-0.08882692690699068</v>
      </c>
      <c r="G42" s="6">
        <f>IFERROR(G40/G41-1,"n/a")</f>
        <v>-0.1111338518215309</v>
      </c>
      <c r="H42" s="50" t="str">
        <f>IFERROR(H40/C40-1,"n/a")</f>
        <v>n/a</v>
      </c>
      <c r="I42" s="2"/>
      <c r="J42" s="2"/>
    </row>
    <row r="43">
      <c r="A43" s="3"/>
      <c r="B43" s="19" t="s">
        <v>80</v>
      </c>
      <c r="C43" s="6" t="s">
        <v>53</v>
      </c>
      <c r="D43" s="6" t="str">
        <f>IFERROR(D40/C40-1,"n/a")</f>
        <v>n/a</v>
      </c>
      <c r="E43" s="6" t="s">
        <v>53</v>
      </c>
      <c r="F43" s="6" t="str">
        <f>IFERROR(F40/D40-1,"n/a")</f>
        <v>n/a</v>
      </c>
      <c r="G43" s="6">
        <f>IFERROR(G40/F40-1,"n/a")</f>
        <v>-0.05071038251366122</v>
      </c>
      <c r="H43" s="50">
        <f>IFERROR(H40/G40-1,"n/a")</f>
        <v>0.006086700725304484</v>
      </c>
      <c r="I43" s="2"/>
      <c r="J43" s="2"/>
    </row>
    <row r="44">
      <c r="A44" s="3"/>
      <c r="B44" s="19" t="s">
        <v>197</v>
      </c>
      <c r="C44" s="6" t="str">
        <f>IFERROR(C40/C29,"n/d")</f>
        <v>n/d</v>
      </c>
      <c r="D44" s="6" t="str">
        <f>IFERROR(D40/D29,"n/d")</f>
        <v>n/d</v>
      </c>
      <c r="E44" s="6" t="str">
        <f>IFERROR(E40/E29,"n/d")</f>
        <v>n/d</v>
      </c>
      <c r="F44" s="6">
        <f>IFERROR(F40/F29,"n/d")</f>
        <v>0.1897631589862707</v>
      </c>
      <c r="G44" s="6">
        <f>IFERROR(G40/G29,"n/d")</f>
        <v>0.1850289706884799</v>
      </c>
      <c r="H44" s="50">
        <f>IFERROR(H40/H29,"n/d")</f>
        <v>0.18656054571751832</v>
      </c>
      <c r="I44" s="2"/>
      <c r="J44" s="2"/>
    </row>
    <row r="45">
      <c r="A45" s="3"/>
      <c r="B45" s="19" t="s">
        <v>82</v>
      </c>
      <c r="C45" s="6" t="s">
        <v>94</v>
      </c>
      <c r="D45" s="6" t="s">
        <v>94</v>
      </c>
      <c r="E45" s="6" t="s">
        <v>94</v>
      </c>
      <c r="F45" s="6" t="s">
        <v>94</v>
      </c>
      <c r="G45" s="6" t="s">
        <v>94</v>
      </c>
      <c r="H45" s="50" t="s">
        <v>94</v>
      </c>
      <c r="I45" s="2" t="s">
        <v>169</v>
      </c>
      <c r="J45" s="2"/>
    </row>
    <row r="46">
      <c r="A46" s="3"/>
      <c r="B46" s="19" t="s">
        <v>83</v>
      </c>
      <c r="C46" s="6" t="s">
        <v>94</v>
      </c>
      <c r="D46" s="6" t="s">
        <v>94</v>
      </c>
      <c r="E46" s="6" t="s">
        <v>94</v>
      </c>
      <c r="F46" s="6" t="s">
        <v>94</v>
      </c>
      <c r="G46" s="6" t="s">
        <v>94</v>
      </c>
      <c r="H46" s="50" t="s">
        <v>94</v>
      </c>
      <c r="I46" s="2" t="s">
        <v>233</v>
      </c>
      <c r="J46" s="2"/>
    </row>
    <row r="47">
      <c r="A47" s="3"/>
      <c r="B47" s="19" t="s">
        <v>84</v>
      </c>
      <c r="C47" s="6" t="str">
        <f>IF(OR(ISTEXT(C42),ISTEXT(C45),ISTEXT(C46)),"n/d",(1+C42)/((1+C45)*(1+C46))-1)</f>
        <v>n/d</v>
      </c>
      <c r="D47" s="6" t="str">
        <f>IF(OR(ISTEXT(D42),ISTEXT(D45),ISTEXT(D46)),"n/d",(1+D42)/((1+D45)*(1+D46))-1)</f>
        <v>n/d</v>
      </c>
      <c r="E47" s="6" t="str">
        <f>IF(OR(ISTEXT(E42),ISTEXT(E45),ISTEXT(E46)),"n/d",(1+E42)/((1+E45)*(1+E46))-1)</f>
        <v>n/d</v>
      </c>
      <c r="F47" s="6" t="str">
        <f>IF(OR(ISTEXT(F42),ISTEXT(F45),ISTEXT(F46)),"n/d",(1+F42)/((1+F45)*(1+F46))-1)</f>
        <v>n/d</v>
      </c>
      <c r="G47" s="6" t="str">
        <f>IF(OR(ISTEXT(G42),ISTEXT(G45),ISTEXT(G46)),"n/d",(1+G42)/((1+G45)*(1+G46))-1)</f>
        <v>n/d</v>
      </c>
      <c r="H47" s="50" t="str">
        <f>IF(OR(ISTEXT(H42),ISTEXT(H45),ISTEXT(H46)),"n/d",(1+H42)/((1+H45)*(1+H46))-1)</f>
        <v>n/d</v>
      </c>
      <c r="I47" s="2" t="s">
        <v>102</v>
      </c>
      <c r="J47" s="2"/>
    </row>
    <row r="48">
      <c r="A48" s="3"/>
      <c r="B48" s="19" t="s">
        <v>85</v>
      </c>
      <c r="C48" s="6" t="str">
        <f>C42</f>
        <v>n/a</v>
      </c>
      <c r="D48" s="6" t="str">
        <f>D42</f>
        <v>n/a</v>
      </c>
      <c r="E48" s="6" t="str">
        <f>E42</f>
        <v>n/a</v>
      </c>
      <c r="F48" s="6">
        <f>F42</f>
        <v>-0.08882692690699068</v>
      </c>
      <c r="G48" s="6">
        <f>G42</f>
        <v>-0.1111338518215309</v>
      </c>
      <c r="H48" s="50" t="str">
        <f>H42</f>
        <v>n/a</v>
      </c>
      <c r="I48" s="2"/>
      <c r="J48" s="2"/>
    </row>
    <row r="49">
      <c r="A49" s="3"/>
      <c r="B49" s="25" t="s">
        <v>234</v>
      </c>
      <c r="C49" s="1" t="s">
        <v>94</v>
      </c>
      <c r="D49" s="1" t="s">
        <v>94</v>
      </c>
      <c r="E49" s="1" t="s">
        <v>94</v>
      </c>
      <c r="F49" s="31">
        <v>57</v>
      </c>
      <c r="G49" s="31">
        <v>62</v>
      </c>
      <c r="H49" s="20">
        <v>60</v>
      </c>
      <c r="I49" s="2" t="s">
        <v>235</v>
      </c>
      <c r="J49" s="2"/>
    </row>
    <row r="50">
      <c r="A50" s="3"/>
      <c r="B50" s="75" t="s">
        <v>196</v>
      </c>
      <c r="C50" s="1" t="s">
        <v>94</v>
      </c>
      <c r="D50" s="1" t="s">
        <v>94</v>
      </c>
      <c r="E50" s="1" t="s">
        <v>94</v>
      </c>
      <c r="F50" s="31">
        <v>65</v>
      </c>
      <c r="G50" s="31">
        <v>65</v>
      </c>
      <c r="H50" s="27" t="str">
        <f>C49</f>
        <v>n/d</v>
      </c>
      <c r="I50" s="2"/>
      <c r="J50" s="2"/>
    </row>
    <row r="51">
      <c r="A51" s="3"/>
      <c r="B51" s="19" t="s">
        <v>79</v>
      </c>
      <c r="C51" s="6" t="str">
        <f>IFERROR(C49/C50-1,"n/a")</f>
        <v>n/a</v>
      </c>
      <c r="D51" s="6" t="str">
        <f>IFERROR(D49/D50-1,"n/a")</f>
        <v>n/a</v>
      </c>
      <c r="E51" s="6" t="str">
        <f>IFERROR(E49/E50-1,"n/a")</f>
        <v>n/a</v>
      </c>
      <c r="F51" s="6">
        <f>IFERROR(F49/F50-1,"n/a")</f>
        <v>-0.12307692307692308</v>
      </c>
      <c r="G51" s="6">
        <f>IFERROR(G49/G50-1,"n/a")</f>
        <v>-0.0461538461538461</v>
      </c>
      <c r="H51" s="50" t="str">
        <f>IFERROR(H49/C49-1,"n/a")</f>
        <v>n/a</v>
      </c>
      <c r="I51" s="2"/>
      <c r="J51" s="2"/>
    </row>
    <row r="52">
      <c r="A52" s="3"/>
      <c r="B52" s="19" t="s">
        <v>80</v>
      </c>
      <c r="C52" s="6" t="s">
        <v>53</v>
      </c>
      <c r="D52" s="6" t="str">
        <f>IFERROR(D49/C49-1,"n/a")</f>
        <v>n/a</v>
      </c>
      <c r="E52" s="6" t="s">
        <v>53</v>
      </c>
      <c r="F52" s="6" t="str">
        <f>IFERROR(F49/D49-1,"n/a")</f>
        <v>n/a</v>
      </c>
      <c r="G52" s="6">
        <f>IFERROR(G49/F49-1,"n/a")</f>
        <v>0.08771929824561409</v>
      </c>
      <c r="H52" s="50">
        <f>IFERROR(H49/G49-1,"n/a")</f>
        <v>-0.032258064516129004</v>
      </c>
      <c r="I52" s="2"/>
      <c r="J52" s="2"/>
    </row>
    <row r="53">
      <c r="A53" s="3"/>
      <c r="B53" s="19" t="s">
        <v>197</v>
      </c>
      <c r="C53" s="6" t="str">
        <f>IFERROR(C49/C29,"n/d")</f>
        <v>n/d</v>
      </c>
      <c r="D53" s="6" t="str">
        <f>IFERROR(D49/D29,"n/d")</f>
        <v>n/d</v>
      </c>
      <c r="E53" s="6" t="str">
        <f>IFERROR(E49/E29,"n/d")</f>
        <v>n/d</v>
      </c>
      <c r="F53" s="6">
        <f>IFERROR(F49/F29,"n/d")</f>
        <v>0.0023642623086814053</v>
      </c>
      <c r="G53" s="6">
        <f>IFERROR(G49/G29,"n/d")</f>
        <v>0.002641445126107703</v>
      </c>
      <c r="H53" s="50">
        <f>IFERROR(H49/H29,"n/d")</f>
        <v>0.002561803509670808</v>
      </c>
      <c r="I53" s="2"/>
      <c r="J53" s="2"/>
    </row>
    <row r="54">
      <c r="A54" s="3"/>
      <c r="B54" s="19" t="s">
        <v>82</v>
      </c>
      <c r="C54" s="6" t="s">
        <v>94</v>
      </c>
      <c r="D54" s="6" t="s">
        <v>94</v>
      </c>
      <c r="E54" s="6" t="s">
        <v>94</v>
      </c>
      <c r="F54" s="6" t="s">
        <v>94</v>
      </c>
      <c r="G54" s="6" t="s">
        <v>94</v>
      </c>
      <c r="H54" s="50" t="s">
        <v>94</v>
      </c>
      <c r="I54" s="2" t="s">
        <v>169</v>
      </c>
      <c r="J54" s="2"/>
    </row>
    <row r="55">
      <c r="A55" s="3"/>
      <c r="B55" s="19" t="s">
        <v>83</v>
      </c>
      <c r="C55" s="6" t="s">
        <v>94</v>
      </c>
      <c r="D55" s="6" t="s">
        <v>94</v>
      </c>
      <c r="E55" s="6" t="s">
        <v>94</v>
      </c>
      <c r="F55" s="6" t="s">
        <v>94</v>
      </c>
      <c r="G55" s="6" t="s">
        <v>94</v>
      </c>
      <c r="H55" s="50" t="s">
        <v>94</v>
      </c>
      <c r="I55" s="2" t="s">
        <v>233</v>
      </c>
      <c r="J55" s="2"/>
    </row>
    <row r="56">
      <c r="A56" s="3"/>
      <c r="B56" s="19" t="s">
        <v>84</v>
      </c>
      <c r="C56" s="6" t="str">
        <f>IF(OR(ISTEXT(C51),ISTEXT(C54),ISTEXT(C55)),"n/d",(1+C51)/((1+C54)*(1+C55))-1)</f>
        <v>n/d</v>
      </c>
      <c r="D56" s="6" t="str">
        <f>IF(OR(ISTEXT(D51),ISTEXT(D54),ISTEXT(D55)),"n/d",(1+D51)/((1+D54)*(1+D55))-1)</f>
        <v>n/d</v>
      </c>
      <c r="E56" s="6" t="str">
        <f>IF(OR(ISTEXT(E51),ISTEXT(E54),ISTEXT(E55)),"n/d",(1+E51)/((1+E54)*(1+E55))-1)</f>
        <v>n/d</v>
      </c>
      <c r="F56" s="6" t="str">
        <f>IF(OR(ISTEXT(F51),ISTEXT(F54),ISTEXT(F55)),"n/d",(1+F51)/((1+F54)*(1+F55))-1)</f>
        <v>n/d</v>
      </c>
      <c r="G56" s="6" t="str">
        <f>IF(OR(ISTEXT(G51),ISTEXT(G54),ISTEXT(G55)),"n/d",(1+G51)/((1+G54)*(1+G55))-1)</f>
        <v>n/d</v>
      </c>
      <c r="H56" s="50" t="str">
        <f>IF(OR(ISTEXT(H51),ISTEXT(H54),ISTEXT(H55)),"n/d",(1+H51)/((1+H54)*(1+H55))-1)</f>
        <v>n/d</v>
      </c>
      <c r="I56" s="2" t="s">
        <v>102</v>
      </c>
      <c r="J56" s="2"/>
    </row>
    <row r="57">
      <c r="A57" s="3"/>
      <c r="B57" s="19" t="s">
        <v>85</v>
      </c>
      <c r="C57" s="6" t="str">
        <f>C51</f>
        <v>n/a</v>
      </c>
      <c r="D57" s="6" t="str">
        <f>D51</f>
        <v>n/a</v>
      </c>
      <c r="E57" s="6" t="str">
        <f>E51</f>
        <v>n/a</v>
      </c>
      <c r="F57" s="6">
        <f>F51</f>
        <v>-0.12307692307692308</v>
      </c>
      <c r="G57" s="6">
        <f>G51</f>
        <v>-0.0461538461538461</v>
      </c>
      <c r="H57" s="50" t="str">
        <f>H51</f>
        <v>n/a</v>
      </c>
      <c r="I57" s="2"/>
      <c r="J57" s="2"/>
    </row>
    <row r="58">
      <c r="A58" s="3"/>
      <c r="B58" s="25" t="s">
        <v>236</v>
      </c>
      <c r="C58" s="1" t="s">
        <v>94</v>
      </c>
      <c r="D58" s="1" t="s">
        <v>94</v>
      </c>
      <c r="E58" s="1" t="s">
        <v>94</v>
      </c>
      <c r="F58" s="31">
        <v>4235</v>
      </c>
      <c r="G58" s="31">
        <v>4474</v>
      </c>
      <c r="H58" s="20">
        <v>4600</v>
      </c>
      <c r="I58" s="2" t="s">
        <v>237</v>
      </c>
      <c r="J58" s="2"/>
    </row>
    <row r="59">
      <c r="A59" s="3"/>
      <c r="B59" s="75" t="s">
        <v>196</v>
      </c>
      <c r="C59" s="1" t="s">
        <v>94</v>
      </c>
      <c r="D59" s="1" t="s">
        <v>94</v>
      </c>
      <c r="E59" s="1" t="s">
        <v>94</v>
      </c>
      <c r="F59" s="31">
        <v>3716</v>
      </c>
      <c r="G59" s="31">
        <v>3689</v>
      </c>
      <c r="H59" s="27" t="str">
        <f>C58</f>
        <v>n/d</v>
      </c>
      <c r="I59" s="2"/>
      <c r="J59" s="2"/>
    </row>
    <row r="60">
      <c r="A60" s="3"/>
      <c r="B60" s="19" t="s">
        <v>79</v>
      </c>
      <c r="C60" s="6" t="str">
        <f>IFERROR(C58/C59-1,"n/a")</f>
        <v>n/a</v>
      </c>
      <c r="D60" s="6" t="str">
        <f>IFERROR(D58/D59-1,"n/a")</f>
        <v>n/a</v>
      </c>
      <c r="E60" s="6" t="str">
        <f>IFERROR(E58/E59-1,"n/a")</f>
        <v>n/a</v>
      </c>
      <c r="F60" s="6">
        <f>IFERROR(F58/F59-1,"n/a")</f>
        <v>0.13966630785791168</v>
      </c>
      <c r="G60" s="6">
        <f>IFERROR(G58/G59-1,"n/a")</f>
        <v>0.2127947953374898</v>
      </c>
      <c r="H60" s="50" t="str">
        <f>IFERROR(H58/C58-1,"n/a")</f>
        <v>n/a</v>
      </c>
      <c r="I60" s="2"/>
      <c r="J60" s="2"/>
    </row>
    <row r="61">
      <c r="A61" s="3"/>
      <c r="B61" s="19" t="s">
        <v>80</v>
      </c>
      <c r="C61" s="6" t="s">
        <v>53</v>
      </c>
      <c r="D61" s="6" t="str">
        <f>IFERROR(D58/C58-1,"n/a")</f>
        <v>n/a</v>
      </c>
      <c r="E61" s="6" t="s">
        <v>53</v>
      </c>
      <c r="F61" s="6" t="str">
        <f>IFERROR(F58/D58-1,"n/a")</f>
        <v>n/a</v>
      </c>
      <c r="G61" s="6">
        <f>IFERROR(G58/F58-1,"n/a")</f>
        <v>0.05643447461629281</v>
      </c>
      <c r="H61" s="50">
        <f>IFERROR(H58/G58-1,"n/a")</f>
        <v>0.0281627179257935</v>
      </c>
      <c r="I61" s="2"/>
      <c r="J61" s="2"/>
    </row>
    <row r="62">
      <c r="A62" s="3"/>
      <c r="B62" s="19" t="s">
        <v>197</v>
      </c>
      <c r="C62" s="6" t="str">
        <f>IFERROR(C58/C29,"n/d")</f>
        <v>n/d</v>
      </c>
      <c r="D62" s="6" t="str">
        <f>IFERROR(D58/D29,"n/d")</f>
        <v>n/d</v>
      </c>
      <c r="E62" s="6" t="str">
        <f>IFERROR(E58/E29,"n/d")</f>
        <v>n/d</v>
      </c>
      <c r="F62" s="6">
        <f>IFERROR(F58/F29,"n/d")</f>
        <v>0.17566054170641668</v>
      </c>
      <c r="G62" s="6">
        <f>IFERROR(G58/G29,"n/d")</f>
        <v>0.19061008861622358</v>
      </c>
      <c r="H62" s="50">
        <f>IFERROR(H58/H29,"n/d")</f>
        <v>0.19640493574142862</v>
      </c>
      <c r="I62" s="2"/>
      <c r="J62" s="2"/>
    </row>
    <row r="63">
      <c r="A63" s="3"/>
      <c r="B63" s="19" t="s">
        <v>82</v>
      </c>
      <c r="C63" s="6" t="s">
        <v>94</v>
      </c>
      <c r="D63" s="6" t="s">
        <v>94</v>
      </c>
      <c r="E63" s="6" t="s">
        <v>94</v>
      </c>
      <c r="F63" s="6" t="s">
        <v>94</v>
      </c>
      <c r="G63" s="6" t="s">
        <v>94</v>
      </c>
      <c r="H63" s="50" t="s">
        <v>94</v>
      </c>
      <c r="I63" s="2" t="s">
        <v>169</v>
      </c>
      <c r="J63" s="2"/>
    </row>
    <row r="64">
      <c r="A64" s="3"/>
      <c r="B64" s="19" t="s">
        <v>83</v>
      </c>
      <c r="C64" s="6" t="s">
        <v>94</v>
      </c>
      <c r="D64" s="6" t="s">
        <v>94</v>
      </c>
      <c r="E64" s="6" t="s">
        <v>94</v>
      </c>
      <c r="F64" s="6" t="s">
        <v>94</v>
      </c>
      <c r="G64" s="6" t="s">
        <v>94</v>
      </c>
      <c r="H64" s="50" t="s">
        <v>94</v>
      </c>
      <c r="I64" s="2" t="s">
        <v>233</v>
      </c>
      <c r="J64" s="2"/>
    </row>
    <row r="65">
      <c r="A65" s="3"/>
      <c r="B65" s="19" t="s">
        <v>84</v>
      </c>
      <c r="C65" s="6" t="str">
        <f>IF(OR(ISTEXT(C60),ISTEXT(C63),ISTEXT(C64)),"n/d",(1+C60)/((1+C63)*(1+C64))-1)</f>
        <v>n/d</v>
      </c>
      <c r="D65" s="6" t="str">
        <f>IF(OR(ISTEXT(D60),ISTEXT(D63),ISTEXT(D64)),"n/d",(1+D60)/((1+D63)*(1+D64))-1)</f>
        <v>n/d</v>
      </c>
      <c r="E65" s="6" t="str">
        <f>IF(OR(ISTEXT(E60),ISTEXT(E63),ISTEXT(E64)),"n/d",(1+E60)/((1+E63)*(1+E64))-1)</f>
        <v>n/d</v>
      </c>
      <c r="F65" s="6" t="str">
        <f>IF(OR(ISTEXT(F60),ISTEXT(F63),ISTEXT(F64)),"n/d",(1+F60)/((1+F63)*(1+F64))-1)</f>
        <v>n/d</v>
      </c>
      <c r="G65" s="6" t="str">
        <f>IF(OR(ISTEXT(G60),ISTEXT(G63),ISTEXT(G64)),"n/d",(1+G60)/((1+G63)*(1+G64))-1)</f>
        <v>n/d</v>
      </c>
      <c r="H65" s="50" t="str">
        <f>IF(OR(ISTEXT(H60),ISTEXT(H63),ISTEXT(H64)),"n/d",(1+H60)/((1+H63)*(1+H64))-1)</f>
        <v>n/d</v>
      </c>
      <c r="I65" s="2" t="s">
        <v>102</v>
      </c>
      <c r="J65" s="2"/>
    </row>
    <row r="66">
      <c r="A66" s="3"/>
      <c r="B66" s="19" t="s">
        <v>85</v>
      </c>
      <c r="C66" s="6" t="str">
        <f>C60</f>
        <v>n/a</v>
      </c>
      <c r="D66" s="6" t="str">
        <f>D60</f>
        <v>n/a</v>
      </c>
      <c r="E66" s="6" t="str">
        <f>E60</f>
        <v>n/a</v>
      </c>
      <c r="F66" s="6">
        <f>F60</f>
        <v>0.13966630785791168</v>
      </c>
      <c r="G66" s="6">
        <f>G60</f>
        <v>0.2127947953374898</v>
      </c>
      <c r="H66" s="50" t="str">
        <f>H60</f>
        <v>n/a</v>
      </c>
      <c r="I66" s="2"/>
      <c r="J66" s="2"/>
    </row>
    <row r="67">
      <c r="A67" s="3"/>
      <c r="B67" s="25" t="s">
        <v>238</v>
      </c>
      <c r="C67" s="1" t="s">
        <v>94</v>
      </c>
      <c r="D67" s="1" t="s">
        <v>94</v>
      </c>
      <c r="E67" s="1" t="s">
        <v>94</v>
      </c>
      <c r="F67" s="31">
        <v>14998</v>
      </c>
      <c r="G67" s="31">
        <v>14353</v>
      </c>
      <c r="H67" s="27">
        <f>H29-H40-H49-H58-H76</f>
        <v>14151.565458750007</v>
      </c>
      <c r="I67" s="2" t="s">
        <v>239</v>
      </c>
      <c r="J67" s="2"/>
    </row>
    <row r="68">
      <c r="A68" s="3"/>
      <c r="B68" s="75" t="s">
        <v>196</v>
      </c>
      <c r="C68" s="1" t="s">
        <v>94</v>
      </c>
      <c r="D68" s="1" t="s">
        <v>94</v>
      </c>
      <c r="E68" s="1" t="s">
        <v>94</v>
      </c>
      <c r="F68" s="31">
        <v>15810</v>
      </c>
      <c r="G68" s="31">
        <v>15845</v>
      </c>
      <c r="H68" s="27" t="str">
        <f>C67</f>
        <v>n/d</v>
      </c>
      <c r="I68" s="2"/>
      <c r="J68" s="2"/>
    </row>
    <row r="69">
      <c r="A69" s="3"/>
      <c r="B69" s="19" t="s">
        <v>79</v>
      </c>
      <c r="C69" s="6" t="str">
        <f>IFERROR(C67/C68-1,"n/a")</f>
        <v>n/a</v>
      </c>
      <c r="D69" s="6" t="str">
        <f>IFERROR(D67/D68-1,"n/a")</f>
        <v>n/a</v>
      </c>
      <c r="E69" s="6" t="str">
        <f>IFERROR(E67/E68-1,"n/a")</f>
        <v>n/a</v>
      </c>
      <c r="F69" s="6">
        <f>IFERROR(F67/F68-1,"n/a")</f>
        <v>-0.051359898798229</v>
      </c>
      <c r="G69" s="6">
        <f>IFERROR(G67/G68-1,"n/a")</f>
        <v>-0.09416219627642786</v>
      </c>
      <c r="H69" s="50" t="str">
        <f>IFERROR(H67/C67-1,"n/a")</f>
        <v>n/a</v>
      </c>
      <c r="I69" s="2"/>
      <c r="J69" s="2"/>
    </row>
    <row r="70">
      <c r="A70" s="3"/>
      <c r="B70" s="19" t="s">
        <v>80</v>
      </c>
      <c r="C70" s="6" t="s">
        <v>53</v>
      </c>
      <c r="D70" s="6" t="str">
        <f>IFERROR(D67/C67-1,"n/a")</f>
        <v>n/a</v>
      </c>
      <c r="E70" s="6" t="s">
        <v>53</v>
      </c>
      <c r="F70" s="6" t="str">
        <f>IFERROR(F67/D67-1,"n/a")</f>
        <v>n/a</v>
      </c>
      <c r="G70" s="6">
        <f>IFERROR(G67/F67-1,"n/a")</f>
        <v>-0.043005734097879666</v>
      </c>
      <c r="H70" s="50">
        <f>IFERROR(H67/G67-1,"n/a")</f>
        <v>-0.014034316257924728</v>
      </c>
      <c r="I70" s="2"/>
      <c r="J70" s="2"/>
    </row>
    <row r="71">
      <c r="A71" s="3"/>
      <c r="B71" s="19" t="s">
        <v>197</v>
      </c>
      <c r="C71" s="6" t="str">
        <f>IFERROR(C67/C29,"n/d")</f>
        <v>n/d</v>
      </c>
      <c r="D71" s="6" t="str">
        <f>IFERROR(D67/D29,"n/d")</f>
        <v>n/d</v>
      </c>
      <c r="E71" s="6" t="str">
        <f>IFERROR(E67/E29,"n/d")</f>
        <v>n/d</v>
      </c>
      <c r="F71" s="6">
        <f>IFERROR(F67/F29,"n/d")</f>
        <v>0.6220913351860301</v>
      </c>
      <c r="G71" s="6">
        <f>IFERROR(G67/G29,"n/d")</f>
        <v>0.6114945466939332</v>
      </c>
      <c r="H71" s="50">
        <f>IFERROR(H67/H29,"n/d")</f>
        <v>0.604225500992699</v>
      </c>
      <c r="I71" s="2"/>
      <c r="J71" s="2"/>
    </row>
    <row r="72">
      <c r="A72" s="3"/>
      <c r="B72" s="19" t="s">
        <v>82</v>
      </c>
      <c r="C72" s="6" t="s">
        <v>94</v>
      </c>
      <c r="D72" s="6" t="s">
        <v>94</v>
      </c>
      <c r="E72" s="6" t="s">
        <v>94</v>
      </c>
      <c r="F72" s="6" t="s">
        <v>94</v>
      </c>
      <c r="G72" s="6" t="s">
        <v>94</v>
      </c>
      <c r="H72" s="50" t="s">
        <v>94</v>
      </c>
      <c r="I72" s="2" t="s">
        <v>169</v>
      </c>
      <c r="J72" s="2"/>
    </row>
    <row r="73">
      <c r="A73" s="3"/>
      <c r="B73" s="19" t="s">
        <v>83</v>
      </c>
      <c r="C73" s="6" t="s">
        <v>94</v>
      </c>
      <c r="D73" s="6" t="s">
        <v>94</v>
      </c>
      <c r="E73" s="6" t="s">
        <v>94</v>
      </c>
      <c r="F73" s="6" t="s">
        <v>94</v>
      </c>
      <c r="G73" s="6" t="s">
        <v>94</v>
      </c>
      <c r="H73" s="50" t="s">
        <v>94</v>
      </c>
      <c r="I73" s="2" t="s">
        <v>233</v>
      </c>
      <c r="J73" s="2"/>
    </row>
    <row r="74">
      <c r="A74" s="3"/>
      <c r="B74" s="19" t="s">
        <v>84</v>
      </c>
      <c r="C74" s="6" t="str">
        <f>IF(OR(ISTEXT(C69),ISTEXT(C72),ISTEXT(C73)),"n/d",(1+C69)/((1+C72)*(1+C73))-1)</f>
        <v>n/d</v>
      </c>
      <c r="D74" s="6" t="str">
        <f>IF(OR(ISTEXT(D69),ISTEXT(D72),ISTEXT(D73)),"n/d",(1+D69)/((1+D72)*(1+D73))-1)</f>
        <v>n/d</v>
      </c>
      <c r="E74" s="6" t="str">
        <f>IF(OR(ISTEXT(E69),ISTEXT(E72),ISTEXT(E73)),"n/d",(1+E69)/((1+E72)*(1+E73))-1)</f>
        <v>n/d</v>
      </c>
      <c r="F74" s="6" t="str">
        <f>IF(OR(ISTEXT(F69),ISTEXT(F72),ISTEXT(F73)),"n/d",(1+F69)/((1+F72)*(1+F73))-1)</f>
        <v>n/d</v>
      </c>
      <c r="G74" s="6" t="str">
        <f>IF(OR(ISTEXT(G69),ISTEXT(G72),ISTEXT(G73)),"n/d",(1+G69)/((1+G72)*(1+G73))-1)</f>
        <v>n/d</v>
      </c>
      <c r="H74" s="50" t="str">
        <f>IF(OR(ISTEXT(H69),ISTEXT(H72),ISTEXT(H73)),"n/d",(1+H69)/((1+H72)*(1+H73))-1)</f>
        <v>n/d</v>
      </c>
      <c r="I74" s="2" t="s">
        <v>102</v>
      </c>
      <c r="J74" s="2"/>
    </row>
    <row r="75">
      <c r="A75" s="3"/>
      <c r="B75" s="19" t="s">
        <v>85</v>
      </c>
      <c r="C75" s="6" t="str">
        <f>C69</f>
        <v>n/a</v>
      </c>
      <c r="D75" s="6" t="str">
        <f>D69</f>
        <v>n/a</v>
      </c>
      <c r="E75" s="6" t="str">
        <f>E69</f>
        <v>n/a</v>
      </c>
      <c r="F75" s="6">
        <f>F69</f>
        <v>-0.051359898798229</v>
      </c>
      <c r="G75" s="6">
        <f>G69</f>
        <v>-0.09416219627642786</v>
      </c>
      <c r="H75" s="50" t="str">
        <f>H69</f>
        <v>n/a</v>
      </c>
      <c r="I75" s="2"/>
      <c r="J75" s="2"/>
    </row>
    <row r="76">
      <c r="A76" s="3"/>
      <c r="B76" s="25" t="s">
        <v>200</v>
      </c>
      <c r="C76" s="1" t="s">
        <v>94</v>
      </c>
      <c r="D76" s="1" t="s">
        <v>94</v>
      </c>
      <c r="E76" s="1" t="s">
        <v>94</v>
      </c>
      <c r="F76" s="31">
        <v>244</v>
      </c>
      <c r="G76" s="31">
        <v>240</v>
      </c>
      <c r="H76" s="20">
        <v>240</v>
      </c>
      <c r="I76" s="2" t="s">
        <v>240</v>
      </c>
      <c r="J76" s="2"/>
    </row>
    <row r="77">
      <c r="A77" s="3"/>
      <c r="B77" s="75" t="s">
        <v>196</v>
      </c>
      <c r="C77" s="1" t="s">
        <v>94</v>
      </c>
      <c r="D77" s="1" t="s">
        <v>94</v>
      </c>
      <c r="E77" s="1" t="s">
        <v>94</v>
      </c>
      <c r="F77" s="31">
        <v>225</v>
      </c>
      <c r="G77" s="31">
        <v>240</v>
      </c>
      <c r="H77" s="27" t="str">
        <f>C76</f>
        <v>n/d</v>
      </c>
      <c r="I77" s="2"/>
      <c r="J77" s="2"/>
    </row>
    <row r="78">
      <c r="A78" s="3"/>
      <c r="B78" s="19" t="s">
        <v>79</v>
      </c>
      <c r="C78" s="6" t="str">
        <f>IFERROR(C76/C77-1,"n/a")</f>
        <v>n/a</v>
      </c>
      <c r="D78" s="6" t="str">
        <f>IFERROR(D76/D77-1,"n/a")</f>
        <v>n/a</v>
      </c>
      <c r="E78" s="6" t="str">
        <f>IFERROR(E76/E77-1,"n/a")</f>
        <v>n/a</v>
      </c>
      <c r="F78" s="6">
        <f>IFERROR(F76/F77-1,"n/a")</f>
        <v>0.08444444444444454</v>
      </c>
      <c r="G78" s="6">
        <f>IFERROR(G76/G77-1,"n/a")</f>
        <v>0</v>
      </c>
      <c r="H78" s="50" t="str">
        <f>IFERROR(H76/C76-1,"n/a")</f>
        <v>n/a</v>
      </c>
      <c r="I78" s="2"/>
      <c r="J78" s="2"/>
    </row>
    <row r="79">
      <c r="A79" s="3"/>
      <c r="B79" s="19" t="s">
        <v>80</v>
      </c>
      <c r="C79" s="6" t="s">
        <v>53</v>
      </c>
      <c r="D79" s="6" t="str">
        <f>IFERROR(D76/C76-1,"n/a")</f>
        <v>n/a</v>
      </c>
      <c r="E79" s="6" t="s">
        <v>53</v>
      </c>
      <c r="F79" s="6" t="str">
        <f>IFERROR(F76/D76-1,"n/a")</f>
        <v>n/a</v>
      </c>
      <c r="G79" s="6">
        <f>IFERROR(G76/F76-1,"n/a")</f>
        <v>-0.016393442622950838</v>
      </c>
      <c r="H79" s="50">
        <f>IFERROR(H76/G76-1,"n/a")</f>
        <v>0</v>
      </c>
      <c r="I79" s="2"/>
      <c r="J79" s="2"/>
    </row>
    <row r="80">
      <c r="A80" s="3"/>
      <c r="B80" s="19" t="s">
        <v>197</v>
      </c>
      <c r="C80" s="6" t="str">
        <f>IFERROR(C76/C29,"n/d")</f>
        <v>n/d</v>
      </c>
      <c r="D80" s="6" t="str">
        <f>IFERROR(D76/D29,"n/d")</f>
        <v>n/d</v>
      </c>
      <c r="E80" s="6" t="str">
        <f>IFERROR(E76/E29,"n/d")</f>
        <v>n/d</v>
      </c>
      <c r="F80" s="6">
        <f>IFERROR(F76/F29,"n/d")</f>
        <v>0.010120701812601104</v>
      </c>
      <c r="G80" s="6">
        <f>IFERROR(G76/G29,"n/d")</f>
        <v>0.010224948875255624</v>
      </c>
      <c r="H80" s="50">
        <f>IFERROR(H76/H29,"n/d")</f>
        <v>0.010247214038683231</v>
      </c>
      <c r="I80" s="2"/>
      <c r="J80" s="2"/>
    </row>
    <row r="81">
      <c r="A81" s="3"/>
      <c r="B81" s="19" t="s">
        <v>82</v>
      </c>
      <c r="C81" s="6" t="s">
        <v>94</v>
      </c>
      <c r="D81" s="6" t="s">
        <v>94</v>
      </c>
      <c r="E81" s="6" t="s">
        <v>94</v>
      </c>
      <c r="F81" s="6" t="s">
        <v>94</v>
      </c>
      <c r="G81" s="6" t="s">
        <v>94</v>
      </c>
      <c r="H81" s="50" t="s">
        <v>94</v>
      </c>
      <c r="I81" s="2" t="s">
        <v>169</v>
      </c>
      <c r="J81" s="2"/>
    </row>
    <row r="82">
      <c r="A82" s="3"/>
      <c r="B82" s="19" t="s">
        <v>83</v>
      </c>
      <c r="C82" s="6" t="s">
        <v>94</v>
      </c>
      <c r="D82" s="6" t="s">
        <v>94</v>
      </c>
      <c r="E82" s="6" t="s">
        <v>94</v>
      </c>
      <c r="F82" s="6" t="s">
        <v>94</v>
      </c>
      <c r="G82" s="6" t="s">
        <v>94</v>
      </c>
      <c r="H82" s="50" t="s">
        <v>94</v>
      </c>
      <c r="I82" s="2" t="s">
        <v>233</v>
      </c>
      <c r="J82" s="2"/>
    </row>
    <row r="83">
      <c r="A83" s="3"/>
      <c r="B83" s="19" t="s">
        <v>84</v>
      </c>
      <c r="C83" s="6" t="str">
        <f>IF(OR(ISTEXT(C78),ISTEXT(C81),ISTEXT(C82)),"n/d",(1+C78)/((1+C81)*(1+C82))-1)</f>
        <v>n/d</v>
      </c>
      <c r="D83" s="6" t="str">
        <f>IF(OR(ISTEXT(D78),ISTEXT(D81),ISTEXT(D82)),"n/d",(1+D78)/((1+D81)*(1+D82))-1)</f>
        <v>n/d</v>
      </c>
      <c r="E83" s="6" t="str">
        <f>IF(OR(ISTEXT(E78),ISTEXT(E81),ISTEXT(E82)),"n/d",(1+E78)/((1+E81)*(1+E82))-1)</f>
        <v>n/d</v>
      </c>
      <c r="F83" s="6" t="str">
        <f>IF(OR(ISTEXT(F78),ISTEXT(F81),ISTEXT(F82)),"n/d",(1+F78)/((1+F81)*(1+F82))-1)</f>
        <v>n/d</v>
      </c>
      <c r="G83" s="6" t="str">
        <f>IF(OR(ISTEXT(G78),ISTEXT(G81),ISTEXT(G82)),"n/d",(1+G78)/((1+G81)*(1+G82))-1)</f>
        <v>n/d</v>
      </c>
      <c r="H83" s="50" t="str">
        <f>IF(OR(ISTEXT(H78),ISTEXT(H81),ISTEXT(H82)),"n/d",(1+H78)/((1+H81)*(1+H82))-1)</f>
        <v>n/d</v>
      </c>
      <c r="I83" s="2" t="s">
        <v>102</v>
      </c>
      <c r="J83" s="2"/>
    </row>
    <row r="84">
      <c r="A84" s="3"/>
      <c r="B84" s="19" t="s">
        <v>85</v>
      </c>
      <c r="C84" s="6" t="str">
        <f>C78</f>
        <v>n/a</v>
      </c>
      <c r="D84" s="6" t="str">
        <f>D78</f>
        <v>n/a</v>
      </c>
      <c r="E84" s="6" t="str">
        <f>E78</f>
        <v>n/a</v>
      </c>
      <c r="F84" s="6">
        <f>F78</f>
        <v>0.08444444444444454</v>
      </c>
      <c r="G84" s="6">
        <f>G78</f>
        <v>0</v>
      </c>
      <c r="H84" s="50" t="str">
        <f>H78</f>
        <v>n/a</v>
      </c>
      <c r="I84" s="2"/>
      <c r="J84" s="2"/>
    </row>
    <row r="85">
      <c r="A85" s="3"/>
      <c r="B85" s="69" t="s">
        <v>202</v>
      </c>
      <c r="C85" s="8" t="str">
        <f>IFERROR(C40+C49+C58,"n/d")</f>
        <v>n/d</v>
      </c>
      <c r="D85" s="8" t="str">
        <f>IFERROR(D40+D49+D58,"n/d")</f>
        <v>n/d</v>
      </c>
      <c r="E85" s="8" t="str">
        <f>IFERROR(E40+E49+E58,"n/d")</f>
        <v>n/d</v>
      </c>
      <c r="F85" s="8">
        <f>IFERROR(F40+F49+F58,"n/d")</f>
        <v>8867</v>
      </c>
      <c r="G85" s="8">
        <f>IFERROR(G40+G49+G58,"n/d")</f>
        <v>8879</v>
      </c>
      <c r="H85" s="29">
        <f>IFERROR(H40+H49+H58,"n/d")</f>
        <v>9029.434541249997</v>
      </c>
      <c r="I85" s="2"/>
      <c r="J85" s="2"/>
    </row>
    <row r="86">
      <c r="A86" s="3"/>
      <c r="B86" s="69" t="s">
        <v>203</v>
      </c>
      <c r="C86" s="8" t="str">
        <f>IFERROR(C40+C49+C58+C67+C76,"n/d")</f>
        <v>n/d</v>
      </c>
      <c r="D86" s="8" t="str">
        <f>IFERROR(D40+D49+D58+D67+D76,"n/d")</f>
        <v>n/d</v>
      </c>
      <c r="E86" s="8" t="str">
        <f>IFERROR(E40+E49+E58+E67+E76,"n/d")</f>
        <v>n/d</v>
      </c>
      <c r="F86" s="8">
        <f>IFERROR(F40+F49+F58+F67+F76,"n/d")</f>
        <v>24109</v>
      </c>
      <c r="G86" s="8">
        <f>IFERROR(G40+G49+G58+G67+G76,"n/d")</f>
        <v>23472</v>
      </c>
      <c r="H86" s="29">
        <f>IFERROR(H40+H49+H58+H67+H76,"n/d")</f>
        <v>23421.000000000004</v>
      </c>
      <c r="I86" s="2"/>
      <c r="J86" s="2"/>
    </row>
    <row r="87">
      <c r="A87" s="3"/>
      <c r="B87" s="28" t="s">
        <v>204</v>
      </c>
      <c r="C87" s="1" t="str">
        <f>IFERROR(C86-C29,"n/a")</f>
        <v>n/a</v>
      </c>
      <c r="D87" s="1" t="str">
        <f>IFERROR(D86-D29,"n/a")</f>
        <v>n/a</v>
      </c>
      <c r="E87" s="1" t="str">
        <f>IFERROR(E86-E29,"n/a")</f>
        <v>n/a</v>
      </c>
      <c r="F87" s="1">
        <f>IFERROR(F86-F29,"n/a")</f>
        <v>0</v>
      </c>
      <c r="G87" s="1">
        <f>IFERROR(G86-G29,"n/a")</f>
        <v>0</v>
      </c>
      <c r="H87" s="27">
        <f>IFERROR(H86-H29,"n/a")</f>
        <v>0</v>
      </c>
      <c r="I87" s="2" t="s">
        <v>205</v>
      </c>
      <c r="J87" s="2"/>
    </row>
    <row r="88">
      <c r="A88" s="3"/>
      <c r="B88" s="3"/>
      <c r="C88" s="3"/>
      <c r="D88" s="3"/>
      <c r="E88" s="3"/>
      <c r="F88" s="3"/>
      <c r="G88" s="3"/>
      <c r="H88" s="13"/>
      <c r="I88" s="2"/>
      <c r="J88" s="2"/>
    </row>
    <row r="89">
      <c r="A89" s="3"/>
      <c r="B89" s="23" t="s">
        <v>206</v>
      </c>
      <c r="C89" s="3"/>
      <c r="D89" s="3"/>
      <c r="E89" s="3"/>
      <c r="F89" s="3"/>
      <c r="G89" s="3"/>
      <c r="H89" s="13"/>
      <c r="I89" s="2"/>
      <c r="J89" s="2"/>
    </row>
    <row r="90">
      <c r="A90" s="3"/>
      <c r="B90" s="58" t="s">
        <v>241</v>
      </c>
      <c r="C90" s="6">
        <f>C93/C29</f>
        <v>0.0016127763354574778</v>
      </c>
      <c r="D90" s="6">
        <f>D93/D29</f>
        <v>-0.11951968723820162</v>
      </c>
      <c r="E90" s="6">
        <f>E93/E29</f>
        <v>-0.011144316398636694</v>
      </c>
      <c r="F90" s="6">
        <f>F93/F29</f>
        <v>0.047326724459745326</v>
      </c>
      <c r="G90" s="6">
        <f>G93/G29</f>
        <v>0.050698704839809136</v>
      </c>
      <c r="H90" s="67">
        <v>0.011</v>
      </c>
      <c r="I90" s="2" t="s">
        <v>242</v>
      </c>
      <c r="J90" s="2"/>
    </row>
    <row r="91">
      <c r="A91" s="3"/>
      <c r="B91" s="45" t="s">
        <v>91</v>
      </c>
      <c r="C91" s="24" t="s">
        <v>53</v>
      </c>
      <c r="D91" s="24">
        <f>IFERROR((D90-C90)*10000,"n/a")</f>
        <v>-1211.324635736591</v>
      </c>
      <c r="E91" s="24" t="s">
        <v>53</v>
      </c>
      <c r="F91" s="24">
        <f>IFERROR((F90-D90)*10000,"n/a")</f>
        <v>1668.4641169794695</v>
      </c>
      <c r="G91" s="24">
        <f>IFERROR((G90-F90)*10000,"n/a")</f>
        <v>33.719803800638104</v>
      </c>
      <c r="H91" s="66">
        <f>IFERROR((H90-G90)*10000,"n/a")</f>
        <v>-396.9870483980914</v>
      </c>
      <c r="I91" s="2"/>
      <c r="J91" s="2"/>
    </row>
    <row r="92">
      <c r="A92" s="3"/>
      <c r="B92" s="45" t="s">
        <v>92</v>
      </c>
      <c r="C92" s="24" t="s">
        <v>53</v>
      </c>
      <c r="D92" s="24" t="s">
        <v>53</v>
      </c>
      <c r="E92" s="24">
        <f>IFERROR((E90-E94/E30)*10000,"n/a")</f>
        <v>-778.1999938484173</v>
      </c>
      <c r="F92" s="24">
        <f>IFERROR((F90-F94/F30)*10000,"n/a")</f>
        <v>-94.83679373245776</v>
      </c>
      <c r="G92" s="24">
        <f>IFERROR((G90-G94/G30)*10000,"n/a")</f>
        <v>333.478453858152</v>
      </c>
      <c r="H92" s="66">
        <f>(H90-C90)*10000</f>
        <v>93.87223664542522</v>
      </c>
      <c r="I92" s="2"/>
      <c r="J92" s="2"/>
    </row>
    <row r="93">
      <c r="A93" s="3"/>
      <c r="B93" s="23" t="s">
        <v>243</v>
      </c>
      <c r="C93" s="57">
        <v>41</v>
      </c>
      <c r="D93" s="57">
        <v>-2996</v>
      </c>
      <c r="E93" s="57">
        <v>-1115</v>
      </c>
      <c r="F93" s="57">
        <v>1141</v>
      </c>
      <c r="G93" s="57">
        <v>1190</v>
      </c>
      <c r="H93" s="29">
        <f>H29*H90</f>
        <v>257.63100000000003</v>
      </c>
      <c r="I93" s="2" t="s">
        <v>244</v>
      </c>
      <c r="J93" s="2"/>
    </row>
    <row r="94">
      <c r="A94" s="3"/>
      <c r="B94" s="28" t="s">
        <v>209</v>
      </c>
      <c r="C94" s="1" t="s">
        <v>94</v>
      </c>
      <c r="D94" s="1" t="s">
        <v>94</v>
      </c>
      <c r="E94" s="31">
        <v>6902</v>
      </c>
      <c r="F94" s="31">
        <v>1411</v>
      </c>
      <c r="G94" s="31">
        <v>429</v>
      </c>
      <c r="H94" s="27">
        <f>C93</f>
        <v>41</v>
      </c>
      <c r="I94" s="2" t="s">
        <v>245</v>
      </c>
      <c r="J94" s="2"/>
    </row>
    <row r="95">
      <c r="A95" s="3"/>
      <c r="B95" s="45" t="s">
        <v>79</v>
      </c>
      <c r="C95" s="6" t="str">
        <f>IFERROR(IF(OR(C94&lt;=0,SIGN(C93)&lt;&gt;SIGN(C94)),"n/m",C93/C94-1),"n/a")</f>
        <v>n/a</v>
      </c>
      <c r="D95" s="6" t="str">
        <f>IFERROR(IF(OR(D94&lt;=0,SIGN(D93)&lt;&gt;SIGN(D94)),"n/m",D93/D94-1),"n/a")</f>
        <v>n/a</v>
      </c>
      <c r="E95" s="6" t="str">
        <f>IFERROR(IF(OR(E94&lt;=0,SIGN(E93)&lt;&gt;SIGN(E94)),"n/m",E93/E94-1),"n/a")</f>
        <v>n/m</v>
      </c>
      <c r="F95" s="6">
        <f>IFERROR(IF(OR(F94&lt;=0,SIGN(F93)&lt;&gt;SIGN(F94)),"n/m",F93/F94-1),"n/a")</f>
        <v>-0.1913536498936924</v>
      </c>
      <c r="G95" s="6">
        <f>IFERROR(IF(OR(G94&lt;=0,SIGN(G93)&lt;&gt;SIGN(G94)),"n/m",G93/G94-1),"n/a")</f>
        <v>1.7738927738927739</v>
      </c>
      <c r="H95" s="50">
        <f>IFERROR(IF(OR(C93&lt;=0,SIGN(H93)&lt;&gt;SIGN(C93)),"n/m",H93/C93-1),"n/a")</f>
        <v>5.283682926829269</v>
      </c>
      <c r="I95" s="2" t="s">
        <v>246</v>
      </c>
      <c r="J95" s="2"/>
    </row>
    <row r="96">
      <c r="A96" s="3"/>
      <c r="B96" s="45" t="s">
        <v>80</v>
      </c>
      <c r="C96" s="6" t="s">
        <v>53</v>
      </c>
      <c r="D96" s="6" t="str">
        <f>IFERROR(IF(OR(C93&lt;=0,SIGN(D93)&lt;&gt;SIGN(C93)),"n/m",D93/C93-1),"n/a")</f>
        <v>n/m</v>
      </c>
      <c r="E96" s="6" t="s">
        <v>53</v>
      </c>
      <c r="F96" s="6" t="str">
        <f>IFERROR(IF(OR(D93&lt;=0,SIGN(F93)&lt;&gt;SIGN(D93)),"n/m",F93/D93-1),"n/a")</f>
        <v>n/m</v>
      </c>
      <c r="G96" s="6">
        <f>IFERROR(IF(OR(F93&lt;=0,SIGN(G93)&lt;&gt;SIGN(F93)),"n/m",G93/F93-1),"n/a")</f>
        <v>0.042944785276073594</v>
      </c>
      <c r="H96" s="50">
        <f>IFERROR(IF(OR(G93&lt;=0,SIGN(H93)&lt;&gt;SIGN(G93)),"n/m",H93/G93-1),"n/a")</f>
        <v>-0.7835033613445378</v>
      </c>
      <c r="I96" s="2" t="s">
        <v>247</v>
      </c>
      <c r="J96" s="2"/>
    </row>
    <row r="97">
      <c r="A97" s="3"/>
      <c r="B97" s="25" t="s">
        <v>248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20">
        <v>0</v>
      </c>
      <c r="I97" s="2"/>
      <c r="J97" s="2"/>
    </row>
    <row r="98">
      <c r="A98" s="3"/>
      <c r="B98" s="25" t="s">
        <v>249</v>
      </c>
      <c r="C98" s="31">
        <v>0</v>
      </c>
      <c r="D98" s="31">
        <v>821</v>
      </c>
      <c r="E98" s="31">
        <v>821</v>
      </c>
      <c r="F98" s="31">
        <v>306</v>
      </c>
      <c r="G98" s="31">
        <v>35</v>
      </c>
      <c r="H98" s="20">
        <v>0</v>
      </c>
      <c r="I98" s="2" t="s">
        <v>250</v>
      </c>
      <c r="J98" s="2"/>
    </row>
    <row r="99">
      <c r="A99" s="3"/>
      <c r="B99" s="25" t="s">
        <v>212</v>
      </c>
      <c r="C99" s="31">
        <v>0</v>
      </c>
      <c r="D99" s="31">
        <v>1743</v>
      </c>
      <c r="E99" s="31">
        <v>1743</v>
      </c>
      <c r="F99" s="31">
        <v>-135</v>
      </c>
      <c r="G99" s="31">
        <v>-51</v>
      </c>
      <c r="H99" s="20">
        <v>-109</v>
      </c>
      <c r="I99" s="2" t="s">
        <v>251</v>
      </c>
      <c r="J99" s="2"/>
    </row>
    <row r="100">
      <c r="A100" s="3"/>
      <c r="B100" s="23" t="s">
        <v>252</v>
      </c>
      <c r="C100" s="8">
        <f>C93+C97+C98+C99</f>
        <v>41</v>
      </c>
      <c r="D100" s="8">
        <f>D93+D97+D98+D99</f>
        <v>-432</v>
      </c>
      <c r="E100" s="8">
        <f>E93+E97+E98+E99</f>
        <v>1449</v>
      </c>
      <c r="F100" s="8">
        <f>F93+F97+F98+F99</f>
        <v>1312</v>
      </c>
      <c r="G100" s="8">
        <f>G93+G97+G98+G99</f>
        <v>1174</v>
      </c>
      <c r="H100" s="29">
        <f>H93+H97+H98+H99</f>
        <v>148.63100000000003</v>
      </c>
      <c r="I100" s="2"/>
      <c r="J100" s="2"/>
    </row>
    <row r="101">
      <c r="A101" s="3"/>
      <c r="B101" s="58" t="s">
        <v>253</v>
      </c>
      <c r="C101" s="6">
        <f>C100/C29</f>
        <v>0.0016127763354574778</v>
      </c>
      <c r="D101" s="6">
        <f>D100/D29</f>
        <v>-0.01723381338014122</v>
      </c>
      <c r="E101" s="6">
        <f>E100/E29</f>
        <v>0.014482613866927866</v>
      </c>
      <c r="F101" s="6">
        <f>F100/F29</f>
        <v>0.054419511385789536</v>
      </c>
      <c r="G101" s="6">
        <f>G100/G29</f>
        <v>0.05001704158145876</v>
      </c>
      <c r="H101" s="50">
        <f>H100/H29</f>
        <v>0.006346056957431365</v>
      </c>
      <c r="I101" s="2"/>
      <c r="J101" s="2"/>
    </row>
    <row r="102">
      <c r="A102" s="3"/>
      <c r="B102" s="45" t="s">
        <v>91</v>
      </c>
      <c r="C102" s="24" t="s">
        <v>53</v>
      </c>
      <c r="D102" s="24">
        <f>IFERROR((D101-C101)*10000,"n/a")</f>
        <v>-188.465897155987</v>
      </c>
      <c r="E102" s="24" t="s">
        <v>53</v>
      </c>
      <c r="F102" s="24">
        <f>IFERROR((F101-D101)*10000,"n/a")</f>
        <v>716.5332476593076</v>
      </c>
      <c r="G102" s="24">
        <f>IFERROR((G101-F101)*10000,"n/a")</f>
        <v>-44.024698043307744</v>
      </c>
      <c r="H102" s="66">
        <f>IFERROR((H101-G101)*10000,"n/a")</f>
        <v>-436.709846240274</v>
      </c>
      <c r="I102" s="2"/>
      <c r="J102" s="2"/>
    </row>
    <row r="103">
      <c r="A103" s="3"/>
      <c r="B103" s="45" t="s">
        <v>92</v>
      </c>
      <c r="C103" s="24" t="s">
        <v>53</v>
      </c>
      <c r="D103" s="24" t="s">
        <v>53</v>
      </c>
      <c r="E103" s="24" t="s">
        <v>53</v>
      </c>
      <c r="F103" s="24" t="s">
        <v>53</v>
      </c>
      <c r="G103" s="24" t="s">
        <v>53</v>
      </c>
      <c r="H103" s="66">
        <f>(H101-C101)*10000</f>
        <v>47.33280621973888</v>
      </c>
      <c r="I103" s="2"/>
      <c r="J103" s="2"/>
    </row>
    <row r="104">
      <c r="A104" s="3"/>
      <c r="B104" s="3"/>
      <c r="C104" s="3"/>
      <c r="D104" s="3"/>
      <c r="E104" s="3"/>
      <c r="F104" s="3"/>
      <c r="G104" s="3"/>
      <c r="H104" s="13"/>
      <c r="I104" s="2"/>
      <c r="J104" s="2"/>
    </row>
    <row r="105">
      <c r="A105" s="3"/>
      <c r="B105" s="3"/>
      <c r="C105" s="3"/>
      <c r="D105" s="3"/>
      <c r="E105" s="3"/>
      <c r="F105" s="3"/>
      <c r="G105" s="3"/>
      <c r="H105" s="13"/>
      <c r="I105" s="2"/>
      <c r="J105" s="2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J8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254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255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25" t="s">
        <v>256</v>
      </c>
      <c r="C10" s="31">
        <v>32.1</v>
      </c>
      <c r="D10" s="31">
        <v>31.1</v>
      </c>
      <c r="E10" s="97">
        <f>D10</f>
        <v>31.1</v>
      </c>
      <c r="F10" s="1" t="s">
        <v>94</v>
      </c>
      <c r="G10" s="1" t="s">
        <v>94</v>
      </c>
      <c r="H10" s="27" t="s">
        <v>94</v>
      </c>
      <c r="I10" s="2" t="s">
        <v>257</v>
      </c>
      <c r="J10" s="2"/>
    </row>
    <row r="11">
      <c r="A11" s="3"/>
      <c r="B11" s="28" t="s">
        <v>109</v>
      </c>
      <c r="C11" s="1" t="s">
        <v>53</v>
      </c>
      <c r="D11" s="1">
        <f>IFERROR(D10-C10,"n/a")</f>
        <v>-1</v>
      </c>
      <c r="E11" s="1" t="s">
        <v>53</v>
      </c>
      <c r="F11" s="1" t="str">
        <f>IFERROR(F10-D10,"n/a")</f>
        <v>n/a</v>
      </c>
      <c r="G11" s="1" t="str">
        <f>IFERROR(G10-F10,"n/a")</f>
        <v>n/a</v>
      </c>
      <c r="H11" s="27" t="str">
        <f>IFERROR(H10-G10,"n/a")</f>
        <v>n/a</v>
      </c>
      <c r="I11" s="2"/>
      <c r="J11" s="2"/>
    </row>
    <row r="12">
      <c r="A12" s="3"/>
      <c r="B12" s="58" t="s">
        <v>258</v>
      </c>
      <c r="C12" s="6" t="s">
        <v>53</v>
      </c>
      <c r="D12" s="6" t="s">
        <v>53</v>
      </c>
      <c r="E12" s="6" t="s">
        <v>53</v>
      </c>
      <c r="F12" s="6" t="s">
        <v>53</v>
      </c>
      <c r="G12" s="6" t="s">
        <v>53</v>
      </c>
      <c r="H12" s="67">
        <v>0.025</v>
      </c>
      <c r="I12" s="2" t="s">
        <v>259</v>
      </c>
      <c r="J12" s="2"/>
    </row>
    <row r="13">
      <c r="A13" s="3"/>
      <c r="B13" s="3"/>
      <c r="C13" s="3"/>
      <c r="D13" s="3"/>
      <c r="E13" s="3"/>
      <c r="F13" s="3"/>
      <c r="G13" s="3"/>
      <c r="H13" s="13"/>
      <c r="I13" s="2"/>
      <c r="J13" s="2"/>
    </row>
    <row r="14">
      <c r="A14" s="3"/>
      <c r="B14" s="23" t="s">
        <v>163</v>
      </c>
      <c r="C14" s="3"/>
      <c r="D14" s="3"/>
      <c r="E14" s="3"/>
      <c r="F14" s="3"/>
      <c r="G14" s="3"/>
      <c r="H14" s="13"/>
      <c r="I14" s="2"/>
      <c r="J14" s="2"/>
    </row>
    <row r="15">
      <c r="A15" s="3"/>
      <c r="B15" s="23" t="s">
        <v>260</v>
      </c>
      <c r="C15" s="57">
        <v>5320</v>
      </c>
      <c r="D15" s="57">
        <v>5455</v>
      </c>
      <c r="E15" s="57">
        <v>21034</v>
      </c>
      <c r="F15" s="57">
        <v>5125</v>
      </c>
      <c r="G15" s="57">
        <v>5402</v>
      </c>
      <c r="H15" s="29">
        <f>C15*(1+H12)</f>
        <v>5452.999999999999</v>
      </c>
      <c r="I15" s="2" t="s">
        <v>261</v>
      </c>
      <c r="J15" s="2"/>
    </row>
    <row r="16">
      <c r="A16" s="3"/>
      <c r="B16" s="28" t="s">
        <v>78</v>
      </c>
      <c r="C16" s="1" t="s">
        <v>94</v>
      </c>
      <c r="D16" s="1" t="s">
        <v>94</v>
      </c>
      <c r="E16" s="31">
        <v>20356</v>
      </c>
      <c r="F16" s="31">
        <v>5027</v>
      </c>
      <c r="G16" s="31">
        <v>5232</v>
      </c>
      <c r="H16" s="27">
        <f>C15</f>
        <v>5320</v>
      </c>
      <c r="I16" s="2"/>
      <c r="J16" s="2"/>
    </row>
    <row r="17">
      <c r="A17" s="3"/>
      <c r="B17" s="45" t="s">
        <v>79</v>
      </c>
      <c r="C17" s="6" t="str">
        <f>IFERROR(C15/C16-1,"n/a")</f>
        <v>n/a</v>
      </c>
      <c r="D17" s="6" t="str">
        <f>IFERROR(D15/D16-1,"n/a")</f>
        <v>n/a</v>
      </c>
      <c r="E17" s="6">
        <f>IFERROR(E15/E16-1,"n/a")</f>
        <v>0.03330713303202981</v>
      </c>
      <c r="F17" s="6">
        <f>IFERROR(F15/F16-1,"n/a")</f>
        <v>0.019494728466282085</v>
      </c>
      <c r="G17" s="6">
        <f>IFERROR(G15/G16-1,"n/a")</f>
        <v>0.03249235474006107</v>
      </c>
      <c r="H17" s="50">
        <f>IFERROR(H15/C15-1,"n/a")</f>
        <v>0.02499999999999991</v>
      </c>
      <c r="I17" s="2"/>
      <c r="J17" s="2"/>
    </row>
    <row r="18">
      <c r="A18" s="3"/>
      <c r="B18" s="45" t="s">
        <v>80</v>
      </c>
      <c r="C18" s="6" t="s">
        <v>53</v>
      </c>
      <c r="D18" s="6">
        <f>IFERROR(D15/C15-1,"n/a")</f>
        <v>0.025375939849624052</v>
      </c>
      <c r="E18" s="6" t="s">
        <v>53</v>
      </c>
      <c r="F18" s="6">
        <f>IFERROR(F15/D15-1,"n/a")</f>
        <v>-0.060494958753437245</v>
      </c>
      <c r="G18" s="6">
        <f>IFERROR(G15/F15-1,"n/a")</f>
        <v>0.054048780487804926</v>
      </c>
      <c r="H18" s="50">
        <f>IFERROR(H15/G15-1,"n/a")</f>
        <v>0.00944094779711202</v>
      </c>
      <c r="I18" s="2"/>
      <c r="J18" s="2"/>
    </row>
    <row r="19">
      <c r="A19" s="3"/>
      <c r="B19" s="28" t="s">
        <v>109</v>
      </c>
      <c r="C19" s="1" t="s">
        <v>53</v>
      </c>
      <c r="D19" s="1">
        <f>IFERROR(D15-C15,"n/a")</f>
        <v>135</v>
      </c>
      <c r="E19" s="1" t="s">
        <v>53</v>
      </c>
      <c r="F19" s="1">
        <f>IFERROR(F15-D15,"n/a")</f>
        <v>-330</v>
      </c>
      <c r="G19" s="1">
        <f>IFERROR(G15-F15,"n/a")</f>
        <v>277</v>
      </c>
      <c r="H19" s="27">
        <f>IFERROR(H15-G15,"n/a")</f>
        <v>50.99999999999909</v>
      </c>
      <c r="I19" s="2"/>
      <c r="J19" s="2"/>
    </row>
    <row r="20">
      <c r="A20" s="3"/>
      <c r="B20" s="19" t="s">
        <v>82</v>
      </c>
      <c r="C20" s="6" t="s">
        <v>94</v>
      </c>
      <c r="D20" s="6" t="s">
        <v>94</v>
      </c>
      <c r="E20" s="6" t="s">
        <v>94</v>
      </c>
      <c r="F20" s="6" t="s">
        <v>94</v>
      </c>
      <c r="G20" s="6" t="s">
        <v>94</v>
      </c>
      <c r="H20" s="50" t="s">
        <v>94</v>
      </c>
      <c r="I20" s="2" t="s">
        <v>262</v>
      </c>
      <c r="J20" s="2"/>
    </row>
    <row r="21" ht="45">
      <c r="A21" s="3"/>
      <c r="B21" s="19" t="s">
        <v>83</v>
      </c>
      <c r="C21" s="95" t="s">
        <v>94</v>
      </c>
      <c r="D21" s="95" t="s">
        <v>94</v>
      </c>
      <c r="E21" s="95" t="s">
        <v>94</v>
      </c>
      <c r="F21" s="95" t="s">
        <v>94</v>
      </c>
      <c r="G21" s="95" t="s">
        <v>94</v>
      </c>
      <c r="H21" s="67">
        <v>0</v>
      </c>
      <c r="I21" s="105" t="s">
        <v>230</v>
      </c>
      <c r="J21" s="2"/>
    </row>
    <row r="22">
      <c r="A22" s="3"/>
      <c r="B22" s="19" t="s">
        <v>84</v>
      </c>
      <c r="C22" s="6" t="str">
        <f>IF(OR(ISTEXT(C17),ISTEXT(C20),ISTEXT(C21)),"n/d",(1+C17)/((1+C20)*(1+C21))-1)</f>
        <v>n/d</v>
      </c>
      <c r="D22" s="6" t="str">
        <f>IF(OR(ISTEXT(D17),ISTEXT(D20),ISTEXT(D21)),"n/d",(1+D17)/((1+D20)*(1+D21))-1)</f>
        <v>n/d</v>
      </c>
      <c r="E22" s="6" t="str">
        <f>IF(OR(ISTEXT(E17),ISTEXT(E20),ISTEXT(E21)),"n/d",(1+E17)/((1+E20)*(1+E21))-1)</f>
        <v>n/d</v>
      </c>
      <c r="F22" s="6" t="str">
        <f>IF(OR(ISTEXT(F17),ISTEXT(F20),ISTEXT(F21)),"n/d",(1+F17)/((1+F20)*(1+F21))-1)</f>
        <v>n/d</v>
      </c>
      <c r="G22" s="6" t="str">
        <f>IF(OR(ISTEXT(G17),ISTEXT(G20),ISTEXT(G21)),"n/d",(1+G17)/((1+G20)*(1+G21))-1)</f>
        <v>n/d</v>
      </c>
      <c r="H22" s="50" t="str">
        <f>IF(OR(ISTEXT(H17),ISTEXT(H20),ISTEXT(H21)),"n/d",(1+H17)/((1+H20)*(1+H21))-1)</f>
        <v>n/d</v>
      </c>
      <c r="I22" s="2" t="s">
        <v>102</v>
      </c>
      <c r="J22" s="2"/>
    </row>
    <row r="23">
      <c r="A23" s="3"/>
      <c r="B23" s="19" t="s">
        <v>85</v>
      </c>
      <c r="C23" s="6" t="str">
        <f>C17</f>
        <v>n/a</v>
      </c>
      <c r="D23" s="6" t="str">
        <f>D17</f>
        <v>n/a</v>
      </c>
      <c r="E23" s="6">
        <f>E17</f>
        <v>0.03330713303202981</v>
      </c>
      <c r="F23" s="6">
        <f>F17</f>
        <v>0.019494728466282085</v>
      </c>
      <c r="G23" s="6">
        <f>G17</f>
        <v>0.03249235474006107</v>
      </c>
      <c r="H23" s="50">
        <f>H17</f>
        <v>0.02499999999999991</v>
      </c>
      <c r="I23" s="2"/>
      <c r="J23" s="2"/>
    </row>
    <row r="24">
      <c r="A24" s="3"/>
      <c r="B24" s="3"/>
      <c r="C24" s="3"/>
      <c r="D24" s="3"/>
      <c r="E24" s="3"/>
      <c r="F24" s="3"/>
      <c r="G24" s="3"/>
      <c r="H24" s="13"/>
      <c r="I24" s="2"/>
      <c r="J24" s="2"/>
    </row>
    <row r="25">
      <c r="A25" s="3"/>
      <c r="B25" s="23" t="s">
        <v>193</v>
      </c>
      <c r="C25" s="3"/>
      <c r="D25" s="3"/>
      <c r="E25" s="3"/>
      <c r="F25" s="3"/>
      <c r="G25" s="3"/>
      <c r="H25" s="13"/>
      <c r="I25" s="2"/>
      <c r="J25" s="2"/>
    </row>
    <row r="26">
      <c r="A26" s="3"/>
      <c r="B26" s="25" t="s">
        <v>234</v>
      </c>
      <c r="C26" s="1" t="s">
        <v>94</v>
      </c>
      <c r="D26" s="1" t="s">
        <v>94</v>
      </c>
      <c r="E26" s="1" t="s">
        <v>94</v>
      </c>
      <c r="F26" s="31">
        <v>45</v>
      </c>
      <c r="G26" s="31">
        <v>45</v>
      </c>
      <c r="H26" s="20">
        <v>45</v>
      </c>
      <c r="I26" s="2" t="s">
        <v>263</v>
      </c>
      <c r="J26" s="2"/>
    </row>
    <row r="27">
      <c r="A27" s="3"/>
      <c r="B27" s="75" t="s">
        <v>196</v>
      </c>
      <c r="C27" s="1" t="s">
        <v>94</v>
      </c>
      <c r="D27" s="1" t="s">
        <v>94</v>
      </c>
      <c r="E27" s="1" t="s">
        <v>94</v>
      </c>
      <c r="F27" s="31">
        <v>44</v>
      </c>
      <c r="G27" s="31">
        <v>44</v>
      </c>
      <c r="H27" s="27" t="str">
        <f>C26</f>
        <v>n/d</v>
      </c>
      <c r="I27" s="2"/>
      <c r="J27" s="2"/>
    </row>
    <row r="28">
      <c r="A28" s="3"/>
      <c r="B28" s="19" t="s">
        <v>79</v>
      </c>
      <c r="C28" s="6" t="str">
        <f>IFERROR(C26/C27-1,"n/a")</f>
        <v>n/a</v>
      </c>
      <c r="D28" s="6" t="str">
        <f>IFERROR(D26/D27-1,"n/a")</f>
        <v>n/a</v>
      </c>
      <c r="E28" s="6" t="str">
        <f>IFERROR(E26/E27-1,"n/a")</f>
        <v>n/a</v>
      </c>
      <c r="F28" s="6">
        <f>IFERROR(F26/F27-1,"n/a")</f>
        <v>0.022727272727272707</v>
      </c>
      <c r="G28" s="6">
        <f>IFERROR(G26/G27-1,"n/a")</f>
        <v>0.022727272727272707</v>
      </c>
      <c r="H28" s="50" t="str">
        <f>IFERROR(H26/C26-1,"n/a")</f>
        <v>n/a</v>
      </c>
      <c r="I28" s="2"/>
      <c r="J28" s="2"/>
    </row>
    <row r="29">
      <c r="A29" s="3"/>
      <c r="B29" s="19" t="s">
        <v>80</v>
      </c>
      <c r="C29" s="6" t="s">
        <v>53</v>
      </c>
      <c r="D29" s="6" t="str">
        <f>IFERROR(D26/C26-1,"n/a")</f>
        <v>n/a</v>
      </c>
      <c r="E29" s="6" t="s">
        <v>53</v>
      </c>
      <c r="F29" s="6" t="str">
        <f>IFERROR(F26/D26-1,"n/a")</f>
        <v>n/a</v>
      </c>
      <c r="G29" s="6">
        <f>IFERROR(G26/F26-1,"n/a")</f>
        <v>0</v>
      </c>
      <c r="H29" s="50">
        <f>IFERROR(H26/G26-1,"n/a")</f>
        <v>0</v>
      </c>
      <c r="I29" s="2"/>
      <c r="J29" s="2"/>
    </row>
    <row r="30">
      <c r="A30" s="3"/>
      <c r="B30" s="19" t="s">
        <v>197</v>
      </c>
      <c r="C30" s="6" t="str">
        <f>IFERROR(C26/C15,"n/d")</f>
        <v>n/d</v>
      </c>
      <c r="D30" s="6" t="str">
        <f>IFERROR(D26/D15,"n/d")</f>
        <v>n/d</v>
      </c>
      <c r="E30" s="6" t="str">
        <f>IFERROR(E26/E15,"n/d")</f>
        <v>n/d</v>
      </c>
      <c r="F30" s="6">
        <f>IFERROR(F26/F15,"n/d")</f>
        <v>0.00878048780487805</v>
      </c>
      <c r="G30" s="6">
        <f>IFERROR(G26/G15,"n/d")</f>
        <v>0.008330248056275453</v>
      </c>
      <c r="H30" s="50">
        <f>IFERROR(H26/H15,"n/d")</f>
        <v>0.00825233816247937</v>
      </c>
      <c r="I30" s="2"/>
      <c r="J30" s="2"/>
    </row>
    <row r="31">
      <c r="A31" s="3"/>
      <c r="B31" s="19" t="s">
        <v>82</v>
      </c>
      <c r="C31" s="6" t="s">
        <v>94</v>
      </c>
      <c r="D31" s="6" t="s">
        <v>94</v>
      </c>
      <c r="E31" s="6" t="s">
        <v>94</v>
      </c>
      <c r="F31" s="6" t="s">
        <v>94</v>
      </c>
      <c r="G31" s="6" t="s">
        <v>94</v>
      </c>
      <c r="H31" s="50" t="s">
        <v>94</v>
      </c>
      <c r="I31" s="2" t="s">
        <v>169</v>
      </c>
      <c r="J31" s="2"/>
    </row>
    <row r="32">
      <c r="A32" s="3"/>
      <c r="B32" s="19" t="s">
        <v>83</v>
      </c>
      <c r="C32" s="6" t="s">
        <v>94</v>
      </c>
      <c r="D32" s="6" t="s">
        <v>94</v>
      </c>
      <c r="E32" s="6" t="s">
        <v>94</v>
      </c>
      <c r="F32" s="6" t="s">
        <v>94</v>
      </c>
      <c r="G32" s="6" t="s">
        <v>94</v>
      </c>
      <c r="H32" s="50" t="s">
        <v>94</v>
      </c>
      <c r="I32" s="2" t="s">
        <v>233</v>
      </c>
      <c r="J32" s="2"/>
    </row>
    <row r="33">
      <c r="A33" s="3"/>
      <c r="B33" s="19" t="s">
        <v>84</v>
      </c>
      <c r="C33" s="6" t="str">
        <f>IF(OR(ISTEXT(C28),ISTEXT(C31),ISTEXT(C32)),"n/d",(1+C28)/((1+C31)*(1+C32))-1)</f>
        <v>n/d</v>
      </c>
      <c r="D33" s="6" t="str">
        <f>IF(OR(ISTEXT(D28),ISTEXT(D31),ISTEXT(D32)),"n/d",(1+D28)/((1+D31)*(1+D32))-1)</f>
        <v>n/d</v>
      </c>
      <c r="E33" s="6" t="str">
        <f>IF(OR(ISTEXT(E28),ISTEXT(E31),ISTEXT(E32)),"n/d",(1+E28)/((1+E31)*(1+E32))-1)</f>
        <v>n/d</v>
      </c>
      <c r="F33" s="6" t="str">
        <f>IF(OR(ISTEXT(F28),ISTEXT(F31),ISTEXT(F32)),"n/d",(1+F28)/((1+F31)*(1+F32))-1)</f>
        <v>n/d</v>
      </c>
      <c r="G33" s="6" t="str">
        <f>IF(OR(ISTEXT(G28),ISTEXT(G31),ISTEXT(G32)),"n/d",(1+G28)/((1+G31)*(1+G32))-1)</f>
        <v>n/d</v>
      </c>
      <c r="H33" s="50" t="str">
        <f>IF(OR(ISTEXT(H28),ISTEXT(H31),ISTEXT(H32)),"n/d",(1+H28)/((1+H31)*(1+H32))-1)</f>
        <v>n/d</v>
      </c>
      <c r="I33" s="2" t="s">
        <v>102</v>
      </c>
      <c r="J33" s="2"/>
    </row>
    <row r="34">
      <c r="A34" s="3"/>
      <c r="B34" s="19" t="s">
        <v>85</v>
      </c>
      <c r="C34" s="6" t="str">
        <f>C28</f>
        <v>n/a</v>
      </c>
      <c r="D34" s="6" t="str">
        <f>D28</f>
        <v>n/a</v>
      </c>
      <c r="E34" s="6" t="str">
        <f>E28</f>
        <v>n/a</v>
      </c>
      <c r="F34" s="6">
        <f>F28</f>
        <v>0.022727272727272707</v>
      </c>
      <c r="G34" s="6">
        <f>G28</f>
        <v>0.022727272727272707</v>
      </c>
      <c r="H34" s="50" t="str">
        <f>H28</f>
        <v>n/a</v>
      </c>
      <c r="I34" s="2"/>
      <c r="J34" s="2"/>
    </row>
    <row r="35">
      <c r="A35" s="3"/>
      <c r="B35" s="25" t="s">
        <v>236</v>
      </c>
      <c r="C35" s="1" t="s">
        <v>94</v>
      </c>
      <c r="D35" s="1" t="s">
        <v>94</v>
      </c>
      <c r="E35" s="1" t="s">
        <v>94</v>
      </c>
      <c r="F35" s="31">
        <v>1620</v>
      </c>
      <c r="G35" s="31">
        <v>1517</v>
      </c>
      <c r="H35" s="20">
        <v>1600</v>
      </c>
      <c r="I35" s="2" t="s">
        <v>264</v>
      </c>
      <c r="J35" s="2"/>
    </row>
    <row r="36">
      <c r="A36" s="3"/>
      <c r="B36" s="75" t="s">
        <v>196</v>
      </c>
      <c r="C36" s="1" t="s">
        <v>94</v>
      </c>
      <c r="D36" s="1" t="s">
        <v>94</v>
      </c>
      <c r="E36" s="1" t="s">
        <v>94</v>
      </c>
      <c r="F36" s="31">
        <v>1659</v>
      </c>
      <c r="G36" s="31">
        <v>1673</v>
      </c>
      <c r="H36" s="27" t="str">
        <f>C35</f>
        <v>n/d</v>
      </c>
      <c r="I36" s="2"/>
      <c r="J36" s="2"/>
    </row>
    <row r="37">
      <c r="A37" s="3"/>
      <c r="B37" s="19" t="s">
        <v>79</v>
      </c>
      <c r="C37" s="6" t="str">
        <f>IFERROR(C35/C36-1,"n/a")</f>
        <v>n/a</v>
      </c>
      <c r="D37" s="6" t="str">
        <f>IFERROR(D35/D36-1,"n/a")</f>
        <v>n/a</v>
      </c>
      <c r="E37" s="6" t="str">
        <f>IFERROR(E35/E36-1,"n/a")</f>
        <v>n/a</v>
      </c>
      <c r="F37" s="6">
        <f>IFERROR(F35/F36-1,"n/a")</f>
        <v>-0.023508137432188048</v>
      </c>
      <c r="G37" s="6">
        <f>IFERROR(G35/G36-1,"n/a")</f>
        <v>-0.09324566646742383</v>
      </c>
      <c r="H37" s="50" t="str">
        <f>IFERROR(H35/C35-1,"n/a")</f>
        <v>n/a</v>
      </c>
      <c r="I37" s="2"/>
      <c r="J37" s="2"/>
    </row>
    <row r="38">
      <c r="A38" s="3"/>
      <c r="B38" s="19" t="s">
        <v>80</v>
      </c>
      <c r="C38" s="6" t="s">
        <v>53</v>
      </c>
      <c r="D38" s="6" t="str">
        <f>IFERROR(D35/C35-1,"n/a")</f>
        <v>n/a</v>
      </c>
      <c r="E38" s="6" t="s">
        <v>53</v>
      </c>
      <c r="F38" s="6" t="str">
        <f>IFERROR(F35/D35-1,"n/a")</f>
        <v>n/a</v>
      </c>
      <c r="G38" s="6">
        <f>IFERROR(G35/F35-1,"n/a")</f>
        <v>-0.06358024691358022</v>
      </c>
      <c r="H38" s="50">
        <f>IFERROR(H35/G35-1,"n/a")</f>
        <v>0.05471324983520098</v>
      </c>
      <c r="I38" s="2"/>
      <c r="J38" s="2"/>
    </row>
    <row r="39">
      <c r="A39" s="3"/>
      <c r="B39" s="19" t="s">
        <v>197</v>
      </c>
      <c r="C39" s="6" t="str">
        <f>IFERROR(C35/C15,"n/d")</f>
        <v>n/d</v>
      </c>
      <c r="D39" s="6" t="str">
        <f>IFERROR(D35/D15,"n/d")</f>
        <v>n/d</v>
      </c>
      <c r="E39" s="6" t="str">
        <f>IFERROR(E35/E15,"n/d")</f>
        <v>n/d</v>
      </c>
      <c r="F39" s="6">
        <f>IFERROR(F35/F15,"n/d")</f>
        <v>0.31609756097560976</v>
      </c>
      <c r="G39" s="6">
        <f>IFERROR(G35/G15,"n/d")</f>
        <v>0.2808219178082192</v>
      </c>
      <c r="H39" s="50">
        <f>IFERROR(H35/H15,"n/d")</f>
        <v>0.2934164679992665</v>
      </c>
      <c r="I39" s="2"/>
      <c r="J39" s="2"/>
    </row>
    <row r="40">
      <c r="A40" s="3"/>
      <c r="B40" s="19" t="s">
        <v>82</v>
      </c>
      <c r="C40" s="6" t="s">
        <v>94</v>
      </c>
      <c r="D40" s="6" t="s">
        <v>94</v>
      </c>
      <c r="E40" s="6" t="s">
        <v>94</v>
      </c>
      <c r="F40" s="6" t="s">
        <v>94</v>
      </c>
      <c r="G40" s="6" t="s">
        <v>94</v>
      </c>
      <c r="H40" s="50" t="s">
        <v>94</v>
      </c>
      <c r="I40" s="2" t="s">
        <v>169</v>
      </c>
      <c r="J40" s="2"/>
    </row>
    <row r="41">
      <c r="A41" s="3"/>
      <c r="B41" s="19" t="s">
        <v>83</v>
      </c>
      <c r="C41" s="6" t="s">
        <v>94</v>
      </c>
      <c r="D41" s="6" t="s">
        <v>94</v>
      </c>
      <c r="E41" s="6" t="s">
        <v>94</v>
      </c>
      <c r="F41" s="6" t="s">
        <v>94</v>
      </c>
      <c r="G41" s="6" t="s">
        <v>94</v>
      </c>
      <c r="H41" s="50" t="s">
        <v>94</v>
      </c>
      <c r="I41" s="2" t="s">
        <v>233</v>
      </c>
      <c r="J41" s="2"/>
    </row>
    <row r="42">
      <c r="A42" s="3"/>
      <c r="B42" s="19" t="s">
        <v>84</v>
      </c>
      <c r="C42" s="6" t="str">
        <f>IF(OR(ISTEXT(C37),ISTEXT(C40),ISTEXT(C41)),"n/d",(1+C37)/((1+C40)*(1+C41))-1)</f>
        <v>n/d</v>
      </c>
      <c r="D42" s="6" t="str">
        <f>IF(OR(ISTEXT(D37),ISTEXT(D40),ISTEXT(D41)),"n/d",(1+D37)/((1+D40)*(1+D41))-1)</f>
        <v>n/d</v>
      </c>
      <c r="E42" s="6" t="str">
        <f>IF(OR(ISTEXT(E37),ISTEXT(E40),ISTEXT(E41)),"n/d",(1+E37)/((1+E40)*(1+E41))-1)</f>
        <v>n/d</v>
      </c>
      <c r="F42" s="6" t="str">
        <f>IF(OR(ISTEXT(F37),ISTEXT(F40),ISTEXT(F41)),"n/d",(1+F37)/((1+F40)*(1+F41))-1)</f>
        <v>n/d</v>
      </c>
      <c r="G42" s="6" t="str">
        <f>IF(OR(ISTEXT(G37),ISTEXT(G40),ISTEXT(G41)),"n/d",(1+G37)/((1+G40)*(1+G41))-1)</f>
        <v>n/d</v>
      </c>
      <c r="H42" s="50" t="str">
        <f>IF(OR(ISTEXT(H37),ISTEXT(H40),ISTEXT(H41)),"n/d",(1+H37)/((1+H40)*(1+H41))-1)</f>
        <v>n/d</v>
      </c>
      <c r="I42" s="2" t="s">
        <v>102</v>
      </c>
      <c r="J42" s="2"/>
    </row>
    <row r="43">
      <c r="A43" s="3"/>
      <c r="B43" s="19" t="s">
        <v>85</v>
      </c>
      <c r="C43" s="6" t="str">
        <f>C37</f>
        <v>n/a</v>
      </c>
      <c r="D43" s="6" t="str">
        <f>D37</f>
        <v>n/a</v>
      </c>
      <c r="E43" s="6" t="str">
        <f>E37</f>
        <v>n/a</v>
      </c>
      <c r="F43" s="6">
        <f>F37</f>
        <v>-0.023508137432188048</v>
      </c>
      <c r="G43" s="6">
        <f>G37</f>
        <v>-0.09324566646742383</v>
      </c>
      <c r="H43" s="50" t="str">
        <f>H37</f>
        <v>n/a</v>
      </c>
      <c r="I43" s="2"/>
      <c r="J43" s="2"/>
    </row>
    <row r="44">
      <c r="A44" s="3"/>
      <c r="B44" s="25" t="s">
        <v>238</v>
      </c>
      <c r="C44" s="1" t="s">
        <v>94</v>
      </c>
      <c r="D44" s="1" t="s">
        <v>94</v>
      </c>
      <c r="E44" s="1" t="s">
        <v>94</v>
      </c>
      <c r="F44" s="31">
        <v>3118</v>
      </c>
      <c r="G44" s="31">
        <v>3556</v>
      </c>
      <c r="H44" s="27">
        <f>H15-H26-H35-H53</f>
        <v>3537.999999999999</v>
      </c>
      <c r="I44" s="2" t="s">
        <v>239</v>
      </c>
      <c r="J44" s="2"/>
    </row>
    <row r="45">
      <c r="A45" s="3"/>
      <c r="B45" s="75" t="s">
        <v>196</v>
      </c>
      <c r="C45" s="1" t="s">
        <v>94</v>
      </c>
      <c r="D45" s="1" t="s">
        <v>94</v>
      </c>
      <c r="E45" s="1" t="s">
        <v>94</v>
      </c>
      <c r="F45" s="31">
        <v>3091</v>
      </c>
      <c r="G45" s="31">
        <v>3268</v>
      </c>
      <c r="H45" s="27" t="str">
        <f>C44</f>
        <v>n/d</v>
      </c>
      <c r="I45" s="2"/>
      <c r="J45" s="2"/>
    </row>
    <row r="46">
      <c r="A46" s="3"/>
      <c r="B46" s="19" t="s">
        <v>79</v>
      </c>
      <c r="C46" s="6" t="str">
        <f>IFERROR(C44/C45-1,"n/a")</f>
        <v>n/a</v>
      </c>
      <c r="D46" s="6" t="str">
        <f>IFERROR(D44/D45-1,"n/a")</f>
        <v>n/a</v>
      </c>
      <c r="E46" s="6" t="str">
        <f>IFERROR(E44/E45-1,"n/a")</f>
        <v>n/a</v>
      </c>
      <c r="F46" s="6">
        <f>IFERROR(F44/F45-1,"n/a")</f>
        <v>0.008735037204788076</v>
      </c>
      <c r="G46" s="6">
        <f>IFERROR(G44/G45-1,"n/a")</f>
        <v>0.08812729498164007</v>
      </c>
      <c r="H46" s="50" t="str">
        <f>IFERROR(H44/C44-1,"n/a")</f>
        <v>n/a</v>
      </c>
      <c r="I46" s="2"/>
      <c r="J46" s="2"/>
    </row>
    <row r="47">
      <c r="A47" s="3"/>
      <c r="B47" s="19" t="s">
        <v>80</v>
      </c>
      <c r="C47" s="6" t="s">
        <v>53</v>
      </c>
      <c r="D47" s="6" t="str">
        <f>IFERROR(D44/C44-1,"n/a")</f>
        <v>n/a</v>
      </c>
      <c r="E47" s="6" t="s">
        <v>53</v>
      </c>
      <c r="F47" s="6" t="str">
        <f>IFERROR(F44/D44-1,"n/a")</f>
        <v>n/a</v>
      </c>
      <c r="G47" s="6">
        <f>IFERROR(G44/F44-1,"n/a")</f>
        <v>0.14047466324567037</v>
      </c>
      <c r="H47" s="50">
        <f>IFERROR(H44/G44-1,"n/a")</f>
        <v>-0.005061867266591968</v>
      </c>
      <c r="I47" s="2"/>
      <c r="J47" s="2"/>
    </row>
    <row r="48">
      <c r="A48" s="3"/>
      <c r="B48" s="19" t="s">
        <v>197</v>
      </c>
      <c r="C48" s="6" t="str">
        <f>IFERROR(C44/C15,"n/d")</f>
        <v>n/d</v>
      </c>
      <c r="D48" s="6" t="str">
        <f>IFERROR(D44/D15,"n/d")</f>
        <v>n/d</v>
      </c>
      <c r="E48" s="6" t="str">
        <f>IFERROR(E44/E15,"n/d")</f>
        <v>n/d</v>
      </c>
      <c r="F48" s="6">
        <f>IFERROR(F44/F15,"n/d")</f>
        <v>0.608390243902439</v>
      </c>
      <c r="G48" s="6">
        <f>IFERROR(G44/G15,"n/d")</f>
        <v>0.6582747130692336</v>
      </c>
      <c r="H48" s="50">
        <f>IFERROR(H44/H15,"n/d")</f>
        <v>0.6488171648633779</v>
      </c>
      <c r="I48" s="2"/>
      <c r="J48" s="2"/>
    </row>
    <row r="49">
      <c r="A49" s="3"/>
      <c r="B49" s="19" t="s">
        <v>82</v>
      </c>
      <c r="C49" s="6" t="s">
        <v>94</v>
      </c>
      <c r="D49" s="6" t="s">
        <v>94</v>
      </c>
      <c r="E49" s="6" t="s">
        <v>94</v>
      </c>
      <c r="F49" s="6" t="s">
        <v>94</v>
      </c>
      <c r="G49" s="6" t="s">
        <v>94</v>
      </c>
      <c r="H49" s="50" t="s">
        <v>94</v>
      </c>
      <c r="I49" s="2" t="s">
        <v>169</v>
      </c>
      <c r="J49" s="2"/>
    </row>
    <row r="50">
      <c r="A50" s="3"/>
      <c r="B50" s="19" t="s">
        <v>83</v>
      </c>
      <c r="C50" s="6" t="s">
        <v>94</v>
      </c>
      <c r="D50" s="6" t="s">
        <v>94</v>
      </c>
      <c r="E50" s="6" t="s">
        <v>94</v>
      </c>
      <c r="F50" s="6" t="s">
        <v>94</v>
      </c>
      <c r="G50" s="6" t="s">
        <v>94</v>
      </c>
      <c r="H50" s="50" t="s">
        <v>94</v>
      </c>
      <c r="I50" s="2" t="s">
        <v>233</v>
      </c>
      <c r="J50" s="2"/>
    </row>
    <row r="51">
      <c r="A51" s="3"/>
      <c r="B51" s="19" t="s">
        <v>84</v>
      </c>
      <c r="C51" s="6" t="str">
        <f>IF(OR(ISTEXT(C46),ISTEXT(C49),ISTEXT(C50)),"n/d",(1+C46)/((1+C49)*(1+C50))-1)</f>
        <v>n/d</v>
      </c>
      <c r="D51" s="6" t="str">
        <f>IF(OR(ISTEXT(D46),ISTEXT(D49),ISTEXT(D50)),"n/d",(1+D46)/((1+D49)*(1+D50))-1)</f>
        <v>n/d</v>
      </c>
      <c r="E51" s="6" t="str">
        <f>IF(OR(ISTEXT(E46),ISTEXT(E49),ISTEXT(E50)),"n/d",(1+E46)/((1+E49)*(1+E50))-1)</f>
        <v>n/d</v>
      </c>
      <c r="F51" s="6" t="str">
        <f>IF(OR(ISTEXT(F46),ISTEXT(F49),ISTEXT(F50)),"n/d",(1+F46)/((1+F49)*(1+F50))-1)</f>
        <v>n/d</v>
      </c>
      <c r="G51" s="6" t="str">
        <f>IF(OR(ISTEXT(G46),ISTEXT(G49),ISTEXT(G50)),"n/d",(1+G46)/((1+G49)*(1+G50))-1)</f>
        <v>n/d</v>
      </c>
      <c r="H51" s="50" t="str">
        <f>IF(OR(ISTEXT(H46),ISTEXT(H49),ISTEXT(H50)),"n/d",(1+H46)/((1+H49)*(1+H50))-1)</f>
        <v>n/d</v>
      </c>
      <c r="I51" s="2" t="s">
        <v>102</v>
      </c>
      <c r="J51" s="2"/>
    </row>
    <row r="52">
      <c r="A52" s="3"/>
      <c r="B52" s="19" t="s">
        <v>85</v>
      </c>
      <c r="C52" s="6" t="str">
        <f>C46</f>
        <v>n/a</v>
      </c>
      <c r="D52" s="6" t="str">
        <f>D46</f>
        <v>n/a</v>
      </c>
      <c r="E52" s="6" t="str">
        <f>E46</f>
        <v>n/a</v>
      </c>
      <c r="F52" s="6">
        <f>F46</f>
        <v>0.008735037204788076</v>
      </c>
      <c r="G52" s="6">
        <f>G46</f>
        <v>0.08812729498164007</v>
      </c>
      <c r="H52" s="50" t="str">
        <f>H46</f>
        <v>n/a</v>
      </c>
      <c r="I52" s="2"/>
      <c r="J52" s="2"/>
    </row>
    <row r="53">
      <c r="A53" s="3"/>
      <c r="B53" s="25" t="s">
        <v>200</v>
      </c>
      <c r="C53" s="1" t="s">
        <v>94</v>
      </c>
      <c r="D53" s="1" t="s">
        <v>94</v>
      </c>
      <c r="E53" s="1" t="s">
        <v>94</v>
      </c>
      <c r="F53" s="31">
        <v>342</v>
      </c>
      <c r="G53" s="31">
        <v>284</v>
      </c>
      <c r="H53" s="20">
        <v>270</v>
      </c>
      <c r="I53" s="2" t="s">
        <v>265</v>
      </c>
      <c r="J53" s="2"/>
    </row>
    <row r="54">
      <c r="A54" s="3"/>
      <c r="B54" s="75" t="s">
        <v>196</v>
      </c>
      <c r="C54" s="1" t="s">
        <v>94</v>
      </c>
      <c r="D54" s="1" t="s">
        <v>94</v>
      </c>
      <c r="E54" s="1" t="s">
        <v>94</v>
      </c>
      <c r="F54" s="31">
        <v>233</v>
      </c>
      <c r="G54" s="31">
        <v>247</v>
      </c>
      <c r="H54" s="27" t="str">
        <f>C53</f>
        <v>n/d</v>
      </c>
      <c r="I54" s="2"/>
      <c r="J54" s="2"/>
    </row>
    <row r="55">
      <c r="A55" s="3"/>
      <c r="B55" s="19" t="s">
        <v>79</v>
      </c>
      <c r="C55" s="6" t="str">
        <f>IFERROR(C53/C54-1,"n/a")</f>
        <v>n/a</v>
      </c>
      <c r="D55" s="6" t="str">
        <f>IFERROR(D53/D54-1,"n/a")</f>
        <v>n/a</v>
      </c>
      <c r="E55" s="6" t="str">
        <f>IFERROR(E53/E54-1,"n/a")</f>
        <v>n/a</v>
      </c>
      <c r="F55" s="6">
        <f>IFERROR(F53/F54-1,"n/a")</f>
        <v>0.46781115879828317</v>
      </c>
      <c r="G55" s="6">
        <f>IFERROR(G53/G54-1,"n/a")</f>
        <v>0.1497975708502024</v>
      </c>
      <c r="H55" s="50" t="str">
        <f>IFERROR(H53/C53-1,"n/a")</f>
        <v>n/a</v>
      </c>
      <c r="I55" s="2"/>
      <c r="J55" s="2"/>
    </row>
    <row r="56">
      <c r="A56" s="3"/>
      <c r="B56" s="19" t="s">
        <v>80</v>
      </c>
      <c r="C56" s="6" t="s">
        <v>53</v>
      </c>
      <c r="D56" s="6" t="str">
        <f>IFERROR(D53/C53-1,"n/a")</f>
        <v>n/a</v>
      </c>
      <c r="E56" s="6" t="s">
        <v>53</v>
      </c>
      <c r="F56" s="6" t="str">
        <f>IFERROR(F53/D53-1,"n/a")</f>
        <v>n/a</v>
      </c>
      <c r="G56" s="6">
        <f>IFERROR(G53/F53-1,"n/a")</f>
        <v>-0.16959064327485385</v>
      </c>
      <c r="H56" s="50">
        <f>IFERROR(H53/G53-1,"n/a")</f>
        <v>-0.04929577464788737</v>
      </c>
      <c r="I56" s="2"/>
      <c r="J56" s="2"/>
    </row>
    <row r="57">
      <c r="A57" s="3"/>
      <c r="B57" s="19" t="s">
        <v>197</v>
      </c>
      <c r="C57" s="6" t="str">
        <f>IFERROR(C53/C15,"n/d")</f>
        <v>n/d</v>
      </c>
      <c r="D57" s="6" t="str">
        <f>IFERROR(D53/D15,"n/d")</f>
        <v>n/d</v>
      </c>
      <c r="E57" s="6" t="str">
        <f>IFERROR(E53/E15,"n/d")</f>
        <v>n/d</v>
      </c>
      <c r="F57" s="6">
        <f>IFERROR(F53/F15,"n/d")</f>
        <v>0.06673170731707317</v>
      </c>
      <c r="G57" s="6">
        <f>IFERROR(G53/G15,"n/d")</f>
        <v>0.05257312106627175</v>
      </c>
      <c r="H57" s="50">
        <f>IFERROR(H53/H15,"n/d")</f>
        <v>0.04951402897487622</v>
      </c>
      <c r="I57" s="2"/>
      <c r="J57" s="2"/>
    </row>
    <row r="58">
      <c r="A58" s="3"/>
      <c r="B58" s="19" t="s">
        <v>82</v>
      </c>
      <c r="C58" s="6" t="s">
        <v>94</v>
      </c>
      <c r="D58" s="6" t="s">
        <v>94</v>
      </c>
      <c r="E58" s="6" t="s">
        <v>94</v>
      </c>
      <c r="F58" s="6" t="s">
        <v>94</v>
      </c>
      <c r="G58" s="6" t="s">
        <v>94</v>
      </c>
      <c r="H58" s="50" t="s">
        <v>94</v>
      </c>
      <c r="I58" s="2" t="s">
        <v>169</v>
      </c>
      <c r="J58" s="2"/>
    </row>
    <row r="59">
      <c r="A59" s="3"/>
      <c r="B59" s="19" t="s">
        <v>83</v>
      </c>
      <c r="C59" s="6" t="s">
        <v>94</v>
      </c>
      <c r="D59" s="6" t="s">
        <v>94</v>
      </c>
      <c r="E59" s="6" t="s">
        <v>94</v>
      </c>
      <c r="F59" s="6" t="s">
        <v>94</v>
      </c>
      <c r="G59" s="6" t="s">
        <v>94</v>
      </c>
      <c r="H59" s="50" t="s">
        <v>94</v>
      </c>
      <c r="I59" s="2" t="s">
        <v>233</v>
      </c>
      <c r="J59" s="2"/>
    </row>
    <row r="60">
      <c r="A60" s="3"/>
      <c r="B60" s="19" t="s">
        <v>84</v>
      </c>
      <c r="C60" s="6" t="str">
        <f>IF(OR(ISTEXT(C55),ISTEXT(C58),ISTEXT(C59)),"n/d",(1+C55)/((1+C58)*(1+C59))-1)</f>
        <v>n/d</v>
      </c>
      <c r="D60" s="6" t="str">
        <f>IF(OR(ISTEXT(D55),ISTEXT(D58),ISTEXT(D59)),"n/d",(1+D55)/((1+D58)*(1+D59))-1)</f>
        <v>n/d</v>
      </c>
      <c r="E60" s="6" t="str">
        <f>IF(OR(ISTEXT(E55),ISTEXT(E58),ISTEXT(E59)),"n/d",(1+E55)/((1+E58)*(1+E59))-1)</f>
        <v>n/d</v>
      </c>
      <c r="F60" s="6" t="str">
        <f>IF(OR(ISTEXT(F55),ISTEXT(F58),ISTEXT(F59)),"n/d",(1+F55)/((1+F58)*(1+F59))-1)</f>
        <v>n/d</v>
      </c>
      <c r="G60" s="6" t="str">
        <f>IF(OR(ISTEXT(G55),ISTEXT(G58),ISTEXT(G59)),"n/d",(1+G55)/((1+G58)*(1+G59))-1)</f>
        <v>n/d</v>
      </c>
      <c r="H60" s="50" t="str">
        <f>IF(OR(ISTEXT(H55),ISTEXT(H58),ISTEXT(H59)),"n/d",(1+H55)/((1+H58)*(1+H59))-1)</f>
        <v>n/d</v>
      </c>
      <c r="I60" s="2" t="s">
        <v>102</v>
      </c>
      <c r="J60" s="2"/>
    </row>
    <row r="61">
      <c r="A61" s="3"/>
      <c r="B61" s="19" t="s">
        <v>85</v>
      </c>
      <c r="C61" s="6" t="str">
        <f>C55</f>
        <v>n/a</v>
      </c>
      <c r="D61" s="6" t="str">
        <f>D55</f>
        <v>n/a</v>
      </c>
      <c r="E61" s="6" t="str">
        <f>E55</f>
        <v>n/a</v>
      </c>
      <c r="F61" s="6">
        <f>F55</f>
        <v>0.46781115879828317</v>
      </c>
      <c r="G61" s="6">
        <f>G55</f>
        <v>0.1497975708502024</v>
      </c>
      <c r="H61" s="50" t="str">
        <f>H55</f>
        <v>n/a</v>
      </c>
      <c r="I61" s="2"/>
      <c r="J61" s="2"/>
    </row>
    <row r="62">
      <c r="A62" s="3"/>
      <c r="B62" s="69" t="s">
        <v>202</v>
      </c>
      <c r="C62" s="8" t="str">
        <f>IFERROR(C26+C35,"n/d")</f>
        <v>n/d</v>
      </c>
      <c r="D62" s="8" t="str">
        <f>IFERROR(D26+D35,"n/d")</f>
        <v>n/d</v>
      </c>
      <c r="E62" s="8" t="str">
        <f>IFERROR(E26+E35,"n/d")</f>
        <v>n/d</v>
      </c>
      <c r="F62" s="8">
        <f>IFERROR(F26+F35,"n/d")</f>
        <v>1665</v>
      </c>
      <c r="G62" s="8">
        <f>IFERROR(G26+G35,"n/d")</f>
        <v>1562</v>
      </c>
      <c r="H62" s="29">
        <f>IFERROR(H26+H35,"n/d")</f>
        <v>1645</v>
      </c>
      <c r="I62" s="2"/>
      <c r="J62" s="2"/>
    </row>
    <row r="63">
      <c r="A63" s="3"/>
      <c r="B63" s="69" t="s">
        <v>203</v>
      </c>
      <c r="C63" s="8" t="str">
        <f>IFERROR(C26+C35+C44+C53,"n/d")</f>
        <v>n/d</v>
      </c>
      <c r="D63" s="8" t="str">
        <f>IFERROR(D26+D35+D44+D53,"n/d")</f>
        <v>n/d</v>
      </c>
      <c r="E63" s="8" t="str">
        <f>IFERROR(E26+E35+E44+E53,"n/d")</f>
        <v>n/d</v>
      </c>
      <c r="F63" s="8">
        <f>IFERROR(F26+F35+F44+F53,"n/d")</f>
        <v>5125</v>
      </c>
      <c r="G63" s="8">
        <f>IFERROR(G26+G35+G44+G53,"n/d")</f>
        <v>5402</v>
      </c>
      <c r="H63" s="29">
        <f>IFERROR(H26+H35+H44+H53,"n/d")</f>
        <v>5452.999999999999</v>
      </c>
      <c r="I63" s="2"/>
      <c r="J63" s="2"/>
    </row>
    <row r="64">
      <c r="A64" s="3"/>
      <c r="B64" s="28" t="s">
        <v>204</v>
      </c>
      <c r="C64" s="1" t="str">
        <f>IFERROR(C63-C15,"n/a")</f>
        <v>n/a</v>
      </c>
      <c r="D64" s="1" t="str">
        <f>IFERROR(D63-D15,"n/a")</f>
        <v>n/a</v>
      </c>
      <c r="E64" s="1" t="str">
        <f>IFERROR(E63-E15,"n/a")</f>
        <v>n/a</v>
      </c>
      <c r="F64" s="1">
        <f>IFERROR(F63-F15,"n/a")</f>
        <v>0</v>
      </c>
      <c r="G64" s="1">
        <f>IFERROR(G63-G15,"n/a")</f>
        <v>0</v>
      </c>
      <c r="H64" s="27">
        <f>IFERROR(H63-H15,"n/a")</f>
        <v>0</v>
      </c>
      <c r="I64" s="2" t="s">
        <v>205</v>
      </c>
      <c r="J64" s="2"/>
    </row>
    <row r="65">
      <c r="A65" s="3"/>
      <c r="B65" s="3"/>
      <c r="C65" s="3"/>
      <c r="D65" s="3"/>
      <c r="E65" s="3"/>
      <c r="F65" s="3"/>
      <c r="G65" s="3"/>
      <c r="H65" s="13"/>
      <c r="I65" s="2"/>
      <c r="J65" s="2"/>
    </row>
    <row r="66">
      <c r="A66" s="3"/>
      <c r="B66" s="23" t="s">
        <v>206</v>
      </c>
      <c r="C66" s="3"/>
      <c r="D66" s="3"/>
      <c r="E66" s="3"/>
      <c r="F66" s="3"/>
      <c r="G66" s="3"/>
      <c r="H66" s="13"/>
      <c r="I66" s="2"/>
      <c r="J66" s="2"/>
    </row>
    <row r="67">
      <c r="A67" s="3"/>
      <c r="B67" s="58" t="s">
        <v>241</v>
      </c>
      <c r="C67" s="6">
        <f>C70/C15</f>
        <v>0.17293233082706766</v>
      </c>
      <c r="D67" s="6">
        <f>D70/D15</f>
        <v>0.03153070577451879</v>
      </c>
      <c r="E67" s="6">
        <f>E70/E15</f>
        <v>0.16454312066178567</v>
      </c>
      <c r="F67" s="6">
        <f>F70/F15</f>
        <v>0.18790243902439024</v>
      </c>
      <c r="G67" s="6">
        <f>G70/G15</f>
        <v>0.2534246575342466</v>
      </c>
      <c r="H67" s="67">
        <v>0.22</v>
      </c>
      <c r="I67" s="2" t="s">
        <v>266</v>
      </c>
      <c r="J67" s="2"/>
    </row>
    <row r="68">
      <c r="A68" s="3"/>
      <c r="B68" s="45" t="s">
        <v>91</v>
      </c>
      <c r="C68" s="24" t="s">
        <v>53</v>
      </c>
      <c r="D68" s="24">
        <f>IFERROR((D67-C67)*10000,"n/a")</f>
        <v>-1414.0162505254889</v>
      </c>
      <c r="E68" s="24" t="s">
        <v>53</v>
      </c>
      <c r="F68" s="24">
        <f>IFERROR((F67-D67)*10000,"n/a")</f>
        <v>1563.7173324987148</v>
      </c>
      <c r="G68" s="24">
        <f>IFERROR((G67-F67)*10000,"n/a")</f>
        <v>655.2221850985635</v>
      </c>
      <c r="H68" s="66">
        <f>IFERROR((H67-G67)*10000,"n/a")</f>
        <v>-334.24657534246586</v>
      </c>
      <c r="I68" s="2"/>
      <c r="J68" s="2"/>
    </row>
    <row r="69">
      <c r="A69" s="3"/>
      <c r="B69" s="45" t="s">
        <v>92</v>
      </c>
      <c r="C69" s="24" t="s">
        <v>53</v>
      </c>
      <c r="D69" s="24" t="s">
        <v>53</v>
      </c>
      <c r="E69" s="24">
        <f>IFERROR((E67-E71/E16)*10000,"n/a")</f>
        <v>-302.3974434116186</v>
      </c>
      <c r="F69" s="24">
        <f>IFERROR((F67-F71/F16)*10000,"n/a")</f>
        <v>-436.471929628785</v>
      </c>
      <c r="G69" s="24">
        <f>IFERROR((G67-G71/G16)*10000,"n/a")</f>
        <v>231.11201876754222</v>
      </c>
      <c r="H69" s="66">
        <f>(H67-C67)*10000</f>
        <v>470.6766917293234</v>
      </c>
      <c r="I69" s="2"/>
      <c r="J69" s="2"/>
    </row>
    <row r="70">
      <c r="A70" s="3"/>
      <c r="B70" s="23" t="s">
        <v>267</v>
      </c>
      <c r="C70" s="57">
        <v>920</v>
      </c>
      <c r="D70" s="57">
        <v>172</v>
      </c>
      <c r="E70" s="57">
        <v>3461</v>
      </c>
      <c r="F70" s="57">
        <v>963</v>
      </c>
      <c r="G70" s="57">
        <v>1369</v>
      </c>
      <c r="H70" s="29">
        <f>H15*H67</f>
        <v>1199.6599999999999</v>
      </c>
      <c r="I70" s="2" t="s">
        <v>244</v>
      </c>
      <c r="J70" s="2"/>
    </row>
    <row r="71">
      <c r="A71" s="3"/>
      <c r="B71" s="28" t="s">
        <v>209</v>
      </c>
      <c r="C71" s="1" t="s">
        <v>94</v>
      </c>
      <c r="D71" s="1" t="s">
        <v>94</v>
      </c>
      <c r="E71" s="31">
        <v>3965</v>
      </c>
      <c r="F71" s="31">
        <v>1164</v>
      </c>
      <c r="G71" s="31">
        <v>1205</v>
      </c>
      <c r="H71" s="27">
        <f>C70</f>
        <v>920</v>
      </c>
      <c r="I71" s="2" t="s">
        <v>245</v>
      </c>
      <c r="J71" s="2"/>
    </row>
    <row r="72">
      <c r="A72" s="3"/>
      <c r="B72" s="45" t="s">
        <v>79</v>
      </c>
      <c r="C72" s="6" t="str">
        <f>IFERROR(C70/C71-1,"n/a")</f>
        <v>n/a</v>
      </c>
      <c r="D72" s="6" t="str">
        <f>IFERROR(D70/D71-1,"n/a")</f>
        <v>n/a</v>
      </c>
      <c r="E72" s="6">
        <f>IFERROR(E70/E71-1,"n/a")</f>
        <v>-0.12711223203026478</v>
      </c>
      <c r="F72" s="6">
        <f>IFERROR(F70/F71-1,"n/a")</f>
        <v>-0.17268041237113407</v>
      </c>
      <c r="G72" s="6">
        <f>IFERROR(G70/G71-1,"n/a")</f>
        <v>0.13609958506224062</v>
      </c>
      <c r="H72" s="50">
        <f>IFERROR(H70/C70-1,"n/a")</f>
        <v>0.30397826086956514</v>
      </c>
      <c r="I72" s="2"/>
      <c r="J72" s="2"/>
    </row>
    <row r="73">
      <c r="A73" s="3"/>
      <c r="B73" s="45" t="s">
        <v>80</v>
      </c>
      <c r="C73" s="6" t="s">
        <v>53</v>
      </c>
      <c r="D73" s="6">
        <f>IFERROR(D70/C70-1,"n/a")</f>
        <v>-0.8130434782608695</v>
      </c>
      <c r="E73" s="6" t="s">
        <v>53</v>
      </c>
      <c r="F73" s="6">
        <f>IFERROR(F70/D70-1,"n/a")</f>
        <v>4.598837209302325</v>
      </c>
      <c r="G73" s="6">
        <f>IFERROR(G70/F70-1,"n/a")</f>
        <v>0.42159916926272056</v>
      </c>
      <c r="H73" s="50">
        <f>IFERROR(H70/G70-1,"n/a")</f>
        <v>-0.12369612856099355</v>
      </c>
      <c r="I73" s="2"/>
      <c r="J73" s="2"/>
    </row>
    <row r="74">
      <c r="A74" s="3"/>
      <c r="B74" s="25" t="s">
        <v>248</v>
      </c>
      <c r="C74" s="31">
        <v>0</v>
      </c>
      <c r="D74" s="31">
        <v>799</v>
      </c>
      <c r="E74" s="31">
        <v>799</v>
      </c>
      <c r="F74" s="31">
        <v>0</v>
      </c>
      <c r="G74" s="31">
        <v>0</v>
      </c>
      <c r="H74" s="20">
        <v>0</v>
      </c>
      <c r="I74" s="2"/>
      <c r="J74" s="2"/>
    </row>
    <row r="75">
      <c r="A75" s="3"/>
      <c r="B75" s="25" t="s">
        <v>249</v>
      </c>
      <c r="C75" s="31">
        <v>0</v>
      </c>
      <c r="D75" s="31">
        <v>68</v>
      </c>
      <c r="E75" s="31">
        <v>68</v>
      </c>
      <c r="F75" s="31">
        <v>-528</v>
      </c>
      <c r="G75" s="31">
        <v>4</v>
      </c>
      <c r="H75" s="20">
        <v>0</v>
      </c>
      <c r="I75" s="2"/>
      <c r="J75" s="2"/>
    </row>
    <row r="76">
      <c r="A76" s="3"/>
      <c r="B76" s="25" t="s">
        <v>268</v>
      </c>
      <c r="C76" s="31">
        <v>0</v>
      </c>
      <c r="D76" s="31">
        <v>236</v>
      </c>
      <c r="E76" s="31">
        <v>236</v>
      </c>
      <c r="F76" s="31">
        <v>339</v>
      </c>
      <c r="G76" s="31">
        <v>0</v>
      </c>
      <c r="H76" s="20">
        <v>0</v>
      </c>
      <c r="I76" s="2"/>
      <c r="J76" s="2"/>
    </row>
    <row r="77">
      <c r="A77" s="3"/>
      <c r="B77" s="23" t="s">
        <v>269</v>
      </c>
      <c r="C77" s="8">
        <f>C70+C74+C75+C76</f>
        <v>920</v>
      </c>
      <c r="D77" s="8">
        <f>D70+D74+D75+D76</f>
        <v>1275</v>
      </c>
      <c r="E77" s="8">
        <f>E70+E74+E75+E76</f>
        <v>4564</v>
      </c>
      <c r="F77" s="8">
        <f>F70+F74+F75+F76</f>
        <v>774</v>
      </c>
      <c r="G77" s="8">
        <f>G70+G74+G75+G76</f>
        <v>1373</v>
      </c>
      <c r="H77" s="29">
        <f>H70+H74+H75+H76</f>
        <v>1199.6599999999999</v>
      </c>
      <c r="I77" s="2"/>
      <c r="J77" s="2"/>
    </row>
    <row r="78">
      <c r="A78" s="3"/>
      <c r="B78" s="58" t="s">
        <v>253</v>
      </c>
      <c r="C78" s="6">
        <f>C77/C15</f>
        <v>0.17293233082706766</v>
      </c>
      <c r="D78" s="6">
        <f>D77/D15</f>
        <v>0.23373052245646195</v>
      </c>
      <c r="E78" s="6">
        <f>E77/E15</f>
        <v>0.21698202909574973</v>
      </c>
      <c r="F78" s="6">
        <f>F77/F15</f>
        <v>0.15102439024390243</v>
      </c>
      <c r="G78" s="6">
        <f>G77/G15</f>
        <v>0.25416512402813773</v>
      </c>
      <c r="H78" s="50">
        <f>H77/H15</f>
        <v>0.22</v>
      </c>
      <c r="I78" s="2"/>
      <c r="J78" s="2"/>
    </row>
    <row r="79">
      <c r="A79" s="3"/>
      <c r="B79" s="45" t="s">
        <v>91</v>
      </c>
      <c r="C79" s="24" t="s">
        <v>53</v>
      </c>
      <c r="D79" s="24">
        <f>IFERROR((D78-C78)*10000,"n/a")</f>
        <v>607.9819162939428</v>
      </c>
      <c r="E79" s="24" t="s">
        <v>53</v>
      </c>
      <c r="F79" s="24">
        <f>IFERROR((F78-D78)*10000,"n/a")</f>
        <v>-827.0613221255951</v>
      </c>
      <c r="G79" s="24">
        <f>IFERROR((G78-F78)*10000,"n/a")</f>
        <v>1031.407337842353</v>
      </c>
      <c r="H79" s="66">
        <f>IFERROR((H78-G78)*10000,"n/a")</f>
        <v>-341.65124028137734</v>
      </c>
      <c r="I79" s="2"/>
      <c r="J79" s="2"/>
    </row>
    <row r="80">
      <c r="A80" s="3"/>
      <c r="B80" s="45" t="s">
        <v>92</v>
      </c>
      <c r="C80" s="24" t="s">
        <v>53</v>
      </c>
      <c r="D80" s="24" t="s">
        <v>53</v>
      </c>
      <c r="E80" s="24" t="s">
        <v>53</v>
      </c>
      <c r="F80" s="24" t="s">
        <v>53</v>
      </c>
      <c r="G80" s="24" t="s">
        <v>53</v>
      </c>
      <c r="H80" s="66">
        <f>(H78-C78)*10000</f>
        <v>470.6766917293234</v>
      </c>
      <c r="I80" s="2"/>
      <c r="J80" s="2"/>
    </row>
    <row r="81">
      <c r="A81" s="3"/>
      <c r="B81" s="3"/>
      <c r="C81" s="3"/>
      <c r="D81" s="3"/>
      <c r="E81" s="3"/>
      <c r="F81" s="3"/>
      <c r="G81" s="3"/>
      <c r="H81" s="13"/>
      <c r="I81" s="2"/>
      <c r="J81" s="2"/>
    </row>
    <row r="82">
      <c r="A82" s="3"/>
      <c r="B82" s="3"/>
      <c r="C82" s="3"/>
      <c r="D82" s="3"/>
      <c r="E82" s="3"/>
      <c r="F82" s="3"/>
      <c r="G82" s="3"/>
      <c r="H82" s="13"/>
      <c r="I82" s="2"/>
      <c r="J82" s="2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8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270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271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69" t="s">
        <v>272</v>
      </c>
      <c r="C10" s="57">
        <v>414</v>
      </c>
      <c r="D10" s="57">
        <v>424</v>
      </c>
      <c r="E10" s="57">
        <v>1660</v>
      </c>
      <c r="F10" s="57">
        <v>383</v>
      </c>
      <c r="G10" s="57">
        <v>387</v>
      </c>
      <c r="H10" s="81">
        <v>385</v>
      </c>
      <c r="I10" s="2" t="s">
        <v>273</v>
      </c>
      <c r="J10" s="2"/>
    </row>
    <row r="11">
      <c r="A11" s="3"/>
      <c r="B11" s="28" t="s">
        <v>274</v>
      </c>
      <c r="C11" s="31">
        <v>407</v>
      </c>
      <c r="D11" s="31">
        <v>422</v>
      </c>
      <c r="E11" s="31">
        <v>1620</v>
      </c>
      <c r="F11" s="31">
        <v>408</v>
      </c>
      <c r="G11" s="31">
        <v>414</v>
      </c>
      <c r="H11" s="27">
        <f>C10</f>
        <v>414</v>
      </c>
      <c r="I11" s="2"/>
      <c r="J11" s="2"/>
    </row>
    <row r="12">
      <c r="A12" s="3"/>
      <c r="B12" s="45" t="s">
        <v>134</v>
      </c>
      <c r="C12" s="6">
        <f>IFERROR(C10/C11-1,"n/a")</f>
        <v>0.017199017199017286</v>
      </c>
      <c r="D12" s="6">
        <f>IFERROR(D10/D11-1,"n/a")</f>
        <v>0.004739336492890933</v>
      </c>
      <c r="E12" s="6">
        <f>IFERROR(E10/E11-1,"n/a")</f>
        <v>0.024691358024691468</v>
      </c>
      <c r="F12" s="6">
        <f>IFERROR(F10/F11-1,"n/a")</f>
        <v>-0.06127450980392157</v>
      </c>
      <c r="G12" s="6">
        <f>IFERROR(G10/G11-1,"n/a")</f>
        <v>-0.06521739130434778</v>
      </c>
      <c r="H12" s="50">
        <f>IFERROR(H10/C10-1,"n/a")</f>
        <v>-0.07004830917874394</v>
      </c>
      <c r="I12" s="2"/>
      <c r="J12" s="2"/>
    </row>
    <row r="13">
      <c r="A13" s="3"/>
      <c r="B13" s="28" t="s">
        <v>109</v>
      </c>
      <c r="C13" s="1" t="s">
        <v>53</v>
      </c>
      <c r="D13" s="1">
        <f>IFERROR(D10-C10,"n/a")</f>
        <v>10</v>
      </c>
      <c r="E13" s="1" t="s">
        <v>53</v>
      </c>
      <c r="F13" s="1">
        <f>IFERROR(F10-D10,"n/a")</f>
        <v>-41</v>
      </c>
      <c r="G13" s="1">
        <f>IFERROR(G10-F10,"n/a")</f>
        <v>4</v>
      </c>
      <c r="H13" s="27">
        <f>IFERROR(H10-G10,"n/a")</f>
        <v>-2</v>
      </c>
      <c r="I13" s="2"/>
      <c r="J13" s="2"/>
    </row>
    <row r="14">
      <c r="A14" s="3"/>
      <c r="B14" s="28" t="s">
        <v>275</v>
      </c>
      <c r="C14" s="1"/>
      <c r="D14" s="1"/>
      <c r="E14" s="1">
        <f>E10-(F11+G11+C10+D10)</f>
        <v>0</v>
      </c>
      <c r="F14" s="1"/>
      <c r="G14" s="1"/>
      <c r="H14" s="27"/>
      <c r="I14" s="2"/>
      <c r="J14" s="2"/>
    </row>
    <row r="15">
      <c r="A15" s="3"/>
      <c r="B15" s="25" t="s">
        <v>276</v>
      </c>
      <c r="C15" s="47">
        <f>C21/C10</f>
        <v>95.84299516908213</v>
      </c>
      <c r="D15" s="47">
        <f>D21/D10</f>
        <v>97.77358490566037</v>
      </c>
      <c r="E15" s="47">
        <f>E21/E10</f>
        <v>93.20843373493976</v>
      </c>
      <c r="F15" s="47">
        <f>F21/F10</f>
        <v>93.30548302872063</v>
      </c>
      <c r="G15" s="47">
        <f>G21/G10</f>
        <v>98.94573643410853</v>
      </c>
      <c r="H15" s="60">
        <v>100.5</v>
      </c>
      <c r="I15" s="2" t="s">
        <v>277</v>
      </c>
      <c r="J15" s="2"/>
    </row>
    <row r="16">
      <c r="A16" s="3"/>
      <c r="B16" s="28" t="s">
        <v>278</v>
      </c>
      <c r="C16" s="47">
        <f>C22/C11</f>
        <v>84.04668304668304</v>
      </c>
      <c r="D16" s="47">
        <f>D22/D11</f>
        <v>84.77251184834124</v>
      </c>
      <c r="E16" s="47">
        <f>E22/E11</f>
        <v>82.24135802469135</v>
      </c>
      <c r="F16" s="47">
        <f>F22/F11</f>
        <v>86.1078431372549</v>
      </c>
      <c r="G16" s="47">
        <f>G22/G11</f>
        <v>92.89613526570048</v>
      </c>
      <c r="H16" s="74">
        <f>H22/H11</f>
        <v>95.84299516908213</v>
      </c>
      <c r="I16" s="2"/>
      <c r="J16" s="2"/>
    </row>
    <row r="17">
      <c r="A17" s="3"/>
      <c r="B17" s="45" t="s">
        <v>134</v>
      </c>
      <c r="C17" s="6">
        <f>IFERROR(C15/C16-1,"n/a")</f>
        <v>0.14035428519941617</v>
      </c>
      <c r="D17" s="6">
        <f>IFERROR(D15/D16-1,"n/a")</f>
        <v>0.15336425421223998</v>
      </c>
      <c r="E17" s="6">
        <f>IFERROR(E15/E16-1,"n/a")</f>
        <v>0.13335231778341705</v>
      </c>
      <c r="F17" s="6">
        <f>IFERROR(F15/F16-1,"n/a")</f>
        <v>0.08358866775925122</v>
      </c>
      <c r="G17" s="6">
        <f>IFERROR(G15/G16-1,"n/a")</f>
        <v>0.06512220504227706</v>
      </c>
      <c r="H17" s="50">
        <f>IFERROR(H15/C15-1,"n/a")</f>
        <v>0.048589934222132536</v>
      </c>
      <c r="I17" s="2"/>
      <c r="J17" s="2"/>
    </row>
    <row r="18">
      <c r="A18" s="3"/>
      <c r="B18" s="28" t="s">
        <v>109</v>
      </c>
      <c r="C18" s="47" t="s">
        <v>53</v>
      </c>
      <c r="D18" s="47">
        <f>IFERROR(D15-C15,"n/a")</f>
        <v>1.9305897365782414</v>
      </c>
      <c r="E18" s="47" t="s">
        <v>53</v>
      </c>
      <c r="F18" s="47">
        <f>IFERROR(F15-D15,"n/a")</f>
        <v>-4.468101876939741</v>
      </c>
      <c r="G18" s="47">
        <f>IFERROR(G15-F15,"n/a")</f>
        <v>5.640253405387895</v>
      </c>
      <c r="H18" s="74">
        <f>IFERROR(H15-G15,"n/a")</f>
        <v>1.5542635658914747</v>
      </c>
      <c r="I18" s="2"/>
      <c r="J18" s="2"/>
    </row>
    <row r="19">
      <c r="A19" s="3"/>
      <c r="B19" s="3"/>
      <c r="C19" s="3"/>
      <c r="D19" s="3"/>
      <c r="E19" s="3"/>
      <c r="F19" s="3"/>
      <c r="G19" s="3"/>
      <c r="H19" s="13"/>
      <c r="I19" s="2"/>
      <c r="J19" s="2"/>
    </row>
    <row r="20">
      <c r="A20" s="3"/>
      <c r="B20" s="23" t="s">
        <v>163</v>
      </c>
      <c r="C20" s="3"/>
      <c r="D20" s="3"/>
      <c r="E20" s="3"/>
      <c r="F20" s="3"/>
      <c r="G20" s="3"/>
      <c r="H20" s="13"/>
      <c r="I20" s="2"/>
      <c r="J20" s="2"/>
    </row>
    <row r="21">
      <c r="A21" s="3"/>
      <c r="B21" s="23" t="s">
        <v>279</v>
      </c>
      <c r="C21" s="57">
        <v>39679</v>
      </c>
      <c r="D21" s="57">
        <v>41456</v>
      </c>
      <c r="E21" s="57">
        <v>154726</v>
      </c>
      <c r="F21" s="57">
        <v>35736</v>
      </c>
      <c r="G21" s="57">
        <v>38292</v>
      </c>
      <c r="H21" s="29">
        <f>H10*H15</f>
        <v>38692.5</v>
      </c>
      <c r="I21" s="2" t="s">
        <v>280</v>
      </c>
      <c r="J21" s="2"/>
    </row>
    <row r="22">
      <c r="A22" s="3"/>
      <c r="B22" s="28" t="s">
        <v>78</v>
      </c>
      <c r="C22" s="31">
        <v>34207</v>
      </c>
      <c r="D22" s="31">
        <v>35774</v>
      </c>
      <c r="E22" s="31">
        <v>133231</v>
      </c>
      <c r="F22" s="31">
        <v>35132</v>
      </c>
      <c r="G22" s="31">
        <v>38459</v>
      </c>
      <c r="H22" s="27">
        <f>C21</f>
        <v>39679</v>
      </c>
      <c r="I22" s="2"/>
      <c r="J22" s="2"/>
    </row>
    <row r="23">
      <c r="A23" s="3"/>
      <c r="B23" s="45" t="s">
        <v>79</v>
      </c>
      <c r="C23" s="6">
        <f>IFERROR(C21/C22-1,"n/a")</f>
        <v>0.15996725816353385</v>
      </c>
      <c r="D23" s="6">
        <f>IFERROR(D21/D22-1,"n/a")</f>
        <v>0.1588304355118242</v>
      </c>
      <c r="E23" s="6">
        <f>IFERROR(E21/E22-1,"n/a")</f>
        <v>0.16133632562992095</v>
      </c>
      <c r="F23" s="6">
        <f>IFERROR(F21/F22-1,"n/a")</f>
        <v>0.017192303313218638</v>
      </c>
      <c r="G23" s="6">
        <f>IFERROR(G21/G22-1,"n/a")</f>
        <v>-0.004342286590914957</v>
      </c>
      <c r="H23" s="50">
        <f>IFERROR(H21/C21-1,"n/a")</f>
        <v>-0.024862017691978155</v>
      </c>
      <c r="I23" s="2"/>
      <c r="J23" s="2"/>
    </row>
    <row r="24">
      <c r="A24" s="3"/>
      <c r="B24" s="45" t="s">
        <v>80</v>
      </c>
      <c r="C24" s="6" t="s">
        <v>53</v>
      </c>
      <c r="D24" s="6">
        <f>IFERROR(D21/C21-1,"n/a")</f>
        <v>0.044784394768013325</v>
      </c>
      <c r="E24" s="6" t="s">
        <v>53</v>
      </c>
      <c r="F24" s="6">
        <f>IFERROR(F21/D21-1,"n/a")</f>
        <v>-0.1379776148205326</v>
      </c>
      <c r="G24" s="6">
        <f>IFERROR(G21/F21-1,"n/a")</f>
        <v>0.07152451309603758</v>
      </c>
      <c r="H24" s="50">
        <f>IFERROR(H21/G21-1,"n/a")</f>
        <v>0.010459103729238528</v>
      </c>
      <c r="I24" s="2"/>
      <c r="J24" s="2"/>
    </row>
    <row r="25">
      <c r="A25" s="3"/>
      <c r="B25" s="28" t="s">
        <v>109</v>
      </c>
      <c r="C25" s="1" t="s">
        <v>53</v>
      </c>
      <c r="D25" s="1">
        <f>IFERROR(D21-C21,"n/a")</f>
        <v>1777</v>
      </c>
      <c r="E25" s="1" t="s">
        <v>53</v>
      </c>
      <c r="F25" s="1">
        <f>IFERROR(F21-D21,"n/a")</f>
        <v>-5720</v>
      </c>
      <c r="G25" s="1">
        <f>IFERROR(G21-F21,"n/a")</f>
        <v>2556</v>
      </c>
      <c r="H25" s="27">
        <f>IFERROR(H21-G21,"n/a")</f>
        <v>400.5</v>
      </c>
      <c r="I25" s="2"/>
      <c r="J25" s="2"/>
    </row>
    <row r="26">
      <c r="A26" s="3"/>
      <c r="B26" s="19" t="s">
        <v>82</v>
      </c>
      <c r="C26" s="6" t="s">
        <v>94</v>
      </c>
      <c r="D26" s="6" t="s">
        <v>94</v>
      </c>
      <c r="E26" s="6" t="s">
        <v>94</v>
      </c>
      <c r="F26" s="6" t="s">
        <v>94</v>
      </c>
      <c r="G26" s="6" t="s">
        <v>94</v>
      </c>
      <c r="H26" s="50" t="s">
        <v>94</v>
      </c>
      <c r="I26" s="2" t="s">
        <v>169</v>
      </c>
      <c r="J26" s="2"/>
    </row>
    <row r="27" ht="45">
      <c r="A27" s="3"/>
      <c r="B27" s="19" t="s">
        <v>83</v>
      </c>
      <c r="C27" s="95" t="s">
        <v>94</v>
      </c>
      <c r="D27" s="95" t="s">
        <v>94</v>
      </c>
      <c r="E27" s="95" t="s">
        <v>94</v>
      </c>
      <c r="F27" s="95" t="s">
        <v>94</v>
      </c>
      <c r="G27" s="95" t="s">
        <v>94</v>
      </c>
      <c r="H27" s="67">
        <v>0</v>
      </c>
      <c r="I27" s="105" t="s">
        <v>230</v>
      </c>
      <c r="J27" s="2"/>
    </row>
    <row r="28">
      <c r="A28" s="3"/>
      <c r="B28" s="19" t="s">
        <v>84</v>
      </c>
      <c r="C28" s="6" t="str">
        <f>IF(OR(ISTEXT(C23),ISTEXT(C26),ISTEXT(C27)),"n/d",(1+C23)/((1+C26)*(1+C27))-1)</f>
        <v>n/d</v>
      </c>
      <c r="D28" s="6" t="str">
        <f>IF(OR(ISTEXT(D23),ISTEXT(D26),ISTEXT(D27)),"n/d",(1+D23)/((1+D26)*(1+D27))-1)</f>
        <v>n/d</v>
      </c>
      <c r="E28" s="6" t="str">
        <f>IF(OR(ISTEXT(E23),ISTEXT(E26),ISTEXT(E27)),"n/d",(1+E23)/((1+E26)*(1+E27))-1)</f>
        <v>n/d</v>
      </c>
      <c r="F28" s="6" t="str">
        <f>IF(OR(ISTEXT(F23),ISTEXT(F26),ISTEXT(F27)),"n/d",(1+F23)/((1+F26)*(1+F27))-1)</f>
        <v>n/d</v>
      </c>
      <c r="G28" s="6" t="str">
        <f>IF(OR(ISTEXT(G23),ISTEXT(G26),ISTEXT(G27)),"n/d",(1+G23)/((1+G26)*(1+G27))-1)</f>
        <v>n/d</v>
      </c>
      <c r="H28" s="50" t="str">
        <f>IF(OR(ISTEXT(H23),ISTEXT(H26),ISTEXT(H27)),"n/d",(1+H23)/((1+H26)*(1+H27))-1)</f>
        <v>n/d</v>
      </c>
      <c r="I28" s="2" t="s">
        <v>102</v>
      </c>
      <c r="J28" s="2"/>
    </row>
    <row r="29">
      <c r="A29" s="3"/>
      <c r="B29" s="19" t="s">
        <v>85</v>
      </c>
      <c r="C29" s="6">
        <f>C23</f>
        <v>0.15996725816353385</v>
      </c>
      <c r="D29" s="6">
        <f>D23</f>
        <v>0.1588304355118242</v>
      </c>
      <c r="E29" s="6">
        <f>E23</f>
        <v>0.16133632562992095</v>
      </c>
      <c r="F29" s="6">
        <f>F23</f>
        <v>0.017192303313218638</v>
      </c>
      <c r="G29" s="6">
        <f>G23</f>
        <v>-0.004342286590914957</v>
      </c>
      <c r="H29" s="50">
        <f>H23</f>
        <v>-0.024862017691978155</v>
      </c>
      <c r="I29" s="2"/>
      <c r="J29" s="2"/>
    </row>
    <row r="30">
      <c r="A30" s="3"/>
      <c r="B30" s="3"/>
      <c r="C30" s="3"/>
      <c r="D30" s="3"/>
      <c r="E30" s="3"/>
      <c r="F30" s="3"/>
      <c r="G30" s="3"/>
      <c r="H30" s="13"/>
      <c r="I30" s="2"/>
      <c r="J30" s="2"/>
    </row>
    <row r="31">
      <c r="A31" s="3"/>
      <c r="B31" s="23" t="s">
        <v>193</v>
      </c>
      <c r="C31" s="3"/>
      <c r="D31" s="3"/>
      <c r="E31" s="3"/>
      <c r="F31" s="3"/>
      <c r="G31" s="3"/>
      <c r="H31" s="13"/>
      <c r="I31" s="2"/>
      <c r="J31" s="2"/>
    </row>
    <row r="32">
      <c r="A32" s="3"/>
      <c r="B32" s="25" t="s">
        <v>234</v>
      </c>
      <c r="C32" s="31">
        <v>13190</v>
      </c>
      <c r="D32" s="10">
        <f>Inputs!D179-Inputs!C179</f>
        <v>13353</v>
      </c>
      <c r="E32" s="10">
        <f>Inputs!D179</f>
        <v>52925</v>
      </c>
      <c r="F32" s="31">
        <v>13148</v>
      </c>
      <c r="G32" s="31">
        <v>13728</v>
      </c>
      <c r="H32" s="12">
        <f>'Income Statement'!H24-'Segment - Optum Health'!H49-'Segment - Optum Insight'!H26</f>
        <v>13476.0675</v>
      </c>
      <c r="I32" s="2" t="s">
        <v>281</v>
      </c>
      <c r="J32" s="2"/>
    </row>
    <row r="33">
      <c r="A33" s="3"/>
      <c r="B33" s="75" t="s">
        <v>196</v>
      </c>
      <c r="C33" s="31">
        <v>12506</v>
      </c>
      <c r="D33" s="1" t="s">
        <v>53</v>
      </c>
      <c r="E33" s="31">
        <v>49775</v>
      </c>
      <c r="F33" s="31">
        <v>12927</v>
      </c>
      <c r="G33" s="31">
        <v>13455</v>
      </c>
      <c r="H33" s="27">
        <f>C32</f>
        <v>13190</v>
      </c>
      <c r="I33" s="2"/>
      <c r="J33" s="2"/>
    </row>
    <row r="34">
      <c r="A34" s="3"/>
      <c r="B34" s="19" t="s">
        <v>79</v>
      </c>
      <c r="C34" s="6">
        <f>IFERROR(C32/C33-1,"n/a")</f>
        <v>0.05469374700143925</v>
      </c>
      <c r="D34" s="6" t="str">
        <f>IFERROR(D32/D33-1,"n/a")</f>
        <v>n/a</v>
      </c>
      <c r="E34" s="6">
        <f>IFERROR(E32/E33-1,"n/a")</f>
        <v>0.06328478151682582</v>
      </c>
      <c r="F34" s="6">
        <f>IFERROR(F32/F33-1,"n/a")</f>
        <v>0.017096000618859852</v>
      </c>
      <c r="G34" s="6">
        <f>IFERROR(G32/G33-1,"n/a")</f>
        <v>0.020289855072463725</v>
      </c>
      <c r="H34" s="50">
        <f>IFERROR(H32/C32-1,"n/a")</f>
        <v>0.021688210765731464</v>
      </c>
      <c r="I34" s="2"/>
      <c r="J34" s="2"/>
    </row>
    <row r="35">
      <c r="A35" s="3"/>
      <c r="B35" s="19" t="s">
        <v>80</v>
      </c>
      <c r="C35" s="6" t="s">
        <v>53</v>
      </c>
      <c r="D35" s="6">
        <f>IFERROR(D32/C32-1,"n/a")</f>
        <v>0.012357846853677135</v>
      </c>
      <c r="E35" s="6" t="s">
        <v>53</v>
      </c>
      <c r="F35" s="6">
        <f>IFERROR(F32/D32-1,"n/a")</f>
        <v>-0.0153523552759679</v>
      </c>
      <c r="G35" s="6">
        <f>IFERROR(G32/F32-1,"n/a")</f>
        <v>0.04411317310617591</v>
      </c>
      <c r="H35" s="50">
        <f>IFERROR(H32/G32-1,"n/a")</f>
        <v>-0.018351726398601498</v>
      </c>
      <c r="I35" s="2"/>
      <c r="J35" s="2"/>
    </row>
    <row r="36">
      <c r="A36" s="3"/>
      <c r="B36" s="19" t="s">
        <v>197</v>
      </c>
      <c r="C36" s="6">
        <f>IFERROR(C32/C21,"n/d")</f>
        <v>0.3324176516545276</v>
      </c>
      <c r="D36" s="6">
        <f>IFERROR(D32/D21,"n/d")</f>
        <v>0.3221005403319182</v>
      </c>
      <c r="E36" s="6">
        <f>IFERROR(E32/E21,"n/d")</f>
        <v>0.34205628013391415</v>
      </c>
      <c r="F36" s="6">
        <f>IFERROR(F32/F21,"n/d")</f>
        <v>0.36792030445489143</v>
      </c>
      <c r="G36" s="6">
        <f>IFERROR(G32/G21,"n/d")</f>
        <v>0.35850830460670635</v>
      </c>
      <c r="H36" s="50">
        <f>IFERROR(H32/H21,"n/d")</f>
        <v>0.34828629579375847</v>
      </c>
      <c r="I36" s="2"/>
      <c r="J36" s="2"/>
    </row>
    <row r="37">
      <c r="A37" s="3"/>
      <c r="B37" s="19" t="s">
        <v>82</v>
      </c>
      <c r="C37" s="6" t="s">
        <v>94</v>
      </c>
      <c r="D37" s="6" t="s">
        <v>94</v>
      </c>
      <c r="E37" s="6" t="s">
        <v>94</v>
      </c>
      <c r="F37" s="6" t="s">
        <v>94</v>
      </c>
      <c r="G37" s="6" t="s">
        <v>94</v>
      </c>
      <c r="H37" s="50" t="s">
        <v>94</v>
      </c>
      <c r="I37" s="2" t="s">
        <v>169</v>
      </c>
      <c r="J37" s="2"/>
    </row>
    <row r="38">
      <c r="A38" s="3"/>
      <c r="B38" s="19" t="s">
        <v>83</v>
      </c>
      <c r="C38" s="95" t="s">
        <v>94</v>
      </c>
      <c r="D38" s="95" t="s">
        <v>94</v>
      </c>
      <c r="E38" s="95" t="s">
        <v>94</v>
      </c>
      <c r="F38" s="95" t="s">
        <v>94</v>
      </c>
      <c r="G38" s="95" t="s">
        <v>94</v>
      </c>
      <c r="H38" s="67">
        <v>0</v>
      </c>
      <c r="I38" s="2" t="s">
        <v>282</v>
      </c>
      <c r="J38" s="2"/>
    </row>
    <row r="39">
      <c r="A39" s="3"/>
      <c r="B39" s="19" t="s">
        <v>84</v>
      </c>
      <c r="C39" s="6" t="str">
        <f>IF(OR(ISTEXT(C34),ISTEXT(C37),ISTEXT(C38)),"n/d",(1+C34)/((1+C37)*(1+C38))-1)</f>
        <v>n/d</v>
      </c>
      <c r="D39" s="6" t="str">
        <f>IF(OR(ISTEXT(D34),ISTEXT(D37),ISTEXT(D38)),"n/d",(1+D34)/((1+D37)*(1+D38))-1)</f>
        <v>n/d</v>
      </c>
      <c r="E39" s="6" t="str">
        <f>IF(OR(ISTEXT(E34),ISTEXT(E37),ISTEXT(E38)),"n/d",(1+E34)/((1+E37)*(1+E38))-1)</f>
        <v>n/d</v>
      </c>
      <c r="F39" s="6" t="str">
        <f>IF(OR(ISTEXT(F34),ISTEXT(F37),ISTEXT(F38)),"n/d",(1+F34)/((1+F37)*(1+F38))-1)</f>
        <v>n/d</v>
      </c>
      <c r="G39" s="6" t="str">
        <f>IF(OR(ISTEXT(G34),ISTEXT(G37),ISTEXT(G38)),"n/d",(1+G34)/((1+G37)*(1+G38))-1)</f>
        <v>n/d</v>
      </c>
      <c r="H39" s="50" t="str">
        <f>IF(OR(ISTEXT(H34),ISTEXT(H37),ISTEXT(H38)),"n/d",(1+H34)/((1+H37)*(1+H38))-1)</f>
        <v>n/d</v>
      </c>
      <c r="I39" s="2" t="s">
        <v>102</v>
      </c>
      <c r="J39" s="2"/>
    </row>
    <row r="40">
      <c r="A40" s="3"/>
      <c r="B40" s="19" t="s">
        <v>85</v>
      </c>
      <c r="C40" s="6">
        <f>C34</f>
        <v>0.05469374700143925</v>
      </c>
      <c r="D40" s="6" t="str">
        <f>D34</f>
        <v>n/a</v>
      </c>
      <c r="E40" s="6">
        <f>E34</f>
        <v>0.06328478151682582</v>
      </c>
      <c r="F40" s="6">
        <f>F34</f>
        <v>0.017096000618859852</v>
      </c>
      <c r="G40" s="6">
        <f>G34</f>
        <v>0.020289855072463725</v>
      </c>
      <c r="H40" s="50">
        <f>H34</f>
        <v>0.021688210765731464</v>
      </c>
      <c r="I40" s="2"/>
      <c r="J40" s="2"/>
    </row>
    <row r="41" ht="55.5">
      <c r="A41" s="3"/>
      <c r="B41" s="25" t="s">
        <v>236</v>
      </c>
      <c r="C41" s="31">
        <v>1243</v>
      </c>
      <c r="D41" s="10">
        <f>Inputs!D180-Inputs!C180</f>
        <v>1324</v>
      </c>
      <c r="E41" s="10">
        <f>Inputs!D180</f>
        <v>4754</v>
      </c>
      <c r="F41" s="31">
        <v>1149</v>
      </c>
      <c r="G41" s="31">
        <v>1273</v>
      </c>
      <c r="H41" s="12">
        <f>'Income Statement'!H32-'Segment - UnitedHealthcare'!H235-'Segment - Optum Health'!H58-'Segment - Optum Insight'!H35</f>
        <v>1493.9489447500146</v>
      </c>
      <c r="I41" s="105" t="s">
        <v>283</v>
      </c>
      <c r="J41" s="2"/>
    </row>
    <row r="42">
      <c r="A42" s="3"/>
      <c r="B42" s="75" t="s">
        <v>196</v>
      </c>
      <c r="C42" s="31">
        <v>1029</v>
      </c>
      <c r="D42" s="1" t="s">
        <v>53</v>
      </c>
      <c r="E42" s="31">
        <v>3630</v>
      </c>
      <c r="F42" s="31">
        <v>1021</v>
      </c>
      <c r="G42" s="31">
        <v>1166</v>
      </c>
      <c r="H42" s="27">
        <f>C41</f>
        <v>1243</v>
      </c>
      <c r="I42" s="2"/>
      <c r="J42" s="2"/>
    </row>
    <row r="43">
      <c r="A43" s="3"/>
      <c r="B43" s="19" t="s">
        <v>79</v>
      </c>
      <c r="C43" s="6">
        <f>IFERROR(C41/C42-1,"n/a")</f>
        <v>0.20796890184645278</v>
      </c>
      <c r="D43" s="6" t="str">
        <f>IFERROR(D41/D42-1,"n/a")</f>
        <v>n/a</v>
      </c>
      <c r="E43" s="6">
        <f>IFERROR(E41/E42-1,"n/a")</f>
        <v>0.3096418732782369</v>
      </c>
      <c r="F43" s="6">
        <f>IFERROR(F41/F42-1,"n/a")</f>
        <v>0.12536728697355537</v>
      </c>
      <c r="G43" s="6">
        <f>IFERROR(G41/G42-1,"n/a")</f>
        <v>0.09176672384219553</v>
      </c>
      <c r="H43" s="50">
        <f>IFERROR(H41/C41-1,"n/a")</f>
        <v>0.20188973833468582</v>
      </c>
      <c r="I43" s="2"/>
      <c r="J43" s="2"/>
    </row>
    <row r="44">
      <c r="A44" s="3"/>
      <c r="B44" s="19" t="s">
        <v>80</v>
      </c>
      <c r="C44" s="6" t="s">
        <v>53</v>
      </c>
      <c r="D44" s="6">
        <f>IFERROR(D41/C41-1,"n/a")</f>
        <v>0.06516492357200332</v>
      </c>
      <c r="E44" s="6" t="s">
        <v>53</v>
      </c>
      <c r="F44" s="6">
        <f>IFERROR(F41/D41-1,"n/a")</f>
        <v>-0.1321752265861027</v>
      </c>
      <c r="G44" s="6">
        <f>IFERROR(G41/F41-1,"n/a")</f>
        <v>0.10791993037423842</v>
      </c>
      <c r="H44" s="50">
        <f>IFERROR(H41/G41-1,"n/a")</f>
        <v>0.17356554968579307</v>
      </c>
      <c r="I44" s="2"/>
      <c r="J44" s="2"/>
    </row>
    <row r="45">
      <c r="A45" s="3"/>
      <c r="B45" s="19" t="s">
        <v>197</v>
      </c>
      <c r="C45" s="6">
        <f>IFERROR(C41/C21,"n/d")</f>
        <v>0.03132639431437284</v>
      </c>
      <c r="D45" s="6">
        <f>IFERROR(D41/D21,"n/d")</f>
        <v>0.03193747587803937</v>
      </c>
      <c r="E45" s="6">
        <f>IFERROR(E41/E21,"n/d")</f>
        <v>0.03072528211160374</v>
      </c>
      <c r="F45" s="6">
        <f>IFERROR(F41/F21,"n/d")</f>
        <v>0.03215245130960376</v>
      </c>
      <c r="G45" s="6">
        <f>IFERROR(G41/G21,"n/d")</f>
        <v>0.03324454194087538</v>
      </c>
      <c r="H45" s="50">
        <f>IFERROR(H41/H21,"n/d")</f>
        <v>0.03861081462169709</v>
      </c>
      <c r="I45" s="2"/>
      <c r="J45" s="2"/>
    </row>
    <row r="46">
      <c r="A46" s="3"/>
      <c r="B46" s="19" t="s">
        <v>82</v>
      </c>
      <c r="C46" s="6" t="s">
        <v>94</v>
      </c>
      <c r="D46" s="6" t="s">
        <v>94</v>
      </c>
      <c r="E46" s="6" t="s">
        <v>94</v>
      </c>
      <c r="F46" s="6" t="s">
        <v>94</v>
      </c>
      <c r="G46" s="6" t="s">
        <v>94</v>
      </c>
      <c r="H46" s="50" t="s">
        <v>94</v>
      </c>
      <c r="I46" s="2" t="s">
        <v>169</v>
      </c>
      <c r="J46" s="2"/>
    </row>
    <row r="47">
      <c r="A47" s="3"/>
      <c r="B47" s="19" t="s">
        <v>83</v>
      </c>
      <c r="C47" s="95" t="s">
        <v>94</v>
      </c>
      <c r="D47" s="95" t="s">
        <v>94</v>
      </c>
      <c r="E47" s="95" t="s">
        <v>94</v>
      </c>
      <c r="F47" s="95" t="s">
        <v>94</v>
      </c>
      <c r="G47" s="95" t="s">
        <v>94</v>
      </c>
      <c r="H47" s="67">
        <v>0</v>
      </c>
      <c r="I47" s="2" t="s">
        <v>282</v>
      </c>
      <c r="J47" s="2"/>
    </row>
    <row r="48">
      <c r="A48" s="3"/>
      <c r="B48" s="19" t="s">
        <v>84</v>
      </c>
      <c r="C48" s="6" t="str">
        <f>IF(OR(ISTEXT(C43),ISTEXT(C46),ISTEXT(C47)),"n/d",(1+C43)/((1+C46)*(1+C47))-1)</f>
        <v>n/d</v>
      </c>
      <c r="D48" s="6" t="str">
        <f>IF(OR(ISTEXT(D43),ISTEXT(D46),ISTEXT(D47)),"n/d",(1+D43)/((1+D46)*(1+D47))-1)</f>
        <v>n/d</v>
      </c>
      <c r="E48" s="6" t="str">
        <f>IF(OR(ISTEXT(E43),ISTEXT(E46),ISTEXT(E47)),"n/d",(1+E43)/((1+E46)*(1+E47))-1)</f>
        <v>n/d</v>
      </c>
      <c r="F48" s="6" t="str">
        <f>IF(OR(ISTEXT(F43),ISTEXT(F46),ISTEXT(F47)),"n/d",(1+F43)/((1+F46)*(1+F47))-1)</f>
        <v>n/d</v>
      </c>
      <c r="G48" s="6" t="str">
        <f>IF(OR(ISTEXT(G43),ISTEXT(G46),ISTEXT(G47)),"n/d",(1+G43)/((1+G46)*(1+G47))-1)</f>
        <v>n/d</v>
      </c>
      <c r="H48" s="50" t="str">
        <f>IF(OR(ISTEXT(H43),ISTEXT(H46),ISTEXT(H47)),"n/d",(1+H43)/((1+H46)*(1+H47))-1)</f>
        <v>n/d</v>
      </c>
      <c r="I48" s="2" t="s">
        <v>102</v>
      </c>
      <c r="J48" s="2"/>
    </row>
    <row r="49">
      <c r="A49" s="3"/>
      <c r="B49" s="19" t="s">
        <v>85</v>
      </c>
      <c r="C49" s="6">
        <f>C43</f>
        <v>0.20796890184645278</v>
      </c>
      <c r="D49" s="6" t="str">
        <f>D43</f>
        <v>n/a</v>
      </c>
      <c r="E49" s="6">
        <f>E43</f>
        <v>0.3096418732782369</v>
      </c>
      <c r="F49" s="6">
        <f>F43</f>
        <v>0.12536728697355537</v>
      </c>
      <c r="G49" s="6">
        <f>G43</f>
        <v>0.09176672384219553</v>
      </c>
      <c r="H49" s="50">
        <f>H43</f>
        <v>0.20188973833468582</v>
      </c>
      <c r="I49" s="2"/>
      <c r="J49" s="2"/>
    </row>
    <row r="50">
      <c r="A50" s="3"/>
      <c r="B50" s="25" t="s">
        <v>238</v>
      </c>
      <c r="C50" s="31">
        <v>25195</v>
      </c>
      <c r="D50" s="10">
        <f>Inputs!D181-Inputs!C181</f>
        <v>26751</v>
      </c>
      <c r="E50" s="10">
        <f>Inputs!D181</f>
        <v>96873</v>
      </c>
      <c r="F50" s="31">
        <v>21398</v>
      </c>
      <c r="G50" s="31">
        <v>23242</v>
      </c>
      <c r="H50" s="27">
        <f>H21-H32-H41-H59</f>
        <v>23682.483555249986</v>
      </c>
      <c r="I50" s="2" t="s">
        <v>284</v>
      </c>
      <c r="J50" s="2"/>
    </row>
    <row r="51">
      <c r="A51" s="3"/>
      <c r="B51" s="75" t="s">
        <v>196</v>
      </c>
      <c r="C51" s="31">
        <v>20554</v>
      </c>
      <c r="D51" s="1" t="s">
        <v>53</v>
      </c>
      <c r="E51" s="31">
        <v>79512</v>
      </c>
      <c r="F51" s="31">
        <v>21137</v>
      </c>
      <c r="G51" s="31">
        <v>23790</v>
      </c>
      <c r="H51" s="27">
        <f>C50</f>
        <v>25195</v>
      </c>
      <c r="I51" s="2"/>
      <c r="J51" s="2"/>
    </row>
    <row r="52">
      <c r="A52" s="3"/>
      <c r="B52" s="19" t="s">
        <v>79</v>
      </c>
      <c r="C52" s="6">
        <f>IFERROR(C50/C51-1,"n/a")</f>
        <v>0.22579546560280228</v>
      </c>
      <c r="D52" s="6" t="str">
        <f>IFERROR(D50/D51-1,"n/a")</f>
        <v>n/a</v>
      </c>
      <c r="E52" s="6">
        <f>IFERROR(E50/E51-1,"n/a")</f>
        <v>0.21834440084515538</v>
      </c>
      <c r="F52" s="6">
        <f>IFERROR(F50/F51-1,"n/a")</f>
        <v>0.01234801532857066</v>
      </c>
      <c r="G52" s="6">
        <f>IFERROR(G50/G51-1,"n/a")</f>
        <v>-0.0230348886086591</v>
      </c>
      <c r="H52" s="50">
        <f>IFERROR(H50/C50-1,"n/a")</f>
        <v>-0.06003240503076057</v>
      </c>
      <c r="I52" s="2"/>
      <c r="J52" s="2"/>
    </row>
    <row r="53">
      <c r="A53" s="3"/>
      <c r="B53" s="19" t="s">
        <v>80</v>
      </c>
      <c r="C53" s="6" t="s">
        <v>53</v>
      </c>
      <c r="D53" s="6">
        <f>IFERROR(D50/C50-1,"n/a")</f>
        <v>0.06175828537408212</v>
      </c>
      <c r="E53" s="6" t="s">
        <v>53</v>
      </c>
      <c r="F53" s="6">
        <f>IFERROR(F50/D50-1,"n/a")</f>
        <v>-0.200104668984337</v>
      </c>
      <c r="G53" s="6">
        <f>IFERROR(G50/F50-1,"n/a")</f>
        <v>0.08617627815683715</v>
      </c>
      <c r="H53" s="50">
        <f>IFERROR(H50/G50-1,"n/a")</f>
        <v>0.018952050393683306</v>
      </c>
      <c r="I53" s="2"/>
      <c r="J53" s="2"/>
    </row>
    <row r="54">
      <c r="A54" s="3"/>
      <c r="B54" s="19" t="s">
        <v>197</v>
      </c>
      <c r="C54" s="6">
        <f>IFERROR(C50/C21,"n/d")</f>
        <v>0.6349706393810328</v>
      </c>
      <c r="D54" s="6">
        <f>IFERROR(D50/D21,"n/d")</f>
        <v>0.6452865688923196</v>
      </c>
      <c r="E54" s="6">
        <f>IFERROR(E50/E21,"n/d")</f>
        <v>0.6260938691622611</v>
      </c>
      <c r="F54" s="6">
        <f>IFERROR(F50/F21,"n/d")</f>
        <v>0.5987799417953884</v>
      </c>
      <c r="G54" s="6">
        <f>IFERROR(G50/G21,"n/d")</f>
        <v>0.6069675127964066</v>
      </c>
      <c r="H54" s="50">
        <f>IFERROR(H50/H21,"n/d")</f>
        <v>0.6120690975059763</v>
      </c>
      <c r="I54" s="2"/>
      <c r="J54" s="2"/>
    </row>
    <row r="55">
      <c r="A55" s="3"/>
      <c r="B55" s="19" t="s">
        <v>82</v>
      </c>
      <c r="C55" s="6" t="s">
        <v>94</v>
      </c>
      <c r="D55" s="6" t="s">
        <v>94</v>
      </c>
      <c r="E55" s="6" t="s">
        <v>94</v>
      </c>
      <c r="F55" s="6" t="s">
        <v>94</v>
      </c>
      <c r="G55" s="6" t="s">
        <v>94</v>
      </c>
      <c r="H55" s="50" t="s">
        <v>94</v>
      </c>
      <c r="I55" s="2" t="s">
        <v>169</v>
      </c>
      <c r="J55" s="2"/>
    </row>
    <row r="56">
      <c r="A56" s="3"/>
      <c r="B56" s="19" t="s">
        <v>83</v>
      </c>
      <c r="C56" s="95" t="s">
        <v>94</v>
      </c>
      <c r="D56" s="95" t="s">
        <v>94</v>
      </c>
      <c r="E56" s="95" t="s">
        <v>94</v>
      </c>
      <c r="F56" s="95" t="s">
        <v>94</v>
      </c>
      <c r="G56" s="95" t="s">
        <v>94</v>
      </c>
      <c r="H56" s="67">
        <v>0</v>
      </c>
      <c r="I56" s="2" t="s">
        <v>282</v>
      </c>
      <c r="J56" s="2"/>
    </row>
    <row r="57">
      <c r="A57" s="3"/>
      <c r="B57" s="19" t="s">
        <v>84</v>
      </c>
      <c r="C57" s="6" t="str">
        <f>IF(OR(ISTEXT(C52),ISTEXT(C55),ISTEXT(C56)),"n/d",(1+C52)/((1+C55)*(1+C56))-1)</f>
        <v>n/d</v>
      </c>
      <c r="D57" s="6" t="str">
        <f>IF(OR(ISTEXT(D52),ISTEXT(D55),ISTEXT(D56)),"n/d",(1+D52)/((1+D55)*(1+D56))-1)</f>
        <v>n/d</v>
      </c>
      <c r="E57" s="6" t="str">
        <f>IF(OR(ISTEXT(E52),ISTEXT(E55),ISTEXT(E56)),"n/d",(1+E52)/((1+E55)*(1+E56))-1)</f>
        <v>n/d</v>
      </c>
      <c r="F57" s="6" t="str">
        <f>IF(OR(ISTEXT(F52),ISTEXT(F55),ISTEXT(F56)),"n/d",(1+F52)/((1+F55)*(1+F56))-1)</f>
        <v>n/d</v>
      </c>
      <c r="G57" s="6" t="str">
        <f>IF(OR(ISTEXT(G52),ISTEXT(G55),ISTEXT(G56)),"n/d",(1+G52)/((1+G55)*(1+G56))-1)</f>
        <v>n/d</v>
      </c>
      <c r="H57" s="50" t="str">
        <f>IF(OR(ISTEXT(H52),ISTEXT(H55),ISTEXT(H56)),"n/d",(1+H52)/((1+H55)*(1+H56))-1)</f>
        <v>n/d</v>
      </c>
      <c r="I57" s="2" t="s">
        <v>102</v>
      </c>
      <c r="J57" s="2"/>
    </row>
    <row r="58">
      <c r="A58" s="3"/>
      <c r="B58" s="19" t="s">
        <v>85</v>
      </c>
      <c r="C58" s="6">
        <f>C52</f>
        <v>0.22579546560280228</v>
      </c>
      <c r="D58" s="6" t="str">
        <f>D52</f>
        <v>n/a</v>
      </c>
      <c r="E58" s="6">
        <f>E52</f>
        <v>0.21834440084515538</v>
      </c>
      <c r="F58" s="6">
        <f>F52</f>
        <v>0.01234801532857066</v>
      </c>
      <c r="G58" s="6">
        <f>G52</f>
        <v>-0.0230348886086591</v>
      </c>
      <c r="H58" s="50">
        <f>H52</f>
        <v>-0.06003240503076057</v>
      </c>
      <c r="I58" s="2"/>
      <c r="J58" s="2"/>
    </row>
    <row r="59">
      <c r="A59" s="3"/>
      <c r="B59" s="25" t="s">
        <v>200</v>
      </c>
      <c r="C59" s="31">
        <v>51</v>
      </c>
      <c r="D59" s="10">
        <f>Inputs!D182-Inputs!C182</f>
        <v>28</v>
      </c>
      <c r="E59" s="10">
        <f>Inputs!D182</f>
        <v>174</v>
      </c>
      <c r="F59" s="31">
        <v>41</v>
      </c>
      <c r="G59" s="31">
        <v>49</v>
      </c>
      <c r="H59" s="12">
        <f>'Income Statement'!H40-'Segment - UnitedHealthcare'!H244-'Segment - Optum Health'!H76-'Segment - Optum Insight'!H53</f>
        <v>40</v>
      </c>
      <c r="I59" s="2" t="s">
        <v>285</v>
      </c>
      <c r="J59" s="2"/>
    </row>
    <row r="60">
      <c r="A60" s="3"/>
      <c r="B60" s="75" t="s">
        <v>196</v>
      </c>
      <c r="C60" s="31">
        <v>118</v>
      </c>
      <c r="D60" s="1" t="s">
        <v>53</v>
      </c>
      <c r="E60" s="31">
        <v>314</v>
      </c>
      <c r="F60" s="31">
        <v>47</v>
      </c>
      <c r="G60" s="31">
        <v>48</v>
      </c>
      <c r="H60" s="27">
        <f>C59</f>
        <v>51</v>
      </c>
      <c r="I60" s="2"/>
      <c r="J60" s="2"/>
    </row>
    <row r="61">
      <c r="A61" s="3"/>
      <c r="B61" s="19" t="s">
        <v>79</v>
      </c>
      <c r="C61" s="6">
        <f>IFERROR(C59/C60-1,"n/a")</f>
        <v>-0.5677966101694916</v>
      </c>
      <c r="D61" s="6" t="str">
        <f>IFERROR(D59/D60-1,"n/a")</f>
        <v>n/a</v>
      </c>
      <c r="E61" s="6">
        <f>IFERROR(E59/E60-1,"n/a")</f>
        <v>-0.445859872611465</v>
      </c>
      <c r="F61" s="6">
        <f>IFERROR(F59/F60-1,"n/a")</f>
        <v>-0.12765957446808507</v>
      </c>
      <c r="G61" s="6">
        <f>IFERROR(G59/G60-1,"n/a")</f>
        <v>0.02083333333333326</v>
      </c>
      <c r="H61" s="50">
        <f>IFERROR(H59/C59-1,"n/a")</f>
        <v>-0.21568627450980393</v>
      </c>
      <c r="I61" s="2"/>
      <c r="J61" s="2"/>
    </row>
    <row r="62">
      <c r="A62" s="3"/>
      <c r="B62" s="19" t="s">
        <v>80</v>
      </c>
      <c r="C62" s="6" t="s">
        <v>53</v>
      </c>
      <c r="D62" s="6">
        <f>IFERROR(D59/C59-1,"n/a")</f>
        <v>-0.4509803921568627</v>
      </c>
      <c r="E62" s="6" t="s">
        <v>53</v>
      </c>
      <c r="F62" s="6">
        <f>IFERROR(F59/D59-1,"n/a")</f>
        <v>0.4642857142857142</v>
      </c>
      <c r="G62" s="6">
        <f>IFERROR(G59/F59-1,"n/a")</f>
        <v>0.19512195121951215</v>
      </c>
      <c r="H62" s="50">
        <f>IFERROR(H59/G59-1,"n/a")</f>
        <v>-0.18367346938775508</v>
      </c>
      <c r="I62" s="2"/>
      <c r="J62" s="2"/>
    </row>
    <row r="63">
      <c r="A63" s="3"/>
      <c r="B63" s="19" t="s">
        <v>197</v>
      </c>
      <c r="C63" s="6">
        <f>IFERROR(C59/C21,"n/d")</f>
        <v>0.0012853146500667858</v>
      </c>
      <c r="D63" s="6">
        <f>IFERROR(D59/D21,"n/d")</f>
        <v>0.000675414897722887</v>
      </c>
      <c r="E63" s="6">
        <f>IFERROR(E59/E21,"n/d")</f>
        <v>0.0011245685922210875</v>
      </c>
      <c r="F63" s="6">
        <f>IFERROR(F59/F21,"n/d")</f>
        <v>0.0011473024401164092</v>
      </c>
      <c r="G63" s="6">
        <f>IFERROR(G59/G21,"n/d")</f>
        <v>0.0012796406560116995</v>
      </c>
      <c r="H63" s="50">
        <f>IFERROR(H59/H21,"n/d")</f>
        <v>0.001033792078568198</v>
      </c>
      <c r="I63" s="2"/>
      <c r="J63" s="2"/>
    </row>
    <row r="64">
      <c r="A64" s="3"/>
      <c r="B64" s="19" t="s">
        <v>82</v>
      </c>
      <c r="C64" s="6" t="s">
        <v>94</v>
      </c>
      <c r="D64" s="6" t="s">
        <v>94</v>
      </c>
      <c r="E64" s="6" t="s">
        <v>94</v>
      </c>
      <c r="F64" s="6" t="s">
        <v>94</v>
      </c>
      <c r="G64" s="6" t="s">
        <v>94</v>
      </c>
      <c r="H64" s="50" t="s">
        <v>94</v>
      </c>
      <c r="I64" s="2" t="s">
        <v>169</v>
      </c>
      <c r="J64" s="2"/>
    </row>
    <row r="65">
      <c r="A65" s="3"/>
      <c r="B65" s="19" t="s">
        <v>83</v>
      </c>
      <c r="C65" s="95" t="s">
        <v>94</v>
      </c>
      <c r="D65" s="95" t="s">
        <v>94</v>
      </c>
      <c r="E65" s="95" t="s">
        <v>94</v>
      </c>
      <c r="F65" s="95" t="s">
        <v>94</v>
      </c>
      <c r="G65" s="95" t="s">
        <v>94</v>
      </c>
      <c r="H65" s="67">
        <v>0</v>
      </c>
      <c r="I65" s="2" t="s">
        <v>282</v>
      </c>
      <c r="J65" s="2"/>
    </row>
    <row r="66">
      <c r="A66" s="3"/>
      <c r="B66" s="19" t="s">
        <v>84</v>
      </c>
      <c r="C66" s="6" t="str">
        <f>IF(OR(ISTEXT(C61),ISTEXT(C64),ISTEXT(C65)),"n/d",(1+C61)/((1+C64)*(1+C65))-1)</f>
        <v>n/d</v>
      </c>
      <c r="D66" s="6" t="str">
        <f>IF(OR(ISTEXT(D61),ISTEXT(D64),ISTEXT(D65)),"n/d",(1+D61)/((1+D64)*(1+D65))-1)</f>
        <v>n/d</v>
      </c>
      <c r="E66" s="6" t="str">
        <f>IF(OR(ISTEXT(E61),ISTEXT(E64),ISTEXT(E65)),"n/d",(1+E61)/((1+E64)*(1+E65))-1)</f>
        <v>n/d</v>
      </c>
      <c r="F66" s="6" t="str">
        <f>IF(OR(ISTEXT(F61),ISTEXT(F64),ISTEXT(F65)),"n/d",(1+F61)/((1+F64)*(1+F65))-1)</f>
        <v>n/d</v>
      </c>
      <c r="G66" s="6" t="str">
        <f>IF(OR(ISTEXT(G61),ISTEXT(G64),ISTEXT(G65)),"n/d",(1+G61)/((1+G64)*(1+G65))-1)</f>
        <v>n/d</v>
      </c>
      <c r="H66" s="50" t="str">
        <f>IF(OR(ISTEXT(H61),ISTEXT(H64),ISTEXT(H65)),"n/d",(1+H61)/((1+H64)*(1+H65))-1)</f>
        <v>n/d</v>
      </c>
      <c r="I66" s="2" t="s">
        <v>102</v>
      </c>
      <c r="J66" s="2"/>
    </row>
    <row r="67">
      <c r="A67" s="3"/>
      <c r="B67" s="19" t="s">
        <v>85</v>
      </c>
      <c r="C67" s="6">
        <f>C61</f>
        <v>-0.5677966101694916</v>
      </c>
      <c r="D67" s="6" t="str">
        <f>D61</f>
        <v>n/a</v>
      </c>
      <c r="E67" s="6">
        <f>E61</f>
        <v>-0.445859872611465</v>
      </c>
      <c r="F67" s="6">
        <f>F61</f>
        <v>-0.12765957446808507</v>
      </c>
      <c r="G67" s="6">
        <f>G61</f>
        <v>0.02083333333333326</v>
      </c>
      <c r="H67" s="50">
        <f>H61</f>
        <v>-0.21568627450980393</v>
      </c>
      <c r="I67" s="2"/>
      <c r="J67" s="2"/>
    </row>
    <row r="68">
      <c r="A68" s="3"/>
      <c r="B68" s="69" t="s">
        <v>202</v>
      </c>
      <c r="C68" s="8">
        <f>IFERROR(C32+C41,"n/d")</f>
        <v>14433</v>
      </c>
      <c r="D68" s="8">
        <f>IFERROR(D32+D41,"n/d")</f>
        <v>14677</v>
      </c>
      <c r="E68" s="8">
        <f>IFERROR(E32+E41,"n/d")</f>
        <v>57679</v>
      </c>
      <c r="F68" s="8">
        <f>IFERROR(F32+F41,"n/d")</f>
        <v>14297</v>
      </c>
      <c r="G68" s="8">
        <f>IFERROR(G32+G41,"n/d")</f>
        <v>15001</v>
      </c>
      <c r="H68" s="29">
        <f>IFERROR(H32+H41,"n/d")</f>
        <v>14970.016444750014</v>
      </c>
      <c r="I68" s="2"/>
      <c r="J68" s="2"/>
    </row>
    <row r="69">
      <c r="A69" s="3"/>
      <c r="B69" s="69" t="s">
        <v>203</v>
      </c>
      <c r="C69" s="8">
        <f>IFERROR(C32+C41+C50+C59,"n/d")</f>
        <v>39679</v>
      </c>
      <c r="D69" s="8">
        <f>IFERROR(D32+D41+D50+D59,"n/d")</f>
        <v>41456</v>
      </c>
      <c r="E69" s="8">
        <f>IFERROR(E32+E41+E50+E59,"n/d")</f>
        <v>154726</v>
      </c>
      <c r="F69" s="8">
        <f>IFERROR(F32+F41+F50+F59,"n/d")</f>
        <v>35736</v>
      </c>
      <c r="G69" s="8">
        <f>IFERROR(G32+G41+G50+G59,"n/d")</f>
        <v>38292</v>
      </c>
      <c r="H69" s="29">
        <f>IFERROR(H32+H41+H50+H59,"n/d")</f>
        <v>38692.5</v>
      </c>
      <c r="I69" s="2"/>
      <c r="J69" s="2"/>
    </row>
    <row r="70">
      <c r="A70" s="3"/>
      <c r="B70" s="28" t="s">
        <v>204</v>
      </c>
      <c r="C70" s="1">
        <f>IFERROR(C69-C21,"n/a")</f>
        <v>0</v>
      </c>
      <c r="D70" s="1">
        <f>IFERROR(D69-D21,"n/a")</f>
        <v>0</v>
      </c>
      <c r="E70" s="1">
        <f>IFERROR(E69-E21,"n/a")</f>
        <v>0</v>
      </c>
      <c r="F70" s="1">
        <f>IFERROR(F69-F21,"n/a")</f>
        <v>0</v>
      </c>
      <c r="G70" s="1">
        <f>IFERROR(G69-G21,"n/a")</f>
        <v>0</v>
      </c>
      <c r="H70" s="27">
        <f>IFERROR(H69-H21,"n/a")</f>
        <v>0</v>
      </c>
      <c r="I70" s="2" t="s">
        <v>205</v>
      </c>
      <c r="J70" s="2"/>
    </row>
    <row r="71">
      <c r="A71" s="3"/>
      <c r="B71" s="3"/>
      <c r="C71" s="3"/>
      <c r="D71" s="3"/>
      <c r="E71" s="3"/>
      <c r="F71" s="3"/>
      <c r="G71" s="3"/>
      <c r="H71" s="13"/>
      <c r="I71" s="2"/>
      <c r="J71" s="2"/>
    </row>
    <row r="72">
      <c r="A72" s="3"/>
      <c r="B72" s="23" t="s">
        <v>206</v>
      </c>
      <c r="C72" s="3"/>
      <c r="D72" s="3"/>
      <c r="E72" s="3"/>
      <c r="F72" s="3"/>
      <c r="G72" s="3"/>
      <c r="H72" s="13"/>
      <c r="I72" s="2"/>
      <c r="J72" s="2"/>
    </row>
    <row r="73">
      <c r="A73" s="3"/>
      <c r="B73" s="58" t="s">
        <v>241</v>
      </c>
      <c r="C73" s="6">
        <f>C76/C21</f>
        <v>0.03903828221477356</v>
      </c>
      <c r="D73" s="6">
        <f>D76/D21</f>
        <v>0.06959185642609031</v>
      </c>
      <c r="E73" s="6">
        <f>E76/E21</f>
        <v>0.04648863151635795</v>
      </c>
      <c r="F73" s="6">
        <f>F76/F21</f>
        <v>0.03335571972240878</v>
      </c>
      <c r="G73" s="6">
        <f>G76/G21</f>
        <v>0.03891152198892719</v>
      </c>
      <c r="H73" s="67">
        <v>0.0425</v>
      </c>
      <c r="I73" s="2" t="s">
        <v>286</v>
      </c>
      <c r="J73" s="2"/>
    </row>
    <row r="74">
      <c r="A74" s="3"/>
      <c r="B74" s="45" t="s">
        <v>91</v>
      </c>
      <c r="C74" s="24" t="s">
        <v>53</v>
      </c>
      <c r="D74" s="24">
        <f>IFERROR((D73-C73)*10000,"n/a")</f>
        <v>305.5357421131675</v>
      </c>
      <c r="E74" s="24" t="s">
        <v>53</v>
      </c>
      <c r="F74" s="24">
        <f>IFERROR((F73-D73)*10000,"n/a")</f>
        <v>-362.3613670368153</v>
      </c>
      <c r="G74" s="24">
        <f>IFERROR((G73-F73)*10000,"n/a")</f>
        <v>55.5580226651841</v>
      </c>
      <c r="H74" s="66">
        <f>IFERROR((H73-G73)*10000,"n/a")</f>
        <v>35.88478011072815</v>
      </c>
      <c r="I74" s="2"/>
      <c r="J74" s="2"/>
    </row>
    <row r="75">
      <c r="A75" s="3"/>
      <c r="B75" s="45" t="s">
        <v>92</v>
      </c>
      <c r="C75" s="24">
        <f>IFERROR((C73-C77/C22)*10000,"n/a")</f>
        <v>-60.98678056515941</v>
      </c>
      <c r="D75" s="24">
        <f>IFERROR((D73-D77/D22)*10000,"n/a")</f>
        <v>209.81133554731224</v>
      </c>
      <c r="E75" s="24">
        <f>IFERROR((E73-E77/E22)*10000,"n/a")</f>
        <v>26.85012238562247</v>
      </c>
      <c r="F75" s="24">
        <f>IFERROR((F73-F77/F22)*10000,"n/a")</f>
        <v>-41.59935520674451</v>
      </c>
      <c r="G75" s="24">
        <f>IFERROR((G73-G77/G22)*10000,"n/a")</f>
        <v>14.430490697145206</v>
      </c>
      <c r="H75" s="66">
        <f>(H73-C73)*10000</f>
        <v>34.617177852264426</v>
      </c>
      <c r="I75" s="2"/>
      <c r="J75" s="2"/>
    </row>
    <row r="76">
      <c r="A76" s="3"/>
      <c r="B76" s="23" t="s">
        <v>287</v>
      </c>
      <c r="C76" s="57">
        <v>1549</v>
      </c>
      <c r="D76" s="57">
        <v>2885</v>
      </c>
      <c r="E76" s="57">
        <v>7193</v>
      </c>
      <c r="F76" s="57">
        <v>1192</v>
      </c>
      <c r="G76" s="57">
        <v>1490</v>
      </c>
      <c r="H76" s="29">
        <f>H21*H73</f>
        <v>1644.43125</v>
      </c>
      <c r="I76" s="2"/>
      <c r="J76" s="2"/>
    </row>
    <row r="77">
      <c r="A77" s="3"/>
      <c r="B77" s="28" t="s">
        <v>209</v>
      </c>
      <c r="C77" s="31">
        <v>1544</v>
      </c>
      <c r="D77" s="31">
        <v>1739</v>
      </c>
      <c r="E77" s="31">
        <v>5836</v>
      </c>
      <c r="F77" s="31">
        <v>1318</v>
      </c>
      <c r="G77" s="31">
        <v>1441</v>
      </c>
      <c r="H77" s="27">
        <f>C76</f>
        <v>1549</v>
      </c>
      <c r="I77" s="2"/>
      <c r="J77" s="2"/>
    </row>
    <row r="78">
      <c r="A78" s="3"/>
      <c r="B78" s="45" t="s">
        <v>79</v>
      </c>
      <c r="C78" s="6">
        <f>IFERROR(C76/C77-1,"n/a")</f>
        <v>0.0032383419689119286</v>
      </c>
      <c r="D78" s="6">
        <f>IFERROR(D76/D77-1,"n/a")</f>
        <v>0.6589994249568718</v>
      </c>
      <c r="E78" s="6">
        <f>IFERROR(E76/E77-1,"n/a")</f>
        <v>0.23252227553118576</v>
      </c>
      <c r="F78" s="6">
        <f>IFERROR(F76/F77-1,"n/a")</f>
        <v>-0.09559939301972686</v>
      </c>
      <c r="G78" s="6">
        <f>IFERROR(G76/G77-1,"n/a")</f>
        <v>0.03400416377515625</v>
      </c>
      <c r="H78" s="50">
        <f>IFERROR(H76/C76-1,"n/a")</f>
        <v>0.06160829567462889</v>
      </c>
      <c r="I78" s="2"/>
      <c r="J78" s="2"/>
    </row>
    <row r="79">
      <c r="A79" s="3"/>
      <c r="B79" s="28" t="s">
        <v>288</v>
      </c>
      <c r="C79" s="47">
        <f>C76/C10</f>
        <v>3.741545893719807</v>
      </c>
      <c r="D79" s="47">
        <f>D76/D10</f>
        <v>6.804245283018868</v>
      </c>
      <c r="E79" s="47">
        <f>E76/E10</f>
        <v>4.333132530120482</v>
      </c>
      <c r="F79" s="47">
        <f>F76/F10</f>
        <v>3.112271540469974</v>
      </c>
      <c r="G79" s="47">
        <f>G76/G10</f>
        <v>3.850129198966408</v>
      </c>
      <c r="H79" s="74">
        <f>H76/H10</f>
        <v>4.27125</v>
      </c>
      <c r="I79" s="2"/>
      <c r="J79" s="2"/>
    </row>
    <row r="80">
      <c r="A80" s="3"/>
      <c r="B80" s="25" t="s">
        <v>248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20">
        <v>0</v>
      </c>
      <c r="I80" s="2"/>
      <c r="J80" s="2"/>
    </row>
    <row r="81">
      <c r="A81" s="3"/>
      <c r="B81" s="25" t="s">
        <v>249</v>
      </c>
      <c r="C81" s="31">
        <v>0</v>
      </c>
      <c r="D81" s="31">
        <v>-1457</v>
      </c>
      <c r="E81" s="31">
        <v>-1457</v>
      </c>
      <c r="F81" s="31">
        <v>-8</v>
      </c>
      <c r="G81" s="31">
        <v>0</v>
      </c>
      <c r="H81" s="20">
        <v>0</v>
      </c>
      <c r="I81" s="2"/>
      <c r="J81" s="2"/>
    </row>
    <row r="82">
      <c r="A82" s="3"/>
      <c r="B82" s="25" t="s">
        <v>268</v>
      </c>
      <c r="C82" s="31">
        <v>0</v>
      </c>
      <c r="D82" s="31">
        <v>389</v>
      </c>
      <c r="E82" s="31">
        <v>389</v>
      </c>
      <c r="F82" s="31">
        <v>0</v>
      </c>
      <c r="G82" s="31">
        <v>0</v>
      </c>
      <c r="H82" s="20">
        <v>0</v>
      </c>
      <c r="I82" s="2"/>
      <c r="J82" s="2"/>
    </row>
    <row r="83">
      <c r="A83" s="3"/>
      <c r="B83" s="23" t="s">
        <v>289</v>
      </c>
      <c r="C83" s="8">
        <f>C76+C80+C81+C82</f>
        <v>1549</v>
      </c>
      <c r="D83" s="8">
        <f>D76+D80+D81+D82</f>
        <v>1817</v>
      </c>
      <c r="E83" s="8">
        <f>E76+E80+E81+E82</f>
        <v>6125</v>
      </c>
      <c r="F83" s="8">
        <f>F76+F80+F81+F82</f>
        <v>1184</v>
      </c>
      <c r="G83" s="8">
        <f>G76+G80+G81+G82</f>
        <v>1490</v>
      </c>
      <c r="H83" s="29">
        <f>H76+H80+H81+H82</f>
        <v>1644.43125</v>
      </c>
      <c r="I83" s="2"/>
      <c r="J83" s="2"/>
    </row>
    <row r="84">
      <c r="A84" s="3"/>
      <c r="B84" s="58" t="s">
        <v>253</v>
      </c>
      <c r="C84" s="6">
        <f>C83/C21</f>
        <v>0.03903828221477356</v>
      </c>
      <c r="D84" s="6">
        <f>D83/D21</f>
        <v>0.04382960247008877</v>
      </c>
      <c r="E84" s="6">
        <f>E83/E21</f>
        <v>0.03958610705375955</v>
      </c>
      <c r="F84" s="6">
        <f>F83/F21</f>
        <v>0.03313185583165435</v>
      </c>
      <c r="G84" s="6">
        <f>G83/G21</f>
        <v>0.03891152198892719</v>
      </c>
      <c r="H84" s="50">
        <f>H83/H21</f>
        <v>0.0425</v>
      </c>
      <c r="I84" s="2"/>
      <c r="J84" s="2"/>
    </row>
    <row r="85">
      <c r="A85" s="3"/>
      <c r="B85" s="45" t="s">
        <v>91</v>
      </c>
      <c r="C85" s="24" t="s">
        <v>53</v>
      </c>
      <c r="D85" s="24">
        <f>IFERROR((D84-C84)*10000,"n/a")</f>
        <v>47.91320255315208</v>
      </c>
      <c r="E85" s="24" t="s">
        <v>53</v>
      </c>
      <c r="F85" s="24">
        <f>IFERROR((F84-D84)*10000,"n/a")</f>
        <v>-106.97746638434417</v>
      </c>
      <c r="G85" s="24">
        <f>IFERROR((G84-F84)*10000,"n/a")</f>
        <v>57.79666157272836</v>
      </c>
      <c r="H85" s="66">
        <f>IFERROR((H84-G84)*10000,"n/a")</f>
        <v>35.88478011072815</v>
      </c>
      <c r="I85" s="2"/>
      <c r="J85" s="2"/>
    </row>
    <row r="86">
      <c r="A86" s="3"/>
      <c r="B86" s="45" t="s">
        <v>92</v>
      </c>
      <c r="C86" s="24" t="s">
        <v>53</v>
      </c>
      <c r="D86" s="24" t="s">
        <v>53</v>
      </c>
      <c r="E86" s="24" t="s">
        <v>53</v>
      </c>
      <c r="F86" s="24" t="s">
        <v>53</v>
      </c>
      <c r="G86" s="24" t="s">
        <v>53</v>
      </c>
      <c r="H86" s="66">
        <f>(H84-C84)*10000</f>
        <v>34.617177852264426</v>
      </c>
      <c r="I86" s="2"/>
      <c r="J86" s="2"/>
    </row>
    <row r="87">
      <c r="A87" s="3"/>
      <c r="B87" s="3"/>
      <c r="C87" s="3"/>
      <c r="D87" s="3"/>
      <c r="E87" s="3"/>
      <c r="F87" s="3"/>
      <c r="G87" s="3"/>
      <c r="H87" s="13"/>
      <c r="I87" s="2"/>
      <c r="J87" s="2"/>
    </row>
    <row r="88">
      <c r="A88" s="3"/>
      <c r="B88" s="3"/>
      <c r="C88" s="3"/>
      <c r="D88" s="3"/>
      <c r="E88" s="3"/>
      <c r="F88" s="3"/>
      <c r="G88" s="3"/>
      <c r="H88" s="13"/>
      <c r="I88" s="2"/>
      <c r="J88" s="2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14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290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291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28" t="s">
        <v>292</v>
      </c>
      <c r="C10" s="78">
        <f>C13/'Segment - UnitedHealthcare'!C202</f>
        <v>1.0219248880211325</v>
      </c>
      <c r="D10" s="78">
        <f>D13/'Segment - UnitedHealthcare'!D202</f>
        <v>1.019491924282254</v>
      </c>
      <c r="E10" s="78">
        <f>E13/'Segment - UnitedHealthcare'!E202</f>
        <v>1.0212407546469586</v>
      </c>
      <c r="F10" s="78">
        <f>F13/'Segment - UnitedHealthcare'!F202</f>
        <v>1.0150234741784037</v>
      </c>
      <c r="G10" s="78">
        <f>G13/'Segment - UnitedHealthcare'!G202</f>
        <v>1.0109164467488985</v>
      </c>
      <c r="H10" s="88">
        <v>1.0105</v>
      </c>
      <c r="I10" s="2" t="s">
        <v>293</v>
      </c>
      <c r="J10" s="2"/>
    </row>
    <row r="11">
      <c r="A11" s="3"/>
      <c r="B11" s="75" t="s">
        <v>294</v>
      </c>
      <c r="C11" s="77" t="s">
        <v>53</v>
      </c>
      <c r="D11" s="77">
        <f>IFERROR(D10-C10,"n/a")</f>
        <v>-0.0024329637388784686</v>
      </c>
      <c r="E11" s="77" t="s">
        <v>53</v>
      </c>
      <c r="F11" s="77">
        <f>IFERROR(F10-D10,"n/a")</f>
        <v>-0.00446845010385033</v>
      </c>
      <c r="G11" s="77">
        <f>IFERROR(G10-F10,"n/a")</f>
        <v>-0.0041070274295051945</v>
      </c>
      <c r="H11" s="87">
        <f>IFERROR(H10-G10,"n/a")</f>
        <v>-0.0004164467488985135</v>
      </c>
      <c r="I11" s="2"/>
      <c r="J11" s="2"/>
    </row>
    <row r="12">
      <c r="A12" s="3"/>
      <c r="B12" s="75" t="s">
        <v>295</v>
      </c>
      <c r="C12" s="77" t="s">
        <v>53</v>
      </c>
      <c r="D12" s="77" t="s">
        <v>53</v>
      </c>
      <c r="E12" s="77" t="s">
        <v>53</v>
      </c>
      <c r="F12" s="77" t="s">
        <v>53</v>
      </c>
      <c r="G12" s="77" t="s">
        <v>53</v>
      </c>
      <c r="H12" s="87">
        <f>H10-C10</f>
        <v>-0.011424888021132507</v>
      </c>
      <c r="I12" s="2"/>
      <c r="J12" s="2"/>
    </row>
    <row r="13">
      <c r="A13" s="3"/>
      <c r="B13" s="25" t="s">
        <v>194</v>
      </c>
      <c r="C13" s="31">
        <v>88979</v>
      </c>
      <c r="D13" s="31">
        <v>88811</v>
      </c>
      <c r="E13" s="31">
        <v>352229</v>
      </c>
      <c r="F13" s="31">
        <v>87561</v>
      </c>
      <c r="G13" s="31">
        <v>86956</v>
      </c>
      <c r="H13" s="12">
        <f>'Segment - UnitedHealthcare'!H202*H10</f>
        <v>86559.86704124999</v>
      </c>
      <c r="I13" s="2" t="s">
        <v>296</v>
      </c>
      <c r="J13" s="2"/>
    </row>
    <row r="14">
      <c r="A14" s="3"/>
      <c r="B14" s="75" t="s">
        <v>297</v>
      </c>
      <c r="C14" s="31">
        <v>77442</v>
      </c>
      <c r="D14" s="31">
        <v>76483</v>
      </c>
      <c r="E14" s="31">
        <v>308810</v>
      </c>
      <c r="F14" s="31">
        <v>86534</v>
      </c>
      <c r="G14" s="31">
        <v>87905</v>
      </c>
      <c r="H14" s="27">
        <f>C13</f>
        <v>88979</v>
      </c>
      <c r="I14" s="2"/>
      <c r="J14" s="2"/>
    </row>
    <row r="15">
      <c r="A15" s="3"/>
      <c r="B15" s="19" t="s">
        <v>79</v>
      </c>
      <c r="C15" s="6">
        <f>IFERROR(C13/C14-1,"n/a")</f>
        <v>0.14897600785103693</v>
      </c>
      <c r="D15" s="6">
        <f>IFERROR(D13/D14-1,"n/a")</f>
        <v>0.16118614594092806</v>
      </c>
      <c r="E15" s="6">
        <f>IFERROR(E13/E14-1,"n/a")</f>
        <v>0.14060101680645065</v>
      </c>
      <c r="F15" s="6">
        <f>IFERROR(F13/F14-1,"n/a")</f>
        <v>0.011868167425520548</v>
      </c>
      <c r="G15" s="6">
        <f>IFERROR(G13/G14-1,"n/a")</f>
        <v>-0.010795745406973478</v>
      </c>
      <c r="H15" s="50">
        <f>IFERROR(H13/C13-1,"n/a")</f>
        <v>-0.027187684271007817</v>
      </c>
      <c r="I15" s="2"/>
      <c r="J15" s="2"/>
    </row>
    <row r="16">
      <c r="A16" s="3"/>
      <c r="B16" s="19" t="s">
        <v>80</v>
      </c>
      <c r="C16" s="6" t="s">
        <v>53</v>
      </c>
      <c r="D16" s="6">
        <f>IFERROR(D13/C13-1,"n/a")</f>
        <v>-0.0018880859528652705</v>
      </c>
      <c r="E16" s="6" t="s">
        <v>53</v>
      </c>
      <c r="F16" s="6">
        <f>IFERROR(F13/D13-1,"n/a")</f>
        <v>-0.014074833072479809</v>
      </c>
      <c r="G16" s="6">
        <f>IFERROR(G13/F13-1,"n/a")</f>
        <v>-0.00690946882744603</v>
      </c>
      <c r="H16" s="50">
        <f>IFERROR(H13/G13-1,"n/a")</f>
        <v>-0.004555556358963209</v>
      </c>
      <c r="I16" s="2"/>
      <c r="J16" s="2"/>
    </row>
    <row r="17">
      <c r="A17" s="3"/>
      <c r="B17" s="19" t="s">
        <v>82</v>
      </c>
      <c r="C17" s="6" t="s">
        <v>94</v>
      </c>
      <c r="D17" s="6" t="s">
        <v>94</v>
      </c>
      <c r="E17" s="6" t="s">
        <v>94</v>
      </c>
      <c r="F17" s="6" t="s">
        <v>94</v>
      </c>
      <c r="G17" s="6" t="s">
        <v>94</v>
      </c>
      <c r="H17" s="50" t="s">
        <v>94</v>
      </c>
      <c r="I17" s="2" t="s">
        <v>169</v>
      </c>
      <c r="J17" s="2"/>
    </row>
    <row r="18">
      <c r="A18" s="3"/>
      <c r="B18" s="19" t="s">
        <v>83</v>
      </c>
      <c r="C18" s="6" t="s">
        <v>94</v>
      </c>
      <c r="D18" s="6" t="s">
        <v>94</v>
      </c>
      <c r="E18" s="6" t="s">
        <v>94</v>
      </c>
      <c r="F18" s="6" t="s">
        <v>94</v>
      </c>
      <c r="G18" s="6" t="s">
        <v>94</v>
      </c>
      <c r="H18" s="50" t="s">
        <v>94</v>
      </c>
      <c r="I18" s="2" t="s">
        <v>111</v>
      </c>
      <c r="J18" s="2"/>
    </row>
    <row r="19">
      <c r="A19" s="3"/>
      <c r="B19" s="19" t="s">
        <v>84</v>
      </c>
      <c r="C19" s="6" t="str">
        <f>IF(OR(ISTEXT(C15),ISTEXT(C17),ISTEXT(C18)),"n/d",(1+C15)/((1+C17)*(1+C18))-1)</f>
        <v>n/d</v>
      </c>
      <c r="D19" s="6" t="str">
        <f>IF(OR(ISTEXT(D15),ISTEXT(D17),ISTEXT(D18)),"n/d",(1+D15)/((1+D17)*(1+D18))-1)</f>
        <v>n/d</v>
      </c>
      <c r="E19" s="6" t="str">
        <f>IF(OR(ISTEXT(E15),ISTEXT(E17),ISTEXT(E18)),"n/d",(1+E15)/((1+E17)*(1+E18))-1)</f>
        <v>n/d</v>
      </c>
      <c r="F19" s="6" t="str">
        <f>IF(OR(ISTEXT(F15),ISTEXT(F17),ISTEXT(F18)),"n/d",(1+F15)/((1+F17)*(1+F18))-1)</f>
        <v>n/d</v>
      </c>
      <c r="G19" s="6" t="str">
        <f>IF(OR(ISTEXT(G15),ISTEXT(G17),ISTEXT(G18)),"n/d",(1+G15)/((1+G17)*(1+G18))-1)</f>
        <v>n/d</v>
      </c>
      <c r="H19" s="50" t="str">
        <f>IF(OR(ISTEXT(H15),ISTEXT(H17),ISTEXT(H18)),"n/d",(1+H15)/((1+H17)*(1+H18))-1)</f>
        <v>n/d</v>
      </c>
      <c r="I19" s="2" t="s">
        <v>102</v>
      </c>
      <c r="J19" s="2"/>
    </row>
    <row r="20">
      <c r="A20" s="3"/>
      <c r="B20" s="19" t="s">
        <v>85</v>
      </c>
      <c r="C20" s="6">
        <f>C15</f>
        <v>0.14897600785103693</v>
      </c>
      <c r="D20" s="6">
        <f>D15</f>
        <v>0.16118614594092806</v>
      </c>
      <c r="E20" s="6">
        <f>E15</f>
        <v>0.14060101680645065</v>
      </c>
      <c r="F20" s="6">
        <f>F15</f>
        <v>0.011868167425520548</v>
      </c>
      <c r="G20" s="6">
        <f>G15</f>
        <v>-0.010795745406973478</v>
      </c>
      <c r="H20" s="50">
        <f>H15</f>
        <v>-0.027187684271007817</v>
      </c>
      <c r="I20" s="2"/>
      <c r="J20" s="2"/>
    </row>
    <row r="21">
      <c r="A21" s="3"/>
      <c r="B21" s="45" t="s">
        <v>298</v>
      </c>
      <c r="C21" s="38">
        <f>C24/'Segment - Optum Rx'!C21</f>
        <v>0.33508908994682324</v>
      </c>
      <c r="D21" s="38">
        <f>D24/'Segment - Optum Rx'!D21</f>
        <v>0.32526051717483595</v>
      </c>
      <c r="E21" s="38">
        <f>E24/'Segment - Optum Rx'!E21</f>
        <v>0.3449969623721934</v>
      </c>
      <c r="F21" s="38">
        <f>F24/'Segment - Optum Rx'!F21</f>
        <v>0.3707745690620103</v>
      </c>
      <c r="G21" s="38">
        <f>G24/'Segment - Optum Rx'!G21</f>
        <v>0.36130262195758905</v>
      </c>
      <c r="H21" s="67">
        <v>0.351</v>
      </c>
      <c r="I21" s="2" t="s">
        <v>299</v>
      </c>
      <c r="J21" s="2"/>
    </row>
    <row r="22">
      <c r="A22" s="3"/>
      <c r="B22" s="19" t="s">
        <v>91</v>
      </c>
      <c r="C22" s="24" t="s">
        <v>53</v>
      </c>
      <c r="D22" s="24">
        <f>IFERROR((D21-C21)*10000,"n/a")</f>
        <v>-98.28572771987287</v>
      </c>
      <c r="E22" s="24" t="s">
        <v>53</v>
      </c>
      <c r="F22" s="24">
        <f>IFERROR((F21-D21)*10000,"n/a")</f>
        <v>455.1405188717433</v>
      </c>
      <c r="G22" s="24">
        <f>IFERROR((G21-F21)*10000,"n/a")</f>
        <v>-94.7194710442123</v>
      </c>
      <c r="H22" s="66">
        <f>IFERROR((H21-G21)*10000,"n/a")</f>
        <v>-103.02621957589075</v>
      </c>
      <c r="I22" s="2"/>
      <c r="J22" s="2"/>
    </row>
    <row r="23">
      <c r="A23" s="3"/>
      <c r="B23" s="19" t="s">
        <v>92</v>
      </c>
      <c r="C23" s="84">
        <f>IFERROR((C21-C25/'Segment - Optum Rx'!C22)*10000,"n/a")</f>
        <v>-341.62817557488734</v>
      </c>
      <c r="D23" s="84">
        <f>IFERROR((D21-D25/'Segment - Optum Rx'!D22)*10000,"n/a")</f>
        <v>-514.0969023836917</v>
      </c>
      <c r="E23" s="84">
        <f>IFERROR((E21-E25/'Segment - Optum Rx'!E22)*10000,"n/a")</f>
        <v>-319.8737310528554</v>
      </c>
      <c r="F23" s="84">
        <f>IFERROR((F21-F25/'Segment - Optum Rx'!F22)*10000,"n/a")</f>
        <v>-2.831560888493234</v>
      </c>
      <c r="G23" s="84">
        <f>IFERROR((G21-G25/'Segment - Optum Rx'!G22)*10000,"n/a")</f>
        <v>86.15344597283247</v>
      </c>
      <c r="H23" s="66">
        <f>(H21-C21)*10000</f>
        <v>159.1091005317674</v>
      </c>
      <c r="I23" s="2"/>
      <c r="J23" s="2"/>
    </row>
    <row r="24">
      <c r="A24" s="3"/>
      <c r="B24" s="25" t="s">
        <v>300</v>
      </c>
      <c r="C24" s="31">
        <v>13296</v>
      </c>
      <c r="D24" s="31">
        <v>13484</v>
      </c>
      <c r="E24" s="31">
        <v>53380</v>
      </c>
      <c r="F24" s="31">
        <v>13250</v>
      </c>
      <c r="G24" s="31">
        <v>13835</v>
      </c>
      <c r="H24" s="12">
        <f>'Segment - Optum Rx'!H21*H21</f>
        <v>13581.0675</v>
      </c>
      <c r="I24" s="2"/>
      <c r="J24" s="2"/>
    </row>
    <row r="25">
      <c r="A25" s="3"/>
      <c r="B25" s="75" t="s">
        <v>301</v>
      </c>
      <c r="C25" s="31">
        <v>12631</v>
      </c>
      <c r="D25" s="31">
        <v>13475</v>
      </c>
      <c r="E25" s="31">
        <v>50226</v>
      </c>
      <c r="F25" s="31">
        <v>13036</v>
      </c>
      <c r="G25" s="31">
        <v>13564</v>
      </c>
      <c r="H25" s="27">
        <f>C24</f>
        <v>13296</v>
      </c>
      <c r="I25" s="2"/>
      <c r="J25" s="2"/>
    </row>
    <row r="26">
      <c r="A26" s="3"/>
      <c r="B26" s="19" t="s">
        <v>79</v>
      </c>
      <c r="C26" s="6">
        <f>IFERROR(C24/C25-1,"n/a")</f>
        <v>0.05264824637795895</v>
      </c>
      <c r="D26" s="6">
        <f>IFERROR(D24/D25-1,"n/a")</f>
        <v>0.0006679035250463095</v>
      </c>
      <c r="E26" s="6">
        <f>IFERROR(E24/E25-1,"n/a")</f>
        <v>0.06279616135069488</v>
      </c>
      <c r="F26" s="6">
        <f>IFERROR(F24/F25-1,"n/a")</f>
        <v>0.016416078551702906</v>
      </c>
      <c r="G26" s="6">
        <f>IFERROR(G24/G25-1,"n/a")</f>
        <v>0.019979357121792995</v>
      </c>
      <c r="H26" s="50">
        <f>IFERROR(H24/C24-1,"n/a")</f>
        <v>0.02144009476534281</v>
      </c>
      <c r="I26" s="2"/>
      <c r="J26" s="2"/>
    </row>
    <row r="27">
      <c r="A27" s="3"/>
      <c r="B27" s="19" t="s">
        <v>80</v>
      </c>
      <c r="C27" s="6" t="s">
        <v>53</v>
      </c>
      <c r="D27" s="6">
        <f>IFERROR(D24/C24-1,"n/a")</f>
        <v>0.014139590854392203</v>
      </c>
      <c r="E27" s="6" t="s">
        <v>53</v>
      </c>
      <c r="F27" s="6">
        <f>IFERROR(F24/D24-1,"n/a")</f>
        <v>-0.017353900919608423</v>
      </c>
      <c r="G27" s="6">
        <f>IFERROR(G24/F24-1,"n/a")</f>
        <v>0.04415094339622638</v>
      </c>
      <c r="H27" s="50">
        <f>IFERROR(H24/G24-1,"n/a")</f>
        <v>-0.018354354897000436</v>
      </c>
      <c r="I27" s="2"/>
      <c r="J27" s="2"/>
    </row>
    <row r="28">
      <c r="A28" s="3"/>
      <c r="B28" s="19" t="s">
        <v>82</v>
      </c>
      <c r="C28" s="6" t="s">
        <v>94</v>
      </c>
      <c r="D28" s="6" t="s">
        <v>94</v>
      </c>
      <c r="E28" s="6" t="s">
        <v>94</v>
      </c>
      <c r="F28" s="6" t="s">
        <v>94</v>
      </c>
      <c r="G28" s="6" t="s">
        <v>94</v>
      </c>
      <c r="H28" s="50" t="s">
        <v>94</v>
      </c>
      <c r="I28" s="2" t="s">
        <v>169</v>
      </c>
      <c r="J28" s="2"/>
    </row>
    <row r="29">
      <c r="A29" s="3"/>
      <c r="B29" s="19" t="s">
        <v>83</v>
      </c>
      <c r="C29" s="6" t="s">
        <v>94</v>
      </c>
      <c r="D29" s="6" t="s">
        <v>94</v>
      </c>
      <c r="E29" s="6" t="s">
        <v>94</v>
      </c>
      <c r="F29" s="6" t="s">
        <v>94</v>
      </c>
      <c r="G29" s="6" t="s">
        <v>94</v>
      </c>
      <c r="H29" s="50" t="s">
        <v>94</v>
      </c>
      <c r="I29" s="2" t="s">
        <v>111</v>
      </c>
      <c r="J29" s="2"/>
    </row>
    <row r="30">
      <c r="A30" s="3"/>
      <c r="B30" s="19" t="s">
        <v>84</v>
      </c>
      <c r="C30" s="6" t="str">
        <f>IF(OR(ISTEXT(C26),ISTEXT(C28),ISTEXT(C29)),"n/d",(1+C26)/((1+C28)*(1+C29))-1)</f>
        <v>n/d</v>
      </c>
      <c r="D30" s="6" t="str">
        <f>IF(OR(ISTEXT(D26),ISTEXT(D28),ISTEXT(D29)),"n/d",(1+D26)/((1+D28)*(1+D29))-1)</f>
        <v>n/d</v>
      </c>
      <c r="E30" s="6" t="str">
        <f>IF(OR(ISTEXT(E26),ISTEXT(E28),ISTEXT(E29)),"n/d",(1+E26)/((1+E28)*(1+E29))-1)</f>
        <v>n/d</v>
      </c>
      <c r="F30" s="6" t="str">
        <f>IF(OR(ISTEXT(F26),ISTEXT(F28),ISTEXT(F29)),"n/d",(1+F26)/((1+F28)*(1+F29))-1)</f>
        <v>n/d</v>
      </c>
      <c r="G30" s="6" t="str">
        <f>IF(OR(ISTEXT(G26),ISTEXT(G28),ISTEXT(G29)),"n/d",(1+G26)/((1+G28)*(1+G29))-1)</f>
        <v>n/d</v>
      </c>
      <c r="H30" s="50" t="str">
        <f>IF(OR(ISTEXT(H26),ISTEXT(H28),ISTEXT(H29)),"n/d",(1+H26)/((1+H28)*(1+H29))-1)</f>
        <v>n/d</v>
      </c>
      <c r="I30" s="2" t="s">
        <v>102</v>
      </c>
      <c r="J30" s="2"/>
    </row>
    <row r="31">
      <c r="A31" s="3"/>
      <c r="B31" s="19" t="s">
        <v>85</v>
      </c>
      <c r="C31" s="6">
        <f>C26</f>
        <v>0.05264824637795895</v>
      </c>
      <c r="D31" s="6">
        <f>D26</f>
        <v>0.0006679035250463095</v>
      </c>
      <c r="E31" s="6">
        <f>E26</f>
        <v>0.06279616135069488</v>
      </c>
      <c r="F31" s="6">
        <f>F26</f>
        <v>0.016416078551702906</v>
      </c>
      <c r="G31" s="6">
        <f>G26</f>
        <v>0.019979357121792995</v>
      </c>
      <c r="H31" s="50">
        <f>H26</f>
        <v>0.02144009476534281</v>
      </c>
      <c r="I31" s="2"/>
      <c r="J31" s="2"/>
    </row>
    <row r="32">
      <c r="A32" s="3"/>
      <c r="B32" s="25" t="s">
        <v>198</v>
      </c>
      <c r="C32" s="31">
        <v>9754</v>
      </c>
      <c r="D32" s="31">
        <v>10273</v>
      </c>
      <c r="E32" s="31">
        <v>38038</v>
      </c>
      <c r="F32" s="31">
        <v>9779</v>
      </c>
      <c r="G32" s="31">
        <v>10018</v>
      </c>
      <c r="H32" s="27">
        <f>H48-H13-H24-H40</f>
        <v>10523.948944750015</v>
      </c>
      <c r="I32" s="2" t="s">
        <v>302</v>
      </c>
      <c r="J32" s="2"/>
    </row>
    <row r="33">
      <c r="A33" s="3"/>
      <c r="B33" s="75" t="s">
        <v>303</v>
      </c>
      <c r="C33" s="31">
        <v>9104</v>
      </c>
      <c r="D33" s="31">
        <v>9298</v>
      </c>
      <c r="E33" s="31">
        <v>36040</v>
      </c>
      <c r="F33" s="31">
        <v>8972</v>
      </c>
      <c r="G33" s="31">
        <v>9039</v>
      </c>
      <c r="H33" s="27">
        <f>C32</f>
        <v>9754</v>
      </c>
      <c r="I33" s="2"/>
      <c r="J33" s="2"/>
    </row>
    <row r="34">
      <c r="A34" s="3"/>
      <c r="B34" s="19" t="s">
        <v>79</v>
      </c>
      <c r="C34" s="6">
        <f>IFERROR(C32/C33-1,"n/a")</f>
        <v>0.07139718804920925</v>
      </c>
      <c r="D34" s="6">
        <f>IFERROR(D32/D33-1,"n/a")</f>
        <v>0.1048612604861261</v>
      </c>
      <c r="E34" s="6">
        <f>IFERROR(E32/E33-1,"n/a")</f>
        <v>0.055438401775804724</v>
      </c>
      <c r="F34" s="6">
        <f>IFERROR(F32/F33-1,"n/a")</f>
        <v>0.08994650022291584</v>
      </c>
      <c r="G34" s="6">
        <f>IFERROR(G32/G33-1,"n/a")</f>
        <v>0.10830844119924765</v>
      </c>
      <c r="H34" s="50">
        <f>IFERROR(H32/C32-1,"n/a")</f>
        <v>0.07893673823559721</v>
      </c>
      <c r="I34" s="2"/>
      <c r="J34" s="2"/>
    </row>
    <row r="35">
      <c r="A35" s="3"/>
      <c r="B35" s="19" t="s">
        <v>80</v>
      </c>
      <c r="C35" s="6" t="s">
        <v>53</v>
      </c>
      <c r="D35" s="6">
        <f>IFERROR(D32/C32-1,"n/a")</f>
        <v>0.0532089399220832</v>
      </c>
      <c r="E35" s="6" t="s">
        <v>53</v>
      </c>
      <c r="F35" s="6">
        <f>IFERROR(F32/D32-1,"n/a")</f>
        <v>-0.048087218923391406</v>
      </c>
      <c r="G35" s="6">
        <f>IFERROR(G32/F32-1,"n/a")</f>
        <v>0.02444012680233154</v>
      </c>
      <c r="H35" s="50">
        <f>IFERROR(H32/G32-1,"n/a")</f>
        <v>0.050503987297865205</v>
      </c>
      <c r="I35" s="2"/>
      <c r="J35" s="2"/>
    </row>
    <row r="36">
      <c r="A36" s="3"/>
      <c r="B36" s="19" t="s">
        <v>82</v>
      </c>
      <c r="C36" s="6" t="s">
        <v>94</v>
      </c>
      <c r="D36" s="6" t="s">
        <v>94</v>
      </c>
      <c r="E36" s="6" t="s">
        <v>94</v>
      </c>
      <c r="F36" s="6" t="s">
        <v>94</v>
      </c>
      <c r="G36" s="6" t="s">
        <v>94</v>
      </c>
      <c r="H36" s="50" t="s">
        <v>94</v>
      </c>
      <c r="I36" s="2" t="s">
        <v>169</v>
      </c>
      <c r="J36" s="2"/>
    </row>
    <row r="37">
      <c r="A37" s="3"/>
      <c r="B37" s="19" t="s">
        <v>83</v>
      </c>
      <c r="C37" s="6" t="s">
        <v>94</v>
      </c>
      <c r="D37" s="6" t="s">
        <v>94</v>
      </c>
      <c r="E37" s="6" t="s">
        <v>94</v>
      </c>
      <c r="F37" s="6" t="s">
        <v>94</v>
      </c>
      <c r="G37" s="6" t="s">
        <v>94</v>
      </c>
      <c r="H37" s="50" t="s">
        <v>94</v>
      </c>
      <c r="I37" s="2" t="s">
        <v>111</v>
      </c>
      <c r="J37" s="2"/>
    </row>
    <row r="38">
      <c r="A38" s="3"/>
      <c r="B38" s="19" t="s">
        <v>84</v>
      </c>
      <c r="C38" s="6" t="str">
        <f>IF(OR(ISTEXT(C34),ISTEXT(C36),ISTEXT(C37)),"n/d",(1+C34)/((1+C36)*(1+C37))-1)</f>
        <v>n/d</v>
      </c>
      <c r="D38" s="6" t="str">
        <f>IF(OR(ISTEXT(D34),ISTEXT(D36),ISTEXT(D37)),"n/d",(1+D34)/((1+D36)*(1+D37))-1)</f>
        <v>n/d</v>
      </c>
      <c r="E38" s="6" t="str">
        <f>IF(OR(ISTEXT(E34),ISTEXT(E36),ISTEXT(E37)),"n/d",(1+E34)/((1+E36)*(1+E37))-1)</f>
        <v>n/d</v>
      </c>
      <c r="F38" s="6" t="str">
        <f>IF(OR(ISTEXT(F34),ISTEXT(F36),ISTEXT(F37)),"n/d",(1+F34)/((1+F36)*(1+F37))-1)</f>
        <v>n/d</v>
      </c>
      <c r="G38" s="6" t="str">
        <f>IF(OR(ISTEXT(G34),ISTEXT(G36),ISTEXT(G37)),"n/d",(1+G34)/((1+G36)*(1+G37))-1)</f>
        <v>n/d</v>
      </c>
      <c r="H38" s="50" t="str">
        <f>IF(OR(ISTEXT(H34),ISTEXT(H36),ISTEXT(H37)),"n/d",(1+H34)/((1+H36)*(1+H37))-1)</f>
        <v>n/d</v>
      </c>
      <c r="I38" s="2" t="s">
        <v>102</v>
      </c>
      <c r="J38" s="2"/>
    </row>
    <row r="39">
      <c r="A39" s="3"/>
      <c r="B39" s="19" t="s">
        <v>85</v>
      </c>
      <c r="C39" s="6">
        <f>C34</f>
        <v>0.07139718804920925</v>
      </c>
      <c r="D39" s="6">
        <f>D34</f>
        <v>0.1048612604861261</v>
      </c>
      <c r="E39" s="6">
        <f>E34</f>
        <v>0.055438401775804724</v>
      </c>
      <c r="F39" s="6">
        <f>F34</f>
        <v>0.08994650022291584</v>
      </c>
      <c r="G39" s="6">
        <f>G34</f>
        <v>0.10830844119924765</v>
      </c>
      <c r="H39" s="50">
        <f>H34</f>
        <v>0.07893673823559721</v>
      </c>
      <c r="I39" s="2"/>
      <c r="J39" s="2"/>
    </row>
    <row r="40" ht="66">
      <c r="A40" s="3"/>
      <c r="B40" s="25" t="s">
        <v>200</v>
      </c>
      <c r="C40" s="31">
        <v>1132</v>
      </c>
      <c r="D40" s="31">
        <v>647</v>
      </c>
      <c r="E40" s="31">
        <v>3920</v>
      </c>
      <c r="F40" s="31">
        <v>1131</v>
      </c>
      <c r="G40" s="31">
        <v>1223</v>
      </c>
      <c r="H40" s="20">
        <v>1190</v>
      </c>
      <c r="I40" s="105" t="s">
        <v>304</v>
      </c>
      <c r="J40" s="2"/>
    </row>
    <row r="41">
      <c r="A41" s="3"/>
      <c r="B41" s="75" t="s">
        <v>305</v>
      </c>
      <c r="C41" s="31">
        <v>1643</v>
      </c>
      <c r="D41" s="31">
        <v>1551</v>
      </c>
      <c r="E41" s="31">
        <v>5202</v>
      </c>
      <c r="F41" s="31">
        <v>1033</v>
      </c>
      <c r="G41" s="31">
        <v>1108</v>
      </c>
      <c r="H41" s="27">
        <f>C40</f>
        <v>1132</v>
      </c>
      <c r="I41" s="2"/>
      <c r="J41" s="2"/>
    </row>
    <row r="42">
      <c r="A42" s="3"/>
      <c r="B42" s="19" t="s">
        <v>79</v>
      </c>
      <c r="C42" s="6">
        <f>IFERROR(C40/C41-1,"n/a")</f>
        <v>-0.3110164333536214</v>
      </c>
      <c r="D42" s="6">
        <f>IFERROR(D40/D41-1,"n/a")</f>
        <v>-0.5828497743391361</v>
      </c>
      <c r="E42" s="6">
        <f>IFERROR(E40/E41-1,"n/a")</f>
        <v>-0.24644367550941948</v>
      </c>
      <c r="F42" s="6">
        <f>IFERROR(F40/F41-1,"n/a")</f>
        <v>0.09486931268151011</v>
      </c>
      <c r="G42" s="6">
        <f>IFERROR(G40/G41-1,"n/a")</f>
        <v>0.10379061371841147</v>
      </c>
      <c r="H42" s="50">
        <f>IFERROR(H40/C40-1,"n/a")</f>
        <v>0.051236749116607694</v>
      </c>
      <c r="I42" s="2"/>
      <c r="J42" s="2"/>
    </row>
    <row r="43">
      <c r="A43" s="3"/>
      <c r="B43" s="19" t="s">
        <v>80</v>
      </c>
      <c r="C43" s="6" t="s">
        <v>53</v>
      </c>
      <c r="D43" s="6">
        <f>IFERROR(D40/C40-1,"n/a")</f>
        <v>-0.42844522968197885</v>
      </c>
      <c r="E43" s="6" t="s">
        <v>53</v>
      </c>
      <c r="F43" s="6">
        <f>IFERROR(F40/D40-1,"n/a")</f>
        <v>0.7480680061823801</v>
      </c>
      <c r="G43" s="6">
        <f>IFERROR(G40/F40-1,"n/a")</f>
        <v>0.08134394341290885</v>
      </c>
      <c r="H43" s="50">
        <f>IFERROR(H40/G40-1,"n/a")</f>
        <v>-0.02698282910874894</v>
      </c>
      <c r="I43" s="2"/>
      <c r="J43" s="2"/>
    </row>
    <row r="44">
      <c r="A44" s="3"/>
      <c r="B44" s="19" t="s">
        <v>82</v>
      </c>
      <c r="C44" s="6" t="s">
        <v>94</v>
      </c>
      <c r="D44" s="6" t="s">
        <v>94</v>
      </c>
      <c r="E44" s="6" t="s">
        <v>94</v>
      </c>
      <c r="F44" s="6" t="s">
        <v>94</v>
      </c>
      <c r="G44" s="6" t="s">
        <v>94</v>
      </c>
      <c r="H44" s="50" t="s">
        <v>94</v>
      </c>
      <c r="I44" s="2" t="s">
        <v>169</v>
      </c>
      <c r="J44" s="2"/>
    </row>
    <row r="45">
      <c r="A45" s="3"/>
      <c r="B45" s="19" t="s">
        <v>83</v>
      </c>
      <c r="C45" s="6" t="s">
        <v>94</v>
      </c>
      <c r="D45" s="6" t="s">
        <v>94</v>
      </c>
      <c r="E45" s="6" t="s">
        <v>94</v>
      </c>
      <c r="F45" s="6" t="s">
        <v>94</v>
      </c>
      <c r="G45" s="6" t="s">
        <v>94</v>
      </c>
      <c r="H45" s="50" t="s">
        <v>94</v>
      </c>
      <c r="I45" s="2" t="s">
        <v>111</v>
      </c>
      <c r="J45" s="2"/>
    </row>
    <row r="46">
      <c r="A46" s="3"/>
      <c r="B46" s="19" t="s">
        <v>84</v>
      </c>
      <c r="C46" s="6" t="str">
        <f>IF(OR(ISTEXT(C42),ISTEXT(C44),ISTEXT(C45)),"n/d",(1+C42)/((1+C44)*(1+C45))-1)</f>
        <v>n/d</v>
      </c>
      <c r="D46" s="6" t="str">
        <f>IF(OR(ISTEXT(D42),ISTEXT(D44),ISTEXT(D45)),"n/d",(1+D42)/((1+D44)*(1+D45))-1)</f>
        <v>n/d</v>
      </c>
      <c r="E46" s="6" t="str">
        <f>IF(OR(ISTEXT(E42),ISTEXT(E44),ISTEXT(E45)),"n/d",(1+E42)/((1+E44)*(1+E45))-1)</f>
        <v>n/d</v>
      </c>
      <c r="F46" s="6" t="str">
        <f>IF(OR(ISTEXT(F42),ISTEXT(F44),ISTEXT(F45)),"n/d",(1+F42)/((1+F44)*(1+F45))-1)</f>
        <v>n/d</v>
      </c>
      <c r="G46" s="6" t="str">
        <f>IF(OR(ISTEXT(G42),ISTEXT(G44),ISTEXT(G45)),"n/d",(1+G42)/((1+G44)*(1+G45))-1)</f>
        <v>n/d</v>
      </c>
      <c r="H46" s="50" t="str">
        <f>IF(OR(ISTEXT(H42),ISTEXT(H44),ISTEXT(H45)),"n/d",(1+H42)/((1+H44)*(1+H45))-1)</f>
        <v>n/d</v>
      </c>
      <c r="I46" s="2" t="s">
        <v>102</v>
      </c>
      <c r="J46" s="2"/>
    </row>
    <row r="47">
      <c r="A47" s="3"/>
      <c r="B47" s="19" t="s">
        <v>85</v>
      </c>
      <c r="C47" s="6">
        <f>C42</f>
        <v>-0.3110164333536214</v>
      </c>
      <c r="D47" s="6">
        <f>D42</f>
        <v>-0.5828497743391361</v>
      </c>
      <c r="E47" s="6">
        <f>E42</f>
        <v>-0.24644367550941948</v>
      </c>
      <c r="F47" s="6">
        <f>F42</f>
        <v>0.09486931268151011</v>
      </c>
      <c r="G47" s="6">
        <f>G42</f>
        <v>0.10379061371841147</v>
      </c>
      <c r="H47" s="50">
        <f>H42</f>
        <v>0.051236749116607694</v>
      </c>
      <c r="I47" s="2"/>
      <c r="J47" s="2"/>
    </row>
    <row r="48">
      <c r="A48" s="3"/>
      <c r="B48" s="23" t="s">
        <v>306</v>
      </c>
      <c r="C48" s="8">
        <f>C13+C24+C32+C40</f>
        <v>113161</v>
      </c>
      <c r="D48" s="8">
        <f>D13+D24+D32+D40</f>
        <v>113215</v>
      </c>
      <c r="E48" s="8">
        <f>E13+E24+E32+E40</f>
        <v>447567</v>
      </c>
      <c r="F48" s="8">
        <f>F13+F24+F32+F40</f>
        <v>111721</v>
      </c>
      <c r="G48" s="8">
        <f>G13+G24+G32+G40</f>
        <v>112032</v>
      </c>
      <c r="H48" s="64">
        <f>'Revenue summary'!H69</f>
        <v>111854.883486</v>
      </c>
      <c r="I48" s="2" t="s">
        <v>307</v>
      </c>
      <c r="J48" s="2"/>
    </row>
    <row r="49">
      <c r="A49" s="3"/>
      <c r="B49" s="75" t="s">
        <v>308</v>
      </c>
      <c r="C49" s="31">
        <v>100820</v>
      </c>
      <c r="D49" s="31">
        <v>100807</v>
      </c>
      <c r="E49" s="31">
        <v>400278</v>
      </c>
      <c r="F49" s="31">
        <v>109575</v>
      </c>
      <c r="G49" s="31">
        <v>111616</v>
      </c>
      <c r="H49" s="27">
        <f>C48</f>
        <v>113161</v>
      </c>
      <c r="I49" s="2"/>
      <c r="J49" s="2"/>
    </row>
    <row r="50">
      <c r="A50" s="3"/>
      <c r="B50" s="45" t="s">
        <v>79</v>
      </c>
      <c r="C50" s="6">
        <f>IFERROR(C48/C49-1,"n/a")</f>
        <v>0.12240626859750048</v>
      </c>
      <c r="D50" s="6">
        <f>IFERROR(D48/D49-1,"n/a")</f>
        <v>0.12308669040840425</v>
      </c>
      <c r="E50" s="6">
        <f>IFERROR(E48/E49-1,"n/a")</f>
        <v>0.11814039242726304</v>
      </c>
      <c r="F50" s="6">
        <f>IFERROR(F48/F49-1,"n/a")</f>
        <v>0.01958475929728487</v>
      </c>
      <c r="G50" s="6">
        <f>IFERROR(G48/G49-1,"n/a")</f>
        <v>0.003727064220183429</v>
      </c>
      <c r="H50" s="50">
        <f>IFERROR(H48/C48-1,"n/a")</f>
        <v>-0.01154210827051716</v>
      </c>
      <c r="I50" s="2"/>
      <c r="J50" s="2"/>
    </row>
    <row r="51">
      <c r="A51" s="3"/>
      <c r="B51" s="45" t="s">
        <v>80</v>
      </c>
      <c r="C51" s="6" t="s">
        <v>53</v>
      </c>
      <c r="D51" s="6">
        <f>IFERROR(D48/C48-1,"n/a")</f>
        <v>0.0004771962071739022</v>
      </c>
      <c r="E51" s="6" t="s">
        <v>53</v>
      </c>
      <c r="F51" s="6">
        <f>IFERROR(F48/D48-1,"n/a")</f>
        <v>-0.013196131254692434</v>
      </c>
      <c r="G51" s="6">
        <f>IFERROR(G48/F48-1,"n/a")</f>
        <v>0.0027837201600415806</v>
      </c>
      <c r="H51" s="50">
        <f>IFERROR(H48/G48-1,"n/a")</f>
        <v>-0.0015809457476434474</v>
      </c>
      <c r="I51" s="2"/>
      <c r="J51" s="2"/>
    </row>
    <row r="52">
      <c r="A52" s="3"/>
      <c r="B52" s="19" t="s">
        <v>82</v>
      </c>
      <c r="C52" s="6" t="s">
        <v>94</v>
      </c>
      <c r="D52" s="6" t="s">
        <v>94</v>
      </c>
      <c r="E52" s="6" t="s">
        <v>94</v>
      </c>
      <c r="F52" s="6" t="s">
        <v>94</v>
      </c>
      <c r="G52" s="6" t="s">
        <v>94</v>
      </c>
      <c r="H52" s="50" t="s">
        <v>94</v>
      </c>
      <c r="I52" s="2" t="s">
        <v>169</v>
      </c>
      <c r="J52" s="2"/>
    </row>
    <row r="53">
      <c r="A53" s="3"/>
      <c r="B53" s="19" t="s">
        <v>83</v>
      </c>
      <c r="C53" s="6" t="s">
        <v>94</v>
      </c>
      <c r="D53" s="6" t="s">
        <v>94</v>
      </c>
      <c r="E53" s="6" t="s">
        <v>94</v>
      </c>
      <c r="F53" s="6" t="s">
        <v>94</v>
      </c>
      <c r="G53" s="6" t="s">
        <v>94</v>
      </c>
      <c r="H53" s="50" t="s">
        <v>94</v>
      </c>
      <c r="I53" s="2" t="s">
        <v>111</v>
      </c>
      <c r="J53" s="2"/>
    </row>
    <row r="54">
      <c r="A54" s="3"/>
      <c r="B54" s="19" t="s">
        <v>84</v>
      </c>
      <c r="C54" s="6" t="str">
        <f>IF(OR(ISTEXT(C50),ISTEXT(C52),ISTEXT(C53)),"n/d",(1+C50)/((1+C52)*(1+C53))-1)</f>
        <v>n/d</v>
      </c>
      <c r="D54" s="6" t="str">
        <f>IF(OR(ISTEXT(D50),ISTEXT(D52),ISTEXT(D53)),"n/d",(1+D50)/((1+D52)*(1+D53))-1)</f>
        <v>n/d</v>
      </c>
      <c r="E54" s="6" t="str">
        <f>IF(OR(ISTEXT(E50),ISTEXT(E52),ISTEXT(E53)),"n/d",(1+E50)/((1+E52)*(1+E53))-1)</f>
        <v>n/d</v>
      </c>
      <c r="F54" s="6" t="str">
        <f>IF(OR(ISTEXT(F50),ISTEXT(F52),ISTEXT(F53)),"n/d",(1+F50)/((1+F52)*(1+F53))-1)</f>
        <v>n/d</v>
      </c>
      <c r="G54" s="6" t="str">
        <f>IF(OR(ISTEXT(G50),ISTEXT(G52),ISTEXT(G53)),"n/d",(1+G50)/((1+G52)*(1+G53))-1)</f>
        <v>n/d</v>
      </c>
      <c r="H54" s="50" t="str">
        <f>IF(OR(ISTEXT(H50),ISTEXT(H52),ISTEXT(H53)),"n/d",(1+H50)/((1+H52)*(1+H53))-1)</f>
        <v>n/d</v>
      </c>
      <c r="I54" s="2" t="s">
        <v>102</v>
      </c>
      <c r="J54" s="2"/>
    </row>
    <row r="55">
      <c r="A55" s="3"/>
      <c r="B55" s="19" t="s">
        <v>85</v>
      </c>
      <c r="C55" s="6">
        <f>C50</f>
        <v>0.12240626859750048</v>
      </c>
      <c r="D55" s="6">
        <f>D50</f>
        <v>0.12308669040840425</v>
      </c>
      <c r="E55" s="6">
        <f>E50</f>
        <v>0.11814039242726304</v>
      </c>
      <c r="F55" s="6">
        <f>F50</f>
        <v>0.01958475929728487</v>
      </c>
      <c r="G55" s="6">
        <f>G50</f>
        <v>0.003727064220183429</v>
      </c>
      <c r="H55" s="50">
        <f>H50</f>
        <v>-0.01154210827051716</v>
      </c>
      <c r="I55" s="2"/>
      <c r="J55" s="2"/>
    </row>
    <row r="56">
      <c r="A56" s="3"/>
      <c r="B56" s="28" t="s">
        <v>309</v>
      </c>
      <c r="C56" s="10" t="str">
        <f>IFERROR('Segment - UnitedHealthcare'!C226+'Segment - Optum Health'!C40-C13,"n/a")</f>
        <v>n/a</v>
      </c>
      <c r="D56" s="10" t="str">
        <f>IFERROR('Segment - UnitedHealthcare'!D226+'Segment - Optum Health'!D40-D13,"n/a")</f>
        <v>n/a</v>
      </c>
      <c r="E56" s="10" t="str">
        <f>IFERROR('Segment - UnitedHealthcare'!E226+'Segment - Optum Health'!E40-E13,"n/a")</f>
        <v>n/a</v>
      </c>
      <c r="F56" s="10">
        <f>IFERROR('Segment - UnitedHealthcare'!F226+'Segment - Optum Health'!F40-F13,"n/a")</f>
        <v>0</v>
      </c>
      <c r="G56" s="10">
        <f>IFERROR('Segment - UnitedHealthcare'!G226+'Segment - Optum Health'!G40-G13,"n/a")</f>
        <v>0</v>
      </c>
      <c r="H56" s="12">
        <f>IFERROR('Segment - UnitedHealthcare'!H226+'Segment - Optum Health'!H40-H13,"n/a")</f>
        <v>0</v>
      </c>
      <c r="I56" s="2" t="s">
        <v>310</v>
      </c>
      <c r="J56" s="2"/>
    </row>
    <row r="57">
      <c r="A57" s="3"/>
      <c r="B57" s="28" t="s">
        <v>311</v>
      </c>
      <c r="C57" s="10" t="str">
        <f>IFERROR('Segment - Optum Health'!C49+'Segment - Optum Insight'!C26+'Segment - Optum Rx'!C32-C24,"n/a")</f>
        <v>n/a</v>
      </c>
      <c r="D57" s="10" t="str">
        <f>IFERROR('Segment - Optum Health'!D49+'Segment - Optum Insight'!D26+'Segment - Optum Rx'!D32-D24,"n/a")</f>
        <v>n/a</v>
      </c>
      <c r="E57" s="10" t="str">
        <f>IFERROR('Segment - Optum Health'!E49+'Segment - Optum Insight'!E26+'Segment - Optum Rx'!E32-E24,"n/a")</f>
        <v>n/a</v>
      </c>
      <c r="F57" s="10">
        <f>IFERROR('Segment - Optum Health'!F49+'Segment - Optum Insight'!F26+'Segment - Optum Rx'!F32-F24,"n/a")</f>
        <v>0</v>
      </c>
      <c r="G57" s="10">
        <f>IFERROR('Segment - Optum Health'!G49+'Segment - Optum Insight'!G26+'Segment - Optum Rx'!G32-G24,"n/a")</f>
        <v>0</v>
      </c>
      <c r="H57" s="12">
        <f>IFERROR('Segment - Optum Health'!H49+'Segment - Optum Insight'!H26+'Segment - Optum Rx'!H32-H24,"n/a")</f>
        <v>0</v>
      </c>
      <c r="I57" s="2" t="s">
        <v>310</v>
      </c>
      <c r="J57" s="2"/>
    </row>
    <row r="58">
      <c r="A58" s="3"/>
      <c r="B58" s="28" t="s">
        <v>312</v>
      </c>
      <c r="C58" s="10" t="str">
        <f>IFERROR('Segment - UnitedHealthcare'!C235+'Segment - Optum Health'!C58+'Segment - Optum Insight'!C35+'Segment - Optum Rx'!C41-C32,"n/a")</f>
        <v>n/a</v>
      </c>
      <c r="D58" s="10" t="str">
        <f>IFERROR('Segment - UnitedHealthcare'!D235+'Segment - Optum Health'!D58+'Segment - Optum Insight'!D35+'Segment - Optum Rx'!D41-D32,"n/a")</f>
        <v>n/a</v>
      </c>
      <c r="E58" s="10" t="str">
        <f>IFERROR('Segment - UnitedHealthcare'!E235+'Segment - Optum Health'!E58+'Segment - Optum Insight'!E35+'Segment - Optum Rx'!E41-E32,"n/a")</f>
        <v>n/a</v>
      </c>
      <c r="F58" s="10">
        <f>IFERROR('Segment - UnitedHealthcare'!F235+'Segment - Optum Health'!F58+'Segment - Optum Insight'!F35+'Segment - Optum Rx'!F41-F32,"n/a")</f>
        <v>0</v>
      </c>
      <c r="G58" s="10">
        <f>IFERROR('Segment - UnitedHealthcare'!G235+'Segment - Optum Health'!G58+'Segment - Optum Insight'!G35+'Segment - Optum Rx'!G41-G32,"n/a")</f>
        <v>0</v>
      </c>
      <c r="H58" s="12">
        <f>IFERROR('Segment - UnitedHealthcare'!H235+'Segment - Optum Health'!H58+'Segment - Optum Insight'!H35+'Segment - Optum Rx'!H41-H32,"n/a")</f>
        <v>0</v>
      </c>
      <c r="I58" s="2" t="s">
        <v>310</v>
      </c>
      <c r="J58" s="2"/>
    </row>
    <row r="59">
      <c r="A59" s="3"/>
      <c r="B59" s="28" t="s">
        <v>313</v>
      </c>
      <c r="C59" s="10" t="str">
        <f>IFERROR('Segment - UnitedHealthcare'!C244+'Segment - Optum Health'!C76+'Segment - Optum Insight'!C53+'Segment - Optum Rx'!C59-C40,"n/a")</f>
        <v>n/a</v>
      </c>
      <c r="D59" s="10" t="str">
        <f>IFERROR('Segment - UnitedHealthcare'!D244+'Segment - Optum Health'!D76+'Segment - Optum Insight'!D53+'Segment - Optum Rx'!D59-D40,"n/a")</f>
        <v>n/a</v>
      </c>
      <c r="E59" s="10" t="str">
        <f>IFERROR('Segment - UnitedHealthcare'!E244+'Segment - Optum Health'!E76+'Segment - Optum Insight'!E53+'Segment - Optum Rx'!E59-E40,"n/a")</f>
        <v>n/a</v>
      </c>
      <c r="F59" s="10">
        <f>IFERROR('Segment - UnitedHealthcare'!F244+'Segment - Optum Health'!F76+'Segment - Optum Insight'!F53+'Segment - Optum Rx'!F59-F40,"n/a")</f>
        <v>0</v>
      </c>
      <c r="G59" s="10">
        <f>IFERROR('Segment - UnitedHealthcare'!G244+'Segment - Optum Health'!G76+'Segment - Optum Insight'!G53+'Segment - Optum Rx'!G59-G40,"n/a")</f>
        <v>0</v>
      </c>
      <c r="H59" s="12">
        <f>IFERROR('Segment - UnitedHealthcare'!H244+'Segment - Optum Health'!H76+'Segment - Optum Insight'!H53+'Segment - Optum Rx'!H59-H40,"n/a")</f>
        <v>0</v>
      </c>
      <c r="I59" s="2" t="s">
        <v>310</v>
      </c>
      <c r="J59" s="2"/>
    </row>
    <row r="60">
      <c r="A60" s="3"/>
      <c r="B60" s="3"/>
      <c r="C60" s="3"/>
      <c r="D60" s="3"/>
      <c r="E60" s="3"/>
      <c r="F60" s="3"/>
      <c r="G60" s="3"/>
      <c r="H60" s="13"/>
      <c r="I60" s="2"/>
      <c r="J60" s="2"/>
    </row>
    <row r="61">
      <c r="A61" s="3"/>
      <c r="B61" s="23" t="s">
        <v>314</v>
      </c>
      <c r="C61" s="3"/>
      <c r="D61" s="3"/>
      <c r="E61" s="3"/>
      <c r="F61" s="3"/>
      <c r="G61" s="3"/>
      <c r="H61" s="13"/>
      <c r="I61" s="2"/>
      <c r="J61" s="2"/>
    </row>
    <row r="62">
      <c r="A62" s="3"/>
      <c r="B62" s="45" t="s">
        <v>315</v>
      </c>
      <c r="C62" s="6">
        <f>C65/C13</f>
        <v>0.8986165274952517</v>
      </c>
      <c r="D62" s="6">
        <f>D65/D13</f>
        <v>0.9237707040794496</v>
      </c>
      <c r="E62" s="6">
        <f>E65/E13</f>
        <v>0.891451300148483</v>
      </c>
      <c r="F62" s="6">
        <f>F65/F13</f>
        <v>0.8392891812564954</v>
      </c>
      <c r="G62" s="6">
        <f>G65/G13</f>
        <v>0.8666221997331984</v>
      </c>
      <c r="H62" s="67">
        <v>0.895</v>
      </c>
      <c r="I62" s="2" t="s">
        <v>316</v>
      </c>
      <c r="J62" s="2"/>
    </row>
    <row r="63">
      <c r="A63" s="3"/>
      <c r="B63" s="19" t="s">
        <v>91</v>
      </c>
      <c r="C63" s="24" t="s">
        <v>53</v>
      </c>
      <c r="D63" s="24">
        <f>IFERROR((D62-C62)*10000,"n/a")</f>
        <v>251.5417658419794</v>
      </c>
      <c r="E63" s="24" t="s">
        <v>53</v>
      </c>
      <c r="F63" s="24">
        <f>IFERROR((F62-D62)*10000,"n/a")</f>
        <v>-844.8152282295418</v>
      </c>
      <c r="G63" s="24">
        <f>IFERROR((G62-F62)*10000,"n/a")</f>
        <v>273.33018476702995</v>
      </c>
      <c r="H63" s="66">
        <f>IFERROR((H62-G62)*10000,"n/a")</f>
        <v>283.7780026680159</v>
      </c>
      <c r="I63" s="2"/>
      <c r="J63" s="2"/>
    </row>
    <row r="64">
      <c r="A64" s="3"/>
      <c r="B64" s="19" t="s">
        <v>92</v>
      </c>
      <c r="C64" s="24">
        <f>IFERROR((C62-C66/C14)*10000,"n/a")</f>
        <v>469.2106508467342</v>
      </c>
      <c r="D64" s="24">
        <f>IFERROR((D62-D66/D14)*10000,"n/a")</f>
        <v>473.01423324249134</v>
      </c>
      <c r="E64" s="24">
        <f>IFERROR((E62-E66/E14)*10000,"n/a")</f>
        <v>359.57630902020753</v>
      </c>
      <c r="F64" s="24">
        <f>IFERROR((F62-F66/F14)*10000,"n/a")</f>
        <v>-90.59444717110287</v>
      </c>
      <c r="G64" s="24">
        <f>IFERROR((G62-G66/G14)*10000,"n/a")</f>
        <v>-273.54252118232057</v>
      </c>
      <c r="H64" s="66">
        <f>(H62-C62)*10000</f>
        <v>-36.16527495251653</v>
      </c>
      <c r="I64" s="2"/>
      <c r="J64" s="2"/>
    </row>
    <row r="65">
      <c r="A65" s="3"/>
      <c r="B65" s="25" t="s">
        <v>317</v>
      </c>
      <c r="C65" s="31">
        <v>79958</v>
      </c>
      <c r="D65" s="31">
        <v>82041</v>
      </c>
      <c r="E65" s="31">
        <v>313995</v>
      </c>
      <c r="F65" s="31">
        <v>73489</v>
      </c>
      <c r="G65" s="31">
        <v>75358</v>
      </c>
      <c r="H65" s="27">
        <f>H13*H62</f>
        <v>77471.08100191875</v>
      </c>
      <c r="I65" s="2"/>
      <c r="J65" s="2"/>
    </row>
    <row r="66">
      <c r="A66" s="3"/>
      <c r="B66" s="75" t="s">
        <v>318</v>
      </c>
      <c r="C66" s="31">
        <v>65957</v>
      </c>
      <c r="D66" s="31">
        <v>67035</v>
      </c>
      <c r="E66" s="31">
        <v>264185</v>
      </c>
      <c r="F66" s="31">
        <v>73411</v>
      </c>
      <c r="G66" s="31">
        <v>78585</v>
      </c>
      <c r="H66" s="27">
        <f>C65</f>
        <v>79958</v>
      </c>
      <c r="I66" s="2"/>
      <c r="J66" s="2"/>
    </row>
    <row r="67">
      <c r="A67" s="3"/>
      <c r="B67" s="45" t="s">
        <v>319</v>
      </c>
      <c r="C67" s="6">
        <f>C70/C48</f>
        <v>0.13452514558902803</v>
      </c>
      <c r="D67" s="6">
        <f>D70/D48</f>
        <v>0.1501302830896966</v>
      </c>
      <c r="E67" s="6">
        <f>E70/E48</f>
        <v>0.13314654565685138</v>
      </c>
      <c r="F67" s="6">
        <f>F70/F48</f>
        <v>0.13775386901298772</v>
      </c>
      <c r="G67" s="6">
        <f>G70/G48</f>
        <v>0.12735646958011995</v>
      </c>
      <c r="H67" s="67">
        <v>0.1305</v>
      </c>
      <c r="I67" s="2" t="s">
        <v>320</v>
      </c>
      <c r="J67" s="2"/>
    </row>
    <row r="68">
      <c r="A68" s="3"/>
      <c r="B68" s="19" t="s">
        <v>91</v>
      </c>
      <c r="C68" s="24" t="s">
        <v>53</v>
      </c>
      <c r="D68" s="24">
        <f>IFERROR((D67-C67)*10000,"n/a")</f>
        <v>156.05137500668553</v>
      </c>
      <c r="E68" s="24" t="s">
        <v>53</v>
      </c>
      <c r="F68" s="24">
        <f>IFERROR((F67-D67)*10000,"n/a")</f>
        <v>-123.76414076708863</v>
      </c>
      <c r="G68" s="24">
        <f>IFERROR((G67-F67)*10000,"n/a")</f>
        <v>-103.9739943286777</v>
      </c>
      <c r="H68" s="66">
        <f>IFERROR((H67-G67)*10000,"n/a")</f>
        <v>31.43530419880053</v>
      </c>
      <c r="I68" s="2"/>
      <c r="J68" s="2"/>
    </row>
    <row r="69">
      <c r="A69" s="3"/>
      <c r="B69" s="19" t="s">
        <v>92</v>
      </c>
      <c r="C69" s="24">
        <f>IFERROR((C67-C71/C49)*10000,"n/a")</f>
        <v>28.05248743164124</v>
      </c>
      <c r="D69" s="24">
        <f>IFERROR((D67-D71/D49)*10000,"n/a")</f>
        <v>261.9047732223996</v>
      </c>
      <c r="E69" s="24">
        <f>IFERROR((E67-E71/E49)*10000,"n/a")</f>
        <v>7.060917723011595</v>
      </c>
      <c r="F69" s="24">
        <f>IFERROR((F67-F71/F49)*10000,"n/a")</f>
        <v>136.92723678741774</v>
      </c>
      <c r="G69" s="24">
        <f>IFERROR((G67-G71/G49)*10000,"n/a")</f>
        <v>39.15385864523627</v>
      </c>
      <c r="H69" s="66">
        <f>(H67-C67)*10000</f>
        <v>-40.25145589028028</v>
      </c>
      <c r="I69" s="2"/>
      <c r="J69" s="2"/>
    </row>
    <row r="70">
      <c r="A70" s="3"/>
      <c r="B70" s="25" t="s">
        <v>321</v>
      </c>
      <c r="C70" s="31">
        <v>15223</v>
      </c>
      <c r="D70" s="31">
        <v>16997</v>
      </c>
      <c r="E70" s="31">
        <v>59592</v>
      </c>
      <c r="F70" s="31">
        <v>15390</v>
      </c>
      <c r="G70" s="31">
        <v>14268</v>
      </c>
      <c r="H70" s="27">
        <f>H48*H67</f>
        <v>14597.062294923002</v>
      </c>
      <c r="I70" s="2"/>
      <c r="J70" s="2"/>
    </row>
    <row r="71">
      <c r="A71" s="3"/>
      <c r="B71" s="75" t="s">
        <v>322</v>
      </c>
      <c r="C71" s="31">
        <v>13280</v>
      </c>
      <c r="D71" s="31">
        <v>12494</v>
      </c>
      <c r="E71" s="31">
        <v>53013</v>
      </c>
      <c r="F71" s="31">
        <v>13594</v>
      </c>
      <c r="G71" s="31">
        <v>13778</v>
      </c>
      <c r="H71" s="27">
        <f>C70</f>
        <v>15223</v>
      </c>
      <c r="I71" s="2"/>
      <c r="J71" s="2"/>
    </row>
    <row r="72">
      <c r="A72" s="3"/>
      <c r="B72" s="45" t="s">
        <v>323</v>
      </c>
      <c r="C72" s="6">
        <f>C75/C24</f>
        <v>0.9450962695547533</v>
      </c>
      <c r="D72" s="6">
        <f>D75/D24</f>
        <v>0.9403737763274993</v>
      </c>
      <c r="E72" s="6">
        <f>E75/E24</f>
        <v>0.9489509179467965</v>
      </c>
      <c r="F72" s="6">
        <f>F75/F24</f>
        <v>0.9677735849056603</v>
      </c>
      <c r="G72" s="6">
        <f>G75/G24</f>
        <v>0.9667509938561619</v>
      </c>
      <c r="H72" s="67">
        <v>0.96</v>
      </c>
      <c r="I72" s="2" t="s">
        <v>324</v>
      </c>
      <c r="J72" s="2"/>
    </row>
    <row r="73">
      <c r="A73" s="3"/>
      <c r="B73" s="19" t="s">
        <v>91</v>
      </c>
      <c r="C73" s="24" t="s">
        <v>53</v>
      </c>
      <c r="D73" s="24">
        <f>IFERROR((D72-C72)*10000,"n/a")</f>
        <v>-47.22493227254043</v>
      </c>
      <c r="E73" s="24" t="s">
        <v>53</v>
      </c>
      <c r="F73" s="24">
        <f>IFERROR((F72-D72)*10000,"n/a")</f>
        <v>273.9980857816104</v>
      </c>
      <c r="G73" s="24">
        <f>IFERROR((G72-F72)*10000,"n/a")</f>
        <v>-10.225910494984225</v>
      </c>
      <c r="H73" s="66">
        <f>IFERROR((H72-G72)*10000,"n/a")</f>
        <v>-67.50993856161958</v>
      </c>
      <c r="I73" s="2"/>
      <c r="J73" s="2"/>
    </row>
    <row r="74">
      <c r="A74" s="3"/>
      <c r="B74" s="19" t="s">
        <v>92</v>
      </c>
      <c r="C74" s="24" t="s">
        <v>53</v>
      </c>
      <c r="D74" s="24" t="s">
        <v>53</v>
      </c>
      <c r="E74" s="24" t="s">
        <v>53</v>
      </c>
      <c r="F74" s="24" t="s">
        <v>53</v>
      </c>
      <c r="G74" s="24" t="s">
        <v>53</v>
      </c>
      <c r="H74" s="66">
        <f>(H72-C72)*10000</f>
        <v>149.0373044524662</v>
      </c>
      <c r="I74" s="2"/>
      <c r="J74" s="2"/>
    </row>
    <row r="75">
      <c r="A75" s="3"/>
      <c r="B75" s="25" t="s">
        <v>325</v>
      </c>
      <c r="C75" s="31">
        <v>12566</v>
      </c>
      <c r="D75" s="31">
        <v>12680</v>
      </c>
      <c r="E75" s="31">
        <v>50655</v>
      </c>
      <c r="F75" s="31">
        <v>12823</v>
      </c>
      <c r="G75" s="31">
        <v>13375</v>
      </c>
      <c r="H75" s="27">
        <f>H24*H72</f>
        <v>13037.824799999999</v>
      </c>
      <c r="I75" s="2"/>
      <c r="J75" s="2"/>
    </row>
    <row r="76">
      <c r="A76" s="3"/>
      <c r="B76" s="28" t="s">
        <v>326</v>
      </c>
      <c r="C76" s="1">
        <f>C24-C75</f>
        <v>730</v>
      </c>
      <c r="D76" s="1">
        <f>D24-D75</f>
        <v>804</v>
      </c>
      <c r="E76" s="1">
        <f>E24-E75</f>
        <v>2725</v>
      </c>
      <c r="F76" s="1">
        <f>F24-F75</f>
        <v>427</v>
      </c>
      <c r="G76" s="1">
        <f>G24-G75</f>
        <v>460</v>
      </c>
      <c r="H76" s="27">
        <f>H24-H75</f>
        <v>543.2427000000007</v>
      </c>
      <c r="I76" s="2"/>
      <c r="J76" s="2"/>
    </row>
    <row r="77">
      <c r="A77" s="3"/>
      <c r="B77" s="25" t="s">
        <v>327</v>
      </c>
      <c r="C77" s="10">
        <f>'Cash Flow Statement'!C11</f>
        <v>1099</v>
      </c>
      <c r="D77" s="10">
        <f>'Cash Flow Statement'!D11</f>
        <v>1117</v>
      </c>
      <c r="E77" s="10">
        <f>'Cash Flow Statement'!E11</f>
        <v>4361</v>
      </c>
      <c r="F77" s="10">
        <f>'Cash Flow Statement'!F11</f>
        <v>1029</v>
      </c>
      <c r="G77" s="10">
        <f>'Cash Flow Statement'!G11</f>
        <v>1040</v>
      </c>
      <c r="H77" s="20">
        <v>1040</v>
      </c>
      <c r="I77" s="2" t="s">
        <v>328</v>
      </c>
      <c r="J77" s="2"/>
    </row>
    <row r="78">
      <c r="A78" s="3"/>
      <c r="B78" s="23" t="s">
        <v>329</v>
      </c>
      <c r="C78" s="8">
        <f>C65+C70+C75+C77</f>
        <v>108846</v>
      </c>
      <c r="D78" s="8">
        <f>D65+D70+D75+D77</f>
        <v>112835</v>
      </c>
      <c r="E78" s="8">
        <f>E65+E70+E75+E77</f>
        <v>428603</v>
      </c>
      <c r="F78" s="8">
        <f>F65+F70+F75+F77</f>
        <v>102731</v>
      </c>
      <c r="G78" s="8">
        <f>G65+G70+G75+G77</f>
        <v>104041</v>
      </c>
      <c r="H78" s="29">
        <f>H65+H70+H75+H77</f>
        <v>106145.96809684175</v>
      </c>
      <c r="I78" s="2"/>
      <c r="J78" s="2"/>
    </row>
    <row r="79">
      <c r="A79" s="3"/>
      <c r="B79" s="23" t="s">
        <v>330</v>
      </c>
      <c r="C79" s="8">
        <f>C48-C78</f>
        <v>4315</v>
      </c>
      <c r="D79" s="8">
        <f>D48-D78</f>
        <v>380</v>
      </c>
      <c r="E79" s="8">
        <f>E48-E78</f>
        <v>18964</v>
      </c>
      <c r="F79" s="8">
        <f>F48-F78</f>
        <v>8990</v>
      </c>
      <c r="G79" s="8">
        <f>G48-G78</f>
        <v>7991</v>
      </c>
      <c r="H79" s="29">
        <f>H48-H78</f>
        <v>5708.915389158254</v>
      </c>
      <c r="I79" s="2"/>
      <c r="J79" s="2"/>
    </row>
    <row r="80">
      <c r="A80" s="3"/>
      <c r="B80" s="75" t="s">
        <v>209</v>
      </c>
      <c r="C80" s="31">
        <v>8708</v>
      </c>
      <c r="D80" s="31">
        <v>7773</v>
      </c>
      <c r="E80" s="31">
        <v>32287</v>
      </c>
      <c r="F80" s="31">
        <v>9119</v>
      </c>
      <c r="G80" s="31">
        <v>5150</v>
      </c>
      <c r="H80" s="27">
        <f>C79</f>
        <v>4315</v>
      </c>
      <c r="I80" s="2"/>
      <c r="J80" s="2"/>
    </row>
    <row r="81">
      <c r="A81" s="3"/>
      <c r="B81" s="45" t="s">
        <v>79</v>
      </c>
      <c r="C81" s="6">
        <f>IFERROR(C79/C80-1,"n/a")</f>
        <v>-0.5044786403307304</v>
      </c>
      <c r="D81" s="6">
        <f>IFERROR(D79/D80-1,"n/a")</f>
        <v>-0.9511128264505339</v>
      </c>
      <c r="E81" s="6">
        <f>IFERROR(E79/E80-1,"n/a")</f>
        <v>-0.41264285935515843</v>
      </c>
      <c r="F81" s="6">
        <f>IFERROR(F79/F80-1,"n/a")</f>
        <v>-0.014146287970172144</v>
      </c>
      <c r="G81" s="6">
        <f>IFERROR(G79/G80-1,"n/a")</f>
        <v>0.5516504854368931</v>
      </c>
      <c r="H81" s="50">
        <f>IFERROR(H79/C79-1,"n/a")</f>
        <v>0.3230394876380658</v>
      </c>
      <c r="I81" s="2"/>
      <c r="J81" s="2"/>
    </row>
    <row r="82">
      <c r="A82" s="3"/>
      <c r="B82" s="45" t="s">
        <v>80</v>
      </c>
      <c r="C82" s="6" t="s">
        <v>53</v>
      </c>
      <c r="D82" s="6">
        <f>IFERROR(D79/C79-1,"n/a")</f>
        <v>-0.9119351100811124</v>
      </c>
      <c r="E82" s="6" t="s">
        <v>53</v>
      </c>
      <c r="F82" s="6">
        <f>IFERROR(F79/D79-1,"n/a")</f>
        <v>22.657894736842106</v>
      </c>
      <c r="G82" s="6">
        <f>IFERROR(G79/F79-1,"n/a")</f>
        <v>-0.11112347052280314</v>
      </c>
      <c r="H82" s="50">
        <f>IFERROR(H79/G79-1,"n/a")</f>
        <v>-0.28558185594315433</v>
      </c>
      <c r="I82" s="2" t="s">
        <v>331</v>
      </c>
      <c r="J82" s="2"/>
    </row>
    <row r="83">
      <c r="A83" s="3"/>
      <c r="B83" s="45" t="s">
        <v>241</v>
      </c>
      <c r="C83" s="6">
        <f>C79/C48</f>
        <v>0.03813151173991039</v>
      </c>
      <c r="D83" s="6">
        <f>D79/D48</f>
        <v>0.00335644570065804</v>
      </c>
      <c r="E83" s="6">
        <f>E79/E48</f>
        <v>0.04237130977038075</v>
      </c>
      <c r="F83" s="6">
        <f>F79/F48</f>
        <v>0.08046830944943206</v>
      </c>
      <c r="G83" s="6">
        <f>G79/G48</f>
        <v>0.07132783490431305</v>
      </c>
      <c r="H83" s="50">
        <f>H79/H48</f>
        <v>0.05103858867165861</v>
      </c>
      <c r="I83" s="2"/>
      <c r="J83" s="2"/>
    </row>
    <row r="84">
      <c r="A84" s="3"/>
      <c r="B84" s="19" t="s">
        <v>91</v>
      </c>
      <c r="C84" s="24" t="s">
        <v>53</v>
      </c>
      <c r="D84" s="24">
        <f>IFERROR((D83-C83)*10000,"n/a")</f>
        <v>-347.7506603925235</v>
      </c>
      <c r="E84" s="24" t="s">
        <v>53</v>
      </c>
      <c r="F84" s="24">
        <f>IFERROR((F83-D83)*10000,"n/a")</f>
        <v>771.1186374877402</v>
      </c>
      <c r="G84" s="24">
        <f>IFERROR((G83-F83)*10000,"n/a")</f>
        <v>-91.40474545119015</v>
      </c>
      <c r="H84" s="66">
        <f>IFERROR((H83-G83)*10000,"n/a")</f>
        <v>-202.89246232654435</v>
      </c>
      <c r="I84" s="2"/>
      <c r="J84" s="2"/>
    </row>
    <row r="85">
      <c r="A85" s="3"/>
      <c r="B85" s="19" t="s">
        <v>92</v>
      </c>
      <c r="C85" s="24">
        <f>IFERROR((C83-C80/C49)*10000,"n/a")</f>
        <v>-482.4023989666966</v>
      </c>
      <c r="D85" s="24">
        <f>IFERROR((D83-D80/D49)*10000,"n/a")</f>
        <v>-737.5129483323345</v>
      </c>
      <c r="E85" s="24">
        <f>IFERROR((E83-E80/E49)*10000,"n/a")</f>
        <v>-382.90130528611456</v>
      </c>
      <c r="F85" s="24">
        <f>IFERROR((F83-F80/F49)*10000,"n/a")</f>
        <v>-27.53228310093378</v>
      </c>
      <c r="G85" s="24">
        <f>IFERROR((G83-G80/G49)*10000,"n/a")</f>
        <v>251.87496601560755</v>
      </c>
      <c r="H85" s="66">
        <f>(H83-C83)*10000</f>
        <v>129.07076931748225</v>
      </c>
      <c r="I85" s="2"/>
      <c r="J85" s="2"/>
    </row>
    <row r="86">
      <c r="A86" s="3"/>
      <c r="B86" s="28" t="s">
        <v>332</v>
      </c>
      <c r="C86" s="10">
        <f>'Segment - UnitedHealthcare'!C258+'Segment - Optum Health'!C93+'Segment - Optum Insight'!C70+'Segment - Optum Rx'!C76-C79</f>
        <v>0</v>
      </c>
      <c r="D86" s="10">
        <f>'Segment - UnitedHealthcare'!D258+'Segment - Optum Health'!D93+'Segment - Optum Insight'!D70+'Segment - Optum Rx'!D76-D79</f>
        <v>0</v>
      </c>
      <c r="E86" s="10">
        <f>'Segment - UnitedHealthcare'!E258+'Segment - Optum Health'!E93+'Segment - Optum Insight'!E70+'Segment - Optum Rx'!E76-E79</f>
        <v>0</v>
      </c>
      <c r="F86" s="10">
        <f>'Segment - UnitedHealthcare'!F258+'Segment - Optum Health'!F93+'Segment - Optum Insight'!F70+'Segment - Optum Rx'!F76-F79</f>
        <v>0</v>
      </c>
      <c r="G86" s="10">
        <f>'Segment - UnitedHealthcare'!G258+'Segment - Optum Health'!G93+'Segment - Optum Insight'!G70+'Segment - Optum Rx'!G76-G79</f>
        <v>0</v>
      </c>
      <c r="H86" s="12">
        <f>'Segment - UnitedHealthcare'!H258+'Segment - Optum Health'!H93+'Segment - Optum Insight'!H70+'Segment - Optum Rx'!H76-H79</f>
        <v>0</v>
      </c>
      <c r="I86" s="2" t="s">
        <v>205</v>
      </c>
      <c r="J86" s="2"/>
    </row>
    <row r="87">
      <c r="A87" s="3"/>
      <c r="B87" s="25" t="s">
        <v>333</v>
      </c>
      <c r="C87" s="31">
        <v>-1003</v>
      </c>
      <c r="D87" s="31">
        <v>-974</v>
      </c>
      <c r="E87" s="31">
        <v>-4002</v>
      </c>
      <c r="F87" s="31">
        <v>-955</v>
      </c>
      <c r="G87" s="31">
        <v>-962</v>
      </c>
      <c r="H87" s="20">
        <v>-945</v>
      </c>
      <c r="I87" s="2" t="s">
        <v>334</v>
      </c>
      <c r="J87" s="2"/>
    </row>
    <row r="88">
      <c r="A88" s="3"/>
      <c r="B88" s="25" t="s">
        <v>335</v>
      </c>
      <c r="C88" s="10">
        <f>-'Cash Flow Statement'!C14</f>
        <v>-83</v>
      </c>
      <c r="D88" s="10">
        <f>-'Cash Flow Statement'!D14</f>
        <v>-126</v>
      </c>
      <c r="E88" s="10">
        <f>-'Cash Flow Statement'!E14</f>
        <v>-265</v>
      </c>
      <c r="F88" s="10">
        <f>-'Cash Flow Statement'!F14</f>
        <v>-72</v>
      </c>
      <c r="G88" s="10">
        <f>-'Cash Flow Statement'!G14</f>
        <v>-61</v>
      </c>
      <c r="H88" s="20">
        <v>-60</v>
      </c>
      <c r="I88" s="2" t="s">
        <v>336</v>
      </c>
      <c r="J88" s="2"/>
    </row>
    <row r="89">
      <c r="A89" s="3"/>
      <c r="B89" s="23" t="s">
        <v>337</v>
      </c>
      <c r="C89" s="8">
        <f>C79+C87+C88</f>
        <v>3229</v>
      </c>
      <c r="D89" s="8">
        <f>D79+D87+D88</f>
        <v>-720</v>
      </c>
      <c r="E89" s="8">
        <f>E79+E87+E88</f>
        <v>14697</v>
      </c>
      <c r="F89" s="8">
        <f>F79+F87+F88</f>
        <v>7963</v>
      </c>
      <c r="G89" s="8">
        <f>G79+G87+G88</f>
        <v>6968</v>
      </c>
      <c r="H89" s="29">
        <f>H79+H87+H88</f>
        <v>4703.915389158254</v>
      </c>
      <c r="I89" s="2"/>
      <c r="J89" s="2"/>
    </row>
    <row r="90">
      <c r="A90" s="3"/>
      <c r="B90" s="45" t="s">
        <v>338</v>
      </c>
      <c r="C90" s="6">
        <f>C89/C48</f>
        <v>0.028534565795636305</v>
      </c>
      <c r="D90" s="6">
        <f>D89/D48</f>
        <v>-0.0063595813275626025</v>
      </c>
      <c r="E90" s="6">
        <f>E89/E48</f>
        <v>0.032837541641810054</v>
      </c>
      <c r="F90" s="6">
        <f>F89/F48</f>
        <v>0.07127576731321775</v>
      </c>
      <c r="G90" s="6">
        <f>G89/G48</f>
        <v>0.06219651528134819</v>
      </c>
      <c r="H90" s="50">
        <f>H89/H48</f>
        <v>0.04205373285956715</v>
      </c>
      <c r="I90" s="2"/>
      <c r="J90" s="2"/>
    </row>
    <row r="91">
      <c r="A91" s="3"/>
      <c r="B91" s="19" t="s">
        <v>91</v>
      </c>
      <c r="C91" s="24" t="s">
        <v>53</v>
      </c>
      <c r="D91" s="24">
        <f>IFERROR((D90-C90)*10000,"n/a")</f>
        <v>-348.9414712319891</v>
      </c>
      <c r="E91" s="24" t="s">
        <v>53</v>
      </c>
      <c r="F91" s="24">
        <f>IFERROR((F90-D90)*10000,"n/a")</f>
        <v>776.3534864078035</v>
      </c>
      <c r="G91" s="24">
        <f>IFERROR((G90-F90)*10000,"n/a")</f>
        <v>-90.79252031869558</v>
      </c>
      <c r="H91" s="66">
        <f>IFERROR((H90-G90)*10000,"n/a")</f>
        <v>-201.42782421781038</v>
      </c>
      <c r="I91" s="2"/>
      <c r="J91" s="2"/>
    </row>
    <row r="92">
      <c r="A92" s="3"/>
      <c r="B92" s="19" t="s">
        <v>92</v>
      </c>
      <c r="C92" s="24" t="s">
        <v>53</v>
      </c>
      <c r="D92" s="24" t="s">
        <v>53</v>
      </c>
      <c r="E92" s="24" t="s">
        <v>53</v>
      </c>
      <c r="F92" s="24" t="s">
        <v>53</v>
      </c>
      <c r="G92" s="24" t="s">
        <v>53</v>
      </c>
      <c r="H92" s="66">
        <f>(H90-C90)*10000</f>
        <v>135.19167063930846</v>
      </c>
      <c r="I92" s="2"/>
      <c r="J92" s="2"/>
    </row>
    <row r="93">
      <c r="A93" s="3"/>
      <c r="B93" s="45" t="s">
        <v>339</v>
      </c>
      <c r="C93" s="6">
        <f>IF(C89&lt;=0,"n/m",IFERROR(-C96/C89,"n/a"))</f>
        <v>0.21244967482192628</v>
      </c>
      <c r="D93" s="6" t="str">
        <f>IF(D89&lt;=0,"n/m",IFERROR(-D96/D89,"n/a"))</f>
        <v>n/m</v>
      </c>
      <c r="E93" s="6">
        <f>IF(E89&lt;=0,"n/m",IFERROR(-E96/E89,"n/a"))</f>
        <v>0.12859767299448868</v>
      </c>
      <c r="F93" s="6">
        <f>IF(F89&lt;=0,"n/m",IFERROR(-F96/F89,"n/a"))</f>
        <v>0.1861107622755243</v>
      </c>
      <c r="G93" s="6">
        <f>IF(G89&lt;=0,"n/m",IFERROR(-G96/G89,"n/a"))</f>
        <v>0.18628013777267508</v>
      </c>
      <c r="H93" s="67">
        <v>0.185</v>
      </c>
      <c r="I93" s="2" t="s">
        <v>340</v>
      </c>
      <c r="J93" s="2"/>
    </row>
    <row r="94">
      <c r="A94" s="3"/>
      <c r="B94" s="19" t="s">
        <v>91</v>
      </c>
      <c r="C94" s="24" t="s">
        <v>53</v>
      </c>
      <c r="D94" s="24" t="str">
        <f>IF(OR(ISTEXT(D93),ISTEXT(C93)),"n/m",(D93-C93)*10000)</f>
        <v>n/m</v>
      </c>
      <c r="E94" s="24" t="s">
        <v>53</v>
      </c>
      <c r="F94" s="24" t="str">
        <f>IF(OR(ISTEXT(F93),ISTEXT(D93)),"n/m",(F93-D93)*10000)</f>
        <v>n/m</v>
      </c>
      <c r="G94" s="24">
        <f>IF(OR(ISTEXT(G93),ISTEXT(F93)),"n/m",(G93-F93)*10000)</f>
        <v>1.6937549715076439</v>
      </c>
      <c r="H94" s="66">
        <f>IF(OR(ISTEXT(H93),ISTEXT(G93)),"n/m",(H93-G93)*10000)</f>
        <v>-12.801377726750774</v>
      </c>
      <c r="I94" s="2"/>
      <c r="J94" s="2"/>
    </row>
    <row r="95">
      <c r="A95" s="3"/>
      <c r="B95" s="19" t="s">
        <v>92</v>
      </c>
      <c r="C95" s="24" t="s">
        <v>53</v>
      </c>
      <c r="D95" s="24" t="s">
        <v>53</v>
      </c>
      <c r="E95" s="24" t="s">
        <v>53</v>
      </c>
      <c r="F95" s="24" t="s">
        <v>53</v>
      </c>
      <c r="G95" s="24" t="s">
        <v>53</v>
      </c>
      <c r="H95" s="66">
        <f>(H93-C93)*10000</f>
        <v>-274.4967482192628</v>
      </c>
      <c r="I95" s="2"/>
      <c r="J95" s="2"/>
    </row>
    <row r="96">
      <c r="A96" s="3"/>
      <c r="B96" s="25" t="s">
        <v>341</v>
      </c>
      <c r="C96" s="31">
        <v>-686</v>
      </c>
      <c r="D96" s="31">
        <v>938</v>
      </c>
      <c r="E96" s="31">
        <v>-1890</v>
      </c>
      <c r="F96" s="31">
        <v>-1482</v>
      </c>
      <c r="G96" s="31">
        <v>-1298</v>
      </c>
      <c r="H96" s="27">
        <f>-H89*H93</f>
        <v>-870.224346994277</v>
      </c>
      <c r="I96" s="2"/>
      <c r="J96" s="2"/>
    </row>
    <row r="97">
      <c r="A97" s="3"/>
      <c r="B97" s="23" t="s">
        <v>342</v>
      </c>
      <c r="C97" s="8">
        <f>C89+C96</f>
        <v>2543</v>
      </c>
      <c r="D97" s="8">
        <f>D89+D96</f>
        <v>218</v>
      </c>
      <c r="E97" s="8">
        <f>E89+E96</f>
        <v>12807</v>
      </c>
      <c r="F97" s="8">
        <f>F89+F96</f>
        <v>6481</v>
      </c>
      <c r="G97" s="8">
        <f>G89+G96</f>
        <v>5670</v>
      </c>
      <c r="H97" s="29">
        <f>H89+H96</f>
        <v>3833.691042163977</v>
      </c>
      <c r="I97" s="2"/>
      <c r="J97" s="2"/>
    </row>
    <row r="98">
      <c r="A98" s="3"/>
      <c r="B98" s="25" t="s">
        <v>343</v>
      </c>
      <c r="C98" s="31">
        <v>-195</v>
      </c>
      <c r="D98" s="31">
        <v>-208</v>
      </c>
      <c r="E98" s="31">
        <v>-751</v>
      </c>
      <c r="F98" s="31">
        <v>-201</v>
      </c>
      <c r="G98" s="31">
        <v>-186</v>
      </c>
      <c r="H98" s="20">
        <v>-190</v>
      </c>
      <c r="I98" s="2" t="s">
        <v>344</v>
      </c>
      <c r="J98" s="2"/>
    </row>
    <row r="99">
      <c r="A99" s="3"/>
      <c r="B99" s="23" t="s">
        <v>345</v>
      </c>
      <c r="C99" s="8">
        <f>C97+C98</f>
        <v>2348</v>
      </c>
      <c r="D99" s="8">
        <f>D97+D98</f>
        <v>10</v>
      </c>
      <c r="E99" s="8">
        <f>E97+E98</f>
        <v>12056</v>
      </c>
      <c r="F99" s="8">
        <f>F97+F98</f>
        <v>6280</v>
      </c>
      <c r="G99" s="8">
        <f>G97+G98</f>
        <v>5484</v>
      </c>
      <c r="H99" s="29">
        <f>H97+H98</f>
        <v>3643.691042163977</v>
      </c>
      <c r="I99" s="2"/>
      <c r="J99" s="2"/>
    </row>
    <row r="100">
      <c r="A100" s="3"/>
      <c r="B100" s="75" t="s">
        <v>346</v>
      </c>
      <c r="C100" s="31">
        <v>6055</v>
      </c>
      <c r="D100" s="31">
        <v>5543</v>
      </c>
      <c r="E100" s="31">
        <v>14405</v>
      </c>
      <c r="F100" s="31">
        <v>6292</v>
      </c>
      <c r="G100" s="31">
        <v>3406</v>
      </c>
      <c r="H100" s="27">
        <f>C99</f>
        <v>2348</v>
      </c>
      <c r="I100" s="2"/>
      <c r="J100" s="2"/>
    </row>
    <row r="101">
      <c r="A101" s="3"/>
      <c r="B101" s="45" t="s">
        <v>79</v>
      </c>
      <c r="C101" s="6">
        <f>IFERROR(C99/C100-1,"n/a")</f>
        <v>-0.6122213047068539</v>
      </c>
      <c r="D101" s="6">
        <f>IFERROR(D99/D100-1,"n/a")</f>
        <v>-0.9981959227854952</v>
      </c>
      <c r="E101" s="6">
        <f>IFERROR(E99/E100-1,"n/a")</f>
        <v>-0.16306837903505722</v>
      </c>
      <c r="F101" s="6">
        <f>IFERROR(F99/F100-1,"n/a")</f>
        <v>-0.00190718372536558</v>
      </c>
      <c r="G101" s="6">
        <f>IFERROR(G99/G100-1,"n/a")</f>
        <v>0.6100998238402819</v>
      </c>
      <c r="H101" s="50">
        <f>IFERROR(H99/C99-1,"n/a")</f>
        <v>0.551827530734232</v>
      </c>
      <c r="I101" s="2"/>
      <c r="J101" s="2"/>
    </row>
    <row r="102">
      <c r="A102" s="3"/>
      <c r="B102" s="45" t="s">
        <v>347</v>
      </c>
      <c r="C102" s="6">
        <f>C99/C48</f>
        <v>0.020749198045262943</v>
      </c>
      <c r="D102" s="6">
        <f>D99/D48</f>
        <v>0.00008832751843836947</v>
      </c>
      <c r="E102" s="6">
        <f>E99/E48</f>
        <v>0.026936749134766416</v>
      </c>
      <c r="F102" s="6">
        <f>F99/F48</f>
        <v>0.056211455321738976</v>
      </c>
      <c r="G102" s="6">
        <f>G99/G48</f>
        <v>0.0489502999143102</v>
      </c>
      <c r="H102" s="50">
        <f>H99/H48</f>
        <v>0.03257516282353491</v>
      </c>
      <c r="I102" s="2"/>
      <c r="J102" s="2"/>
    </row>
    <row r="103">
      <c r="A103" s="3"/>
      <c r="B103" s="19" t="s">
        <v>91</v>
      </c>
      <c r="C103" s="24" t="s">
        <v>53</v>
      </c>
      <c r="D103" s="24">
        <f>IFERROR((D102-C102)*10000,"n/a")</f>
        <v>-206.60870526824576</v>
      </c>
      <c r="E103" s="24" t="s">
        <v>53</v>
      </c>
      <c r="F103" s="24">
        <f>IFERROR((F102-D102)*10000,"n/a")</f>
        <v>561.2312780330061</v>
      </c>
      <c r="G103" s="24">
        <f>IFERROR((G102-F102)*10000,"n/a")</f>
        <v>-72.61155407428777</v>
      </c>
      <c r="H103" s="66">
        <f>IFERROR((H102-G102)*10000,"n/a")</f>
        <v>-163.7513709077529</v>
      </c>
      <c r="I103" s="2"/>
      <c r="J103" s="2"/>
    </row>
    <row r="104">
      <c r="A104" s="3"/>
      <c r="B104" s="19" t="s">
        <v>92</v>
      </c>
      <c r="C104" s="24">
        <f>IFERROR((C102-C100/C49)*10000,"n/a")</f>
        <v>-393.0833022293781</v>
      </c>
      <c r="D104" s="24">
        <f>IFERROR((D102-D100/D49)*10000,"n/a")</f>
        <v>-548.9793335630247</v>
      </c>
      <c r="E104" s="24">
        <f>IFERROR((E102-E100/E49)*10000,"n/a")</f>
        <v>-90.50739560590313</v>
      </c>
      <c r="F104" s="24">
        <f>IFERROR((F102-F100/F49)*10000,"n/a")</f>
        <v>-12.10401853711629</v>
      </c>
      <c r="G104" s="24">
        <f>IFERROR((G102-G100/G49)*10000,"n/a")</f>
        <v>184.34961611557904</v>
      </c>
      <c r="H104" s="66">
        <f>(H102-C102)*10000</f>
        <v>118.2596477827197</v>
      </c>
      <c r="I104" s="2"/>
      <c r="J104" s="2"/>
    </row>
    <row r="105">
      <c r="A105" s="3"/>
      <c r="B105" s="28" t="s">
        <v>348</v>
      </c>
      <c r="C105" s="1"/>
      <c r="D105" s="1"/>
      <c r="E105" s="10">
        <f>E99-(Inputs!C142+C99+D99)</f>
        <v>0</v>
      </c>
      <c r="F105" s="1"/>
      <c r="G105" s="1"/>
      <c r="H105" s="27"/>
      <c r="I105" s="2"/>
      <c r="J105" s="2"/>
    </row>
    <row r="106">
      <c r="A106" s="3"/>
      <c r="B106" s="3"/>
      <c r="C106" s="3"/>
      <c r="D106" s="3"/>
      <c r="E106" s="3"/>
      <c r="F106" s="3"/>
      <c r="G106" s="3"/>
      <c r="H106" s="13"/>
      <c r="I106" s="2"/>
      <c r="J106" s="2"/>
    </row>
    <row r="107">
      <c r="A107" s="3"/>
      <c r="B107" s="23" t="s">
        <v>349</v>
      </c>
      <c r="C107" s="3"/>
      <c r="D107" s="3"/>
      <c r="E107" s="3"/>
      <c r="F107" s="3"/>
      <c r="G107" s="3"/>
      <c r="H107" s="13"/>
      <c r="I107" s="2"/>
      <c r="J107" s="2"/>
    </row>
    <row r="108">
      <c r="A108" s="3"/>
      <c r="B108" s="25" t="s">
        <v>350</v>
      </c>
      <c r="C108" s="10">
        <f>'Share Count'!C22</f>
        <v>906</v>
      </c>
      <c r="D108" s="10" t="str">
        <f>'Share Count'!D22</f>
        <v>n/d</v>
      </c>
      <c r="E108" s="10">
        <f>'Share Count'!E22</f>
        <v>908</v>
      </c>
      <c r="F108" s="10">
        <f>'Share Count'!F22</f>
        <v>908</v>
      </c>
      <c r="G108" s="10">
        <f>'Share Count'!G22</f>
        <v>902</v>
      </c>
      <c r="H108" s="12">
        <f>'Share Count'!H22</f>
        <v>897.8</v>
      </c>
      <c r="I108" s="2"/>
      <c r="J108" s="2"/>
    </row>
    <row r="109">
      <c r="A109" s="3"/>
      <c r="B109" s="25" t="s">
        <v>351</v>
      </c>
      <c r="C109" s="10">
        <f>'Share Count'!C26</f>
        <v>908</v>
      </c>
      <c r="D109" s="10">
        <f>'Share Count'!D26</f>
        <v>910</v>
      </c>
      <c r="E109" s="10">
        <f>'Share Count'!E26</f>
        <v>911</v>
      </c>
      <c r="F109" s="10">
        <f>'Share Count'!F26</f>
        <v>910</v>
      </c>
      <c r="G109" s="10">
        <f>'Share Count'!G26</f>
        <v>906</v>
      </c>
      <c r="H109" s="12">
        <f>'Share Count'!H26</f>
        <v>900.8</v>
      </c>
      <c r="I109" s="2"/>
      <c r="J109" s="2"/>
    </row>
    <row r="110">
      <c r="A110" s="3"/>
      <c r="B110" s="25" t="s">
        <v>352</v>
      </c>
      <c r="C110" s="30">
        <f>IFERROR(C99/C108,"n/d")</f>
        <v>2.5916114790286975</v>
      </c>
      <c r="D110" s="30" t="str">
        <f>IFERROR(D99/D108,"n/d")</f>
        <v>n/d</v>
      </c>
      <c r="E110" s="30">
        <f>IFERROR(E99/E108,"n/d")</f>
        <v>13.277533039647578</v>
      </c>
      <c r="F110" s="30">
        <f>IFERROR(F99/F108,"n/d")</f>
        <v>6.916299559471366</v>
      </c>
      <c r="G110" s="30">
        <f>IFERROR(G99/G108,"n/d")</f>
        <v>6.0798226164079825</v>
      </c>
      <c r="H110" s="61">
        <f>IFERROR(H99/H108,"n/d")</f>
        <v>4.058466297799039</v>
      </c>
      <c r="I110" s="2"/>
      <c r="J110" s="2"/>
    </row>
    <row r="111">
      <c r="A111" s="3"/>
      <c r="B111" s="23" t="s">
        <v>353</v>
      </c>
      <c r="C111" s="49">
        <f>C99/C109</f>
        <v>2.5859030837004404</v>
      </c>
      <c r="D111" s="49">
        <f>D99/D109</f>
        <v>0.01098901098901099</v>
      </c>
      <c r="E111" s="49">
        <f>E99/E109</f>
        <v>13.233809001097695</v>
      </c>
      <c r="F111" s="49">
        <f>F99/F109</f>
        <v>6.9010989010989015</v>
      </c>
      <c r="G111" s="49">
        <f>G99/G109</f>
        <v>6.052980132450331</v>
      </c>
      <c r="H111" s="80">
        <f>H99/H109</f>
        <v>4.04495009121223</v>
      </c>
      <c r="I111" s="2"/>
      <c r="J111" s="2"/>
    </row>
    <row r="112">
      <c r="A112" s="3"/>
      <c r="B112" s="28" t="s">
        <v>354</v>
      </c>
      <c r="C112" s="46">
        <v>2.59</v>
      </c>
      <c r="D112" s="46">
        <v>0.01</v>
      </c>
      <c r="E112" s="46">
        <v>13.23</v>
      </c>
      <c r="F112" s="46">
        <v>6.9</v>
      </c>
      <c r="G112" s="46">
        <v>6.04</v>
      </c>
      <c r="H112" s="61"/>
      <c r="I112" s="2" t="s">
        <v>355</v>
      </c>
      <c r="J112" s="2"/>
    </row>
    <row r="113">
      <c r="A113" s="3"/>
      <c r="B113" s="28" t="s">
        <v>356</v>
      </c>
      <c r="C113" s="30">
        <f>C112-C111</f>
        <v>0.004096916299559439</v>
      </c>
      <c r="D113" s="30">
        <f>D112-D111</f>
        <v>-0.0009890109890109897</v>
      </c>
      <c r="E113" s="30">
        <f>E112-E111</f>
        <v>-0.0038090010976947752</v>
      </c>
      <c r="F113" s="30">
        <f>F112-F111</f>
        <v>-0.001098901098901095</v>
      </c>
      <c r="G113" s="30">
        <f>G112-G111</f>
        <v>-0.012980132450331361</v>
      </c>
      <c r="H113" s="61" t="s">
        <v>53</v>
      </c>
      <c r="I113" s="2"/>
      <c r="J113" s="2"/>
    </row>
    <row r="114">
      <c r="A114" s="3"/>
      <c r="B114" s="75" t="s">
        <v>357</v>
      </c>
      <c r="C114" s="46">
        <v>6.51</v>
      </c>
      <c r="D114" s="46">
        <v>5.98</v>
      </c>
      <c r="E114" s="46">
        <v>15.51</v>
      </c>
      <c r="F114" s="46">
        <v>6.85</v>
      </c>
      <c r="G114" s="46">
        <v>3.74</v>
      </c>
      <c r="H114" s="61">
        <f>C112</f>
        <v>2.59</v>
      </c>
      <c r="I114" s="2"/>
      <c r="J114" s="2"/>
    </row>
    <row r="115">
      <c r="A115" s="3"/>
      <c r="B115" s="45" t="s">
        <v>79</v>
      </c>
      <c r="C115" s="6">
        <f>IFERROR(C112/C114-1,"n/a")</f>
        <v>-0.6021505376344086</v>
      </c>
      <c r="D115" s="6">
        <f>IFERROR(D112/D114-1,"n/a")</f>
        <v>-0.9983277591973244</v>
      </c>
      <c r="E115" s="6">
        <f>IFERROR(E112/E114-1,"n/a")</f>
        <v>-0.14700193423597674</v>
      </c>
      <c r="F115" s="6">
        <f>IFERROR(F112/F114-1,"n/a")</f>
        <v>0.007299270072992803</v>
      </c>
      <c r="G115" s="6">
        <f>IFERROR(G112/G114-1,"n/a")</f>
        <v>0.6149732620320856</v>
      </c>
      <c r="H115" s="50">
        <f>IFERROR(H111/H114-1,"n/a")</f>
        <v>0.561756791973834</v>
      </c>
      <c r="I115" s="2"/>
      <c r="J115" s="2"/>
    </row>
    <row r="116">
      <c r="A116" s="3"/>
      <c r="B116" s="28" t="s">
        <v>358</v>
      </c>
      <c r="C116" s="82">
        <f>IF(ABS(C113)&gt;0.02,1,0)</f>
        <v>0</v>
      </c>
      <c r="D116" s="82">
        <f>IF(ABS(D113)&gt;0.02,1,0)</f>
        <v>0</v>
      </c>
      <c r="E116" s="82">
        <f>IF(ABS(E113)&gt;0.02,1,0)</f>
        <v>0</v>
      </c>
      <c r="F116" s="82">
        <f>IF(ABS(F113)&gt;0.02,1,0)</f>
        <v>0</v>
      </c>
      <c r="G116" s="82">
        <f>IF(ABS(G113)&gt;0.02,1,0)</f>
        <v>0</v>
      </c>
      <c r="H116" s="89" t="s">
        <v>53</v>
      </c>
      <c r="I116" s="2"/>
      <c r="J116" s="2"/>
    </row>
    <row r="117">
      <c r="A117" s="3"/>
      <c r="B117" s="28" t="s">
        <v>359</v>
      </c>
      <c r="C117" s="1">
        <f>ROUND(C111-C99/C109,6)</f>
        <v>0</v>
      </c>
      <c r="D117" s="1">
        <f>ROUND(D111-D99/D109,6)</f>
        <v>0</v>
      </c>
      <c r="E117" s="1">
        <f>ROUND(E111-E99/E109,6)</f>
        <v>0</v>
      </c>
      <c r="F117" s="1">
        <f>ROUND(F111-F99/F109,6)</f>
        <v>0</v>
      </c>
      <c r="G117" s="1">
        <f>ROUND(G111-G99/G109,6)</f>
        <v>0</v>
      </c>
      <c r="H117" s="27">
        <f>ROUND(H111-H99/H109,6)</f>
        <v>0</v>
      </c>
      <c r="I117" s="2" t="s">
        <v>360</v>
      </c>
      <c r="J117" s="2"/>
    </row>
    <row r="118">
      <c r="A118" s="3"/>
      <c r="B118" s="3"/>
      <c r="C118" s="3"/>
      <c r="D118" s="3"/>
      <c r="E118" s="3"/>
      <c r="F118" s="3"/>
      <c r="G118" s="3"/>
      <c r="H118" s="13"/>
      <c r="I118" s="2"/>
      <c r="J118" s="2"/>
    </row>
    <row r="119">
      <c r="A119" s="3"/>
      <c r="B119" s="23" t="s">
        <v>361</v>
      </c>
      <c r="C119" s="3"/>
      <c r="D119" s="3"/>
      <c r="E119" s="3"/>
      <c r="F119" s="3"/>
      <c r="G119" s="3"/>
      <c r="H119" s="13"/>
      <c r="I119" s="2"/>
      <c r="J119" s="2"/>
    </row>
    <row r="120">
      <c r="A120" s="3"/>
      <c r="B120" s="25" t="s">
        <v>362</v>
      </c>
      <c r="C120" s="1">
        <f>C99</f>
        <v>2348</v>
      </c>
      <c r="D120" s="1">
        <f>D99</f>
        <v>10</v>
      </c>
      <c r="E120" s="1">
        <f>E99</f>
        <v>12056</v>
      </c>
      <c r="F120" s="1">
        <f>F99</f>
        <v>6280</v>
      </c>
      <c r="G120" s="1">
        <f>G99</f>
        <v>5484</v>
      </c>
      <c r="H120" s="27">
        <f>H99</f>
        <v>3643.691042163977</v>
      </c>
      <c r="I120" s="2"/>
      <c r="J120" s="2"/>
    </row>
    <row r="121">
      <c r="A121" s="3"/>
      <c r="B121" s="25" t="s">
        <v>363</v>
      </c>
      <c r="C121" s="31">
        <v>401</v>
      </c>
      <c r="D121" s="31">
        <v>386</v>
      </c>
      <c r="E121" s="31">
        <v>1613</v>
      </c>
      <c r="F121" s="31">
        <v>334</v>
      </c>
      <c r="G121" s="31">
        <v>346</v>
      </c>
      <c r="H121" s="20">
        <v>333</v>
      </c>
      <c r="I121" s="2" t="s">
        <v>364</v>
      </c>
      <c r="J121" s="2"/>
    </row>
    <row r="122">
      <c r="A122" s="3"/>
      <c r="B122" s="25" t="s">
        <v>248</v>
      </c>
      <c r="C122" s="10">
        <f>'Segment - Optum Health'!C97+'Segment - Optum Insight'!C74+'Segment - Optum Rx'!C80</f>
        <v>0</v>
      </c>
      <c r="D122" s="10">
        <f>'Segment - Optum Health'!D97+'Segment - Optum Insight'!D74+'Segment - Optum Rx'!D80</f>
        <v>799</v>
      </c>
      <c r="E122" s="10">
        <f>'Segment - Optum Health'!E97+'Segment - Optum Insight'!E74+'Segment - Optum Rx'!E80</f>
        <v>799</v>
      </c>
      <c r="F122" s="10">
        <f>'Segment - Optum Health'!F97+'Segment - Optum Insight'!F74+'Segment - Optum Rx'!F80</f>
        <v>0</v>
      </c>
      <c r="G122" s="10">
        <f>'Segment - Optum Health'!G97+'Segment - Optum Insight'!G74+'Segment - Optum Rx'!G80</f>
        <v>0</v>
      </c>
      <c r="H122" s="12">
        <f>'Segment - Optum Health'!H97+'Segment - Optum Insight'!H74+'Segment - Optum Rx'!H80</f>
        <v>0</v>
      </c>
      <c r="I122" s="2" t="s">
        <v>365</v>
      </c>
      <c r="J122" s="2"/>
    </row>
    <row r="123">
      <c r="A123" s="3"/>
      <c r="B123" s="28" t="s">
        <v>366</v>
      </c>
      <c r="C123" s="31">
        <v>-83</v>
      </c>
      <c r="D123" s="31">
        <v>0</v>
      </c>
      <c r="E123" s="31">
        <v>-139</v>
      </c>
      <c r="F123" s="31">
        <v>0</v>
      </c>
      <c r="G123" s="31">
        <v>0</v>
      </c>
      <c r="H123" s="20">
        <v>0</v>
      </c>
      <c r="I123" s="2" t="s">
        <v>367</v>
      </c>
      <c r="J123" s="2"/>
    </row>
    <row r="124">
      <c r="A124" s="3"/>
      <c r="B124" s="25" t="s">
        <v>249</v>
      </c>
      <c r="C124" s="10">
        <f>'Segment - Optum Health'!C98+'Segment - Optum Insight'!C75+'Segment - Optum Rx'!C81-C88+C123</f>
        <v>0</v>
      </c>
      <c r="D124" s="10">
        <f>'Segment - Optum Health'!D98+'Segment - Optum Insight'!D75+'Segment - Optum Rx'!D81-D88+D123</f>
        <v>-442</v>
      </c>
      <c r="E124" s="10">
        <f>'Segment - Optum Health'!E98+'Segment - Optum Insight'!E75+'Segment - Optum Rx'!E81-E88+E123</f>
        <v>-442</v>
      </c>
      <c r="F124" s="10">
        <f>'Segment - Optum Health'!F98+'Segment - Optum Insight'!F75+'Segment - Optum Rx'!F81-F88+F123</f>
        <v>-158</v>
      </c>
      <c r="G124" s="10">
        <f>'Segment - Optum Health'!G98+'Segment - Optum Insight'!G75+'Segment - Optum Rx'!G81-G88+G123</f>
        <v>100</v>
      </c>
      <c r="H124" s="12">
        <f>'Segment - Optum Health'!H98+'Segment - Optum Insight'!H75+'Segment - Optum Rx'!H81-H88+H123</f>
        <v>60</v>
      </c>
      <c r="I124" s="2" t="s">
        <v>368</v>
      </c>
      <c r="J124" s="2"/>
    </row>
    <row r="125">
      <c r="A125" s="3"/>
      <c r="B125" s="25" t="s">
        <v>268</v>
      </c>
      <c r="C125" s="10">
        <f>'Segment - UnitedHealthcare'!C265+'Segment - Optum Health'!C99+'Segment - Optum Insight'!C76+'Segment - Optum Rx'!C82</f>
        <v>0</v>
      </c>
      <c r="D125" s="10">
        <f>'Segment - UnitedHealthcare'!D265+'Segment - Optum Health'!D99+'Segment - Optum Insight'!D76+'Segment - Optum Rx'!D82</f>
        <v>2521</v>
      </c>
      <c r="E125" s="10">
        <f>'Segment - UnitedHealthcare'!E265+'Segment - Optum Health'!E99+'Segment - Optum Insight'!E76+'Segment - Optum Rx'!E82</f>
        <v>2521</v>
      </c>
      <c r="F125" s="10">
        <f>'Segment - UnitedHealthcare'!F265+'Segment - Optum Health'!F99+'Segment - Optum Insight'!F76+'Segment - Optum Rx'!F82</f>
        <v>204</v>
      </c>
      <c r="G125" s="10">
        <f>'Segment - UnitedHealthcare'!G265+'Segment - Optum Health'!G99+'Segment - Optum Insight'!G76+'Segment - Optum Rx'!G82</f>
        <v>-51</v>
      </c>
      <c r="H125" s="12">
        <f>'Segment - UnitedHealthcare'!H265+'Segment - Optum Health'!H99+'Segment - Optum Insight'!H76+'Segment - Optum Rx'!H82</f>
        <v>-109</v>
      </c>
      <c r="I125" s="2" t="s">
        <v>369</v>
      </c>
      <c r="J125" s="2"/>
    </row>
    <row r="126">
      <c r="A126" s="3"/>
      <c r="B126" s="45" t="s">
        <v>370</v>
      </c>
      <c r="C126" s="6">
        <f>IFERROR(-C129/(C121+C122+C124+C125),"n/a")</f>
        <v>0.24688279301745636</v>
      </c>
      <c r="D126" s="6">
        <f>IFERROR(-D129/(D121+D122+D124+D125),"n/a")</f>
        <v>0.41360294117647056</v>
      </c>
      <c r="E126" s="6">
        <f>IFERROR(-E129/(E121+E122+E124+E125),"n/a")</f>
        <v>0.36740146960587844</v>
      </c>
      <c r="F126" s="6">
        <f>IFERROR(-F129/(F121+F122+F124+F125),"n/a")</f>
        <v>0.21578947368421053</v>
      </c>
      <c r="G126" s="6">
        <f>IFERROR(-G129/(G121+G122+G124+G125),"n/a")</f>
        <v>0.22025316455696203</v>
      </c>
      <c r="H126" s="67">
        <v>0.225</v>
      </c>
      <c r="I126" s="2" t="s">
        <v>371</v>
      </c>
      <c r="J126" s="2"/>
    </row>
    <row r="127">
      <c r="A127" s="3"/>
      <c r="B127" s="19" t="s">
        <v>91</v>
      </c>
      <c r="C127" s="24" t="s">
        <v>53</v>
      </c>
      <c r="D127" s="24">
        <f>IFERROR((D126-C126)*10000,"n/a")</f>
        <v>1667.201481590142</v>
      </c>
      <c r="E127" s="24" t="s">
        <v>53</v>
      </c>
      <c r="F127" s="24">
        <f>IFERROR((F126-D126)*10000,"n/a")</f>
        <v>-1978.1346749226004</v>
      </c>
      <c r="G127" s="24">
        <f>IFERROR((G126-F126)*10000,"n/a")</f>
        <v>44.63690872751502</v>
      </c>
      <c r="H127" s="66">
        <f>IFERROR((H126-G126)*10000,"n/a")</f>
        <v>47.46835443037972</v>
      </c>
      <c r="I127" s="2"/>
      <c r="J127" s="2"/>
    </row>
    <row r="128">
      <c r="A128" s="3"/>
      <c r="B128" s="19" t="s">
        <v>92</v>
      </c>
      <c r="C128" s="24" t="s">
        <v>53</v>
      </c>
      <c r="D128" s="24" t="s">
        <v>53</v>
      </c>
      <c r="E128" s="24" t="s">
        <v>53</v>
      </c>
      <c r="F128" s="24" t="s">
        <v>53</v>
      </c>
      <c r="G128" s="24" t="s">
        <v>53</v>
      </c>
      <c r="H128" s="66">
        <f>(H126-C126)*10000</f>
        <v>-218.82793017456353</v>
      </c>
      <c r="I128" s="2"/>
      <c r="J128" s="2"/>
    </row>
    <row r="129">
      <c r="A129" s="3"/>
      <c r="B129" s="25" t="s">
        <v>372</v>
      </c>
      <c r="C129" s="31">
        <v>-99</v>
      </c>
      <c r="D129" s="31">
        <v>-1350</v>
      </c>
      <c r="E129" s="31">
        <v>-1650</v>
      </c>
      <c r="F129" s="31">
        <v>-82</v>
      </c>
      <c r="G129" s="31">
        <v>-87</v>
      </c>
      <c r="H129" s="27">
        <f>-(H121+H122+H124+H125)*H126</f>
        <v>-63.9</v>
      </c>
      <c r="I129" s="2"/>
      <c r="J129" s="2"/>
    </row>
    <row r="130">
      <c r="A130" s="3"/>
      <c r="B130" s="23" t="s">
        <v>373</v>
      </c>
      <c r="C130" s="8">
        <f>C120+C121+C122+C124+C125+C129</f>
        <v>2650</v>
      </c>
      <c r="D130" s="8">
        <f>D120+D121+D122+D124+D125+D129</f>
        <v>1924</v>
      </c>
      <c r="E130" s="8">
        <f>E120+E121+E122+E124+E125+E129</f>
        <v>14897</v>
      </c>
      <c r="F130" s="8">
        <f>F120+F121+F122+F124+F125+F129</f>
        <v>6578</v>
      </c>
      <c r="G130" s="8">
        <f>G120+G121+G122+G124+G125+G129</f>
        <v>5792</v>
      </c>
      <c r="H130" s="29">
        <f>H120+H121+H122+H124+H125+H129</f>
        <v>3863.7910421639767</v>
      </c>
      <c r="I130" s="2"/>
      <c r="J130" s="2"/>
    </row>
    <row r="131">
      <c r="A131" s="3"/>
      <c r="B131" s="28" t="s">
        <v>374</v>
      </c>
      <c r="C131" s="31">
        <v>2650</v>
      </c>
      <c r="D131" s="31">
        <v>1924</v>
      </c>
      <c r="E131" s="31">
        <v>14897</v>
      </c>
      <c r="F131" s="31">
        <v>6578</v>
      </c>
      <c r="G131" s="31">
        <v>5792</v>
      </c>
      <c r="H131" s="27"/>
      <c r="I131" s="2"/>
      <c r="J131" s="2"/>
    </row>
    <row r="132">
      <c r="A132" s="3"/>
      <c r="B132" s="28" t="s">
        <v>375</v>
      </c>
      <c r="C132" s="1">
        <f>C130-C131</f>
        <v>0</v>
      </c>
      <c r="D132" s="1">
        <f>D130-D131</f>
        <v>0</v>
      </c>
      <c r="E132" s="1">
        <f>E130-E131</f>
        <v>0</v>
      </c>
      <c r="F132" s="1">
        <f>F130-F131</f>
        <v>0</v>
      </c>
      <c r="G132" s="1">
        <f>G130-G131</f>
        <v>0</v>
      </c>
      <c r="H132" s="27" t="s">
        <v>53</v>
      </c>
      <c r="I132" s="2"/>
      <c r="J132" s="2"/>
    </row>
    <row r="133">
      <c r="A133" s="3"/>
      <c r="B133" s="23" t="s">
        <v>376</v>
      </c>
      <c r="C133" s="49">
        <f>C130/C109</f>
        <v>2.9185022026431717</v>
      </c>
      <c r="D133" s="49">
        <f>D130/D109</f>
        <v>2.1142857142857143</v>
      </c>
      <c r="E133" s="49">
        <f>E130/E109</f>
        <v>16.352360043907794</v>
      </c>
      <c r="F133" s="49">
        <f>F130/F109</f>
        <v>7.228571428571429</v>
      </c>
      <c r="G133" s="49">
        <f>G130/G109</f>
        <v>6.392935982339956</v>
      </c>
      <c r="H133" s="80">
        <f>H130/H109</f>
        <v>4.289288457109211</v>
      </c>
      <c r="I133" s="2" t="s">
        <v>377</v>
      </c>
      <c r="J133" s="2"/>
    </row>
    <row r="134">
      <c r="A134" s="3"/>
      <c r="B134" s="28" t="s">
        <v>378</v>
      </c>
      <c r="C134" s="46">
        <v>2.92</v>
      </c>
      <c r="D134" s="46">
        <v>2.11</v>
      </c>
      <c r="E134" s="46">
        <v>16.35</v>
      </c>
      <c r="F134" s="46">
        <v>7.23</v>
      </c>
      <c r="G134" s="46">
        <v>6.38</v>
      </c>
      <c r="H134" s="61"/>
      <c r="I134" s="2"/>
      <c r="J134" s="2"/>
    </row>
    <row r="135">
      <c r="A135" s="3"/>
      <c r="B135" s="28" t="s">
        <v>379</v>
      </c>
      <c r="C135" s="53">
        <f>Inputs!E103</f>
        <v>2.92</v>
      </c>
      <c r="D135" s="53">
        <f>Inputs!F103</f>
        <v>2.11</v>
      </c>
      <c r="E135" s="30" t="s">
        <v>53</v>
      </c>
      <c r="F135" s="53">
        <f>Inputs!G103</f>
        <v>7.23</v>
      </c>
      <c r="G135" s="53">
        <f>Inputs!H103</f>
        <v>6.38</v>
      </c>
      <c r="H135" s="61" t="s">
        <v>53</v>
      </c>
      <c r="I135" s="2" t="s">
        <v>380</v>
      </c>
      <c r="J135" s="2"/>
    </row>
    <row r="136">
      <c r="A136" s="3"/>
      <c r="B136" s="28" t="s">
        <v>356</v>
      </c>
      <c r="C136" s="30">
        <f>C134-C133</f>
        <v>0.001497797356828201</v>
      </c>
      <c r="D136" s="30">
        <f>D134-D133</f>
        <v>-0.004285714285714448</v>
      </c>
      <c r="E136" s="30">
        <f>E134-E133</f>
        <v>-0.0023600439077924307</v>
      </c>
      <c r="F136" s="30">
        <f>F134-F133</f>
        <v>0.0014285714285717788</v>
      </c>
      <c r="G136" s="30">
        <f>G134-G133</f>
        <v>-0.012935982339955743</v>
      </c>
      <c r="H136" s="61" t="s">
        <v>53</v>
      </c>
      <c r="I136" s="2"/>
      <c r="J136" s="2"/>
    </row>
    <row r="137">
      <c r="A137" s="3"/>
      <c r="B137" s="75" t="s">
        <v>381</v>
      </c>
      <c r="C137" s="46">
        <v>7.15</v>
      </c>
      <c r="D137" s="46">
        <v>6.81</v>
      </c>
      <c r="E137" s="46">
        <v>27.66</v>
      </c>
      <c r="F137" s="46">
        <v>7.2</v>
      </c>
      <c r="G137" s="46">
        <v>4.08</v>
      </c>
      <c r="H137" s="61">
        <f>C134</f>
        <v>2.92</v>
      </c>
      <c r="I137" s="2"/>
      <c r="J137" s="2"/>
    </row>
    <row r="138">
      <c r="A138" s="3"/>
      <c r="B138" s="45" t="s">
        <v>79</v>
      </c>
      <c r="C138" s="6">
        <f>IFERROR(C134/C137-1,"n/a")</f>
        <v>-0.5916083916083916</v>
      </c>
      <c r="D138" s="6">
        <f>IFERROR(D134/D137-1,"n/a")</f>
        <v>-0.6901615271659325</v>
      </c>
      <c r="E138" s="6">
        <f>IFERROR(E134/E137-1,"n/a")</f>
        <v>-0.40889370932754876</v>
      </c>
      <c r="F138" s="6">
        <f>IFERROR(F134/F137-1,"n/a")</f>
        <v>0.004166666666666652</v>
      </c>
      <c r="G138" s="6">
        <f>IFERROR(G134/G137-1,"n/a")</f>
        <v>0.5637254901960784</v>
      </c>
      <c r="H138" s="50">
        <f>IFERROR(H133/H137-1,"n/a")</f>
        <v>0.4689344031195928</v>
      </c>
      <c r="I138" s="2"/>
      <c r="J138" s="2"/>
    </row>
    <row r="139">
      <c r="A139" s="3"/>
      <c r="B139" s="28" t="s">
        <v>382</v>
      </c>
      <c r="C139" s="30">
        <f>C121/C109</f>
        <v>0.44162995594713655</v>
      </c>
      <c r="D139" s="30">
        <f>D121/D109</f>
        <v>0.42417582417582417</v>
      </c>
      <c r="E139" s="30">
        <f>E121/E109</f>
        <v>1.7705817782656421</v>
      </c>
      <c r="F139" s="30">
        <f>F121/F109</f>
        <v>0.367032967032967</v>
      </c>
      <c r="G139" s="30">
        <f>G121/G109</f>
        <v>0.3818984547461369</v>
      </c>
      <c r="H139" s="61">
        <f>H121/H109</f>
        <v>0.3696714031971581</v>
      </c>
      <c r="I139" s="2"/>
      <c r="J139" s="2"/>
    </row>
    <row r="140">
      <c r="A140" s="3"/>
      <c r="B140" s="28" t="s">
        <v>383</v>
      </c>
      <c r="C140" s="30">
        <f>(C122+C124+C125)/C109</f>
        <v>0</v>
      </c>
      <c r="D140" s="30">
        <f>(D122+D124+D125)/D109</f>
        <v>3.1626373626373625</v>
      </c>
      <c r="E140" s="30">
        <f>(E122+E124+E125)/E109</f>
        <v>3.159165751920966</v>
      </c>
      <c r="F140" s="30">
        <f>(F122+F124+F125)/F109</f>
        <v>0.05054945054945055</v>
      </c>
      <c r="G140" s="30">
        <f>(G122+G124+G125)/G109</f>
        <v>0.05408388520971302</v>
      </c>
      <c r="H140" s="61">
        <f>(H122+H124+H125)/H109</f>
        <v>-0.054396092362344585</v>
      </c>
      <c r="I140" s="2"/>
      <c r="J140" s="2"/>
    </row>
    <row r="141">
      <c r="A141" s="3"/>
      <c r="B141" s="28" t="s">
        <v>384</v>
      </c>
      <c r="C141" s="30">
        <f>C129/C109</f>
        <v>-0.10903083700440529</v>
      </c>
      <c r="D141" s="30">
        <f>D129/D109</f>
        <v>-1.4835164835164836</v>
      </c>
      <c r="E141" s="30">
        <f>E129/E109</f>
        <v>-1.8111964873765094</v>
      </c>
      <c r="F141" s="30">
        <f>F129/F109</f>
        <v>-0.09010989010989011</v>
      </c>
      <c r="G141" s="30">
        <f>G129/G109</f>
        <v>-0.09602649006622517</v>
      </c>
      <c r="H141" s="61">
        <f>H129/H109</f>
        <v>-0.07093694493783304</v>
      </c>
      <c r="I141" s="2"/>
      <c r="J141" s="2"/>
    </row>
    <row r="142">
      <c r="A142" s="3"/>
      <c r="B142" s="23" t="s">
        <v>385</v>
      </c>
      <c r="C142" s="37">
        <f>'Segment - UnitedHealthcare'!C266+'Segment - Optum Health'!C100+'Segment - Optum Insight'!C77+'Segment - Optum Rx'!C83</f>
        <v>4315</v>
      </c>
      <c r="D142" s="37">
        <f>'Segment - UnitedHealthcare'!D266+'Segment - Optum Health'!D100+'Segment - Optum Insight'!D77+'Segment - Optum Rx'!D83</f>
        <v>3132</v>
      </c>
      <c r="E142" s="37">
        <f>'Segment - UnitedHealthcare'!E266+'Segment - Optum Health'!E100+'Segment - Optum Insight'!E77+'Segment - Optum Rx'!E83</f>
        <v>21716</v>
      </c>
      <c r="F142" s="37">
        <f>'Segment - UnitedHealthcare'!F266+'Segment - Optum Health'!F100+'Segment - Optum Insight'!F77+'Segment - Optum Rx'!F83</f>
        <v>8964</v>
      </c>
      <c r="G142" s="37">
        <f>'Segment - UnitedHealthcare'!G266+'Segment - Optum Health'!G100+'Segment - Optum Insight'!G77+'Segment - Optum Rx'!G83</f>
        <v>7979</v>
      </c>
      <c r="H142" s="64">
        <f>'Segment - UnitedHealthcare'!H266+'Segment - Optum Health'!H100+'Segment - Optum Insight'!H77+'Segment - Optum Rx'!H83</f>
        <v>5599.915389158254</v>
      </c>
      <c r="I142" s="2" t="s">
        <v>386</v>
      </c>
      <c r="J142" s="2"/>
    </row>
    <row r="143">
      <c r="A143" s="3"/>
      <c r="B143" s="28" t="s">
        <v>387</v>
      </c>
      <c r="C143" s="31">
        <v>4315</v>
      </c>
      <c r="D143" s="31">
        <v>3132</v>
      </c>
      <c r="E143" s="31">
        <v>21716</v>
      </c>
      <c r="F143" s="31">
        <v>8964</v>
      </c>
      <c r="G143" s="31">
        <v>7979</v>
      </c>
      <c r="H143" s="27"/>
      <c r="I143" s="2"/>
      <c r="J143" s="2"/>
    </row>
    <row r="144">
      <c r="A144" s="3"/>
      <c r="B144" s="28" t="s">
        <v>388</v>
      </c>
      <c r="C144" s="1">
        <f>C142-C143</f>
        <v>0</v>
      </c>
      <c r="D144" s="1">
        <f>D142-D143</f>
        <v>0</v>
      </c>
      <c r="E144" s="1">
        <f>E142-E143</f>
        <v>0</v>
      </c>
      <c r="F144" s="1">
        <f>F142-F143</f>
        <v>0</v>
      </c>
      <c r="G144" s="1">
        <f>G142-G143</f>
        <v>0</v>
      </c>
      <c r="H144" s="27" t="s">
        <v>53</v>
      </c>
      <c r="I144" s="2"/>
      <c r="J144" s="2"/>
    </row>
    <row r="145">
      <c r="A145" s="3"/>
      <c r="B145" s="45" t="s">
        <v>253</v>
      </c>
      <c r="C145" s="6">
        <f>C142/C48</f>
        <v>0.03813151173991039</v>
      </c>
      <c r="D145" s="6">
        <f>D142/D48</f>
        <v>0.027664178774897318</v>
      </c>
      <c r="E145" s="6">
        <f>E142/E48</f>
        <v>0.048520109838303536</v>
      </c>
      <c r="F145" s="6">
        <f>F142/F48</f>
        <v>0.08023558686370512</v>
      </c>
      <c r="G145" s="6">
        <f>G142/G48</f>
        <v>0.07122072265067124</v>
      </c>
      <c r="H145" s="50">
        <f>H142/H48</f>
        <v>0.050064111772635755</v>
      </c>
      <c r="I145" s="2"/>
      <c r="J145" s="2"/>
    </row>
    <row r="146">
      <c r="A146" s="3"/>
      <c r="B146" s="19" t="s">
        <v>91</v>
      </c>
      <c r="C146" s="24" t="s">
        <v>53</v>
      </c>
      <c r="D146" s="24">
        <f>IFERROR((D145-C145)*10000,"n/a")</f>
        <v>-104.67332965013073</v>
      </c>
      <c r="E146" s="24" t="s">
        <v>53</v>
      </c>
      <c r="F146" s="24">
        <f>IFERROR((F145-D145)*10000,"n/a")</f>
        <v>525.714080888078</v>
      </c>
      <c r="G146" s="24">
        <f>IFERROR((G145-F145)*10000,"n/a")</f>
        <v>-90.1486421303388</v>
      </c>
      <c r="H146" s="66">
        <f>IFERROR((H145-G145)*10000,"n/a")</f>
        <v>-211.56610878035485</v>
      </c>
      <c r="I146" s="2"/>
      <c r="J146" s="2"/>
    </row>
    <row r="147">
      <c r="A147" s="3"/>
      <c r="B147" s="19" t="s">
        <v>92</v>
      </c>
      <c r="C147" s="24" t="s">
        <v>53</v>
      </c>
      <c r="D147" s="24" t="s">
        <v>53</v>
      </c>
      <c r="E147" s="24" t="s">
        <v>53</v>
      </c>
      <c r="F147" s="24" t="s">
        <v>53</v>
      </c>
      <c r="G147" s="24" t="s">
        <v>53</v>
      </c>
      <c r="H147" s="66">
        <f>(H145-C145)*10000</f>
        <v>119.32600032725365</v>
      </c>
      <c r="I147" s="2"/>
      <c r="J147" s="2"/>
    </row>
    <row r="148">
      <c r="A148" s="3"/>
      <c r="B148" s="3"/>
      <c r="C148" s="3"/>
      <c r="D148" s="3"/>
      <c r="E148" s="3"/>
      <c r="F148" s="3"/>
      <c r="G148" s="3"/>
      <c r="H148" s="13"/>
      <c r="I148" s="2"/>
      <c r="J148" s="2"/>
    </row>
    <row r="149">
      <c r="A149" s="3"/>
      <c r="B149" s="3"/>
      <c r="C149" s="3"/>
      <c r="D149" s="3"/>
      <c r="E149" s="3"/>
      <c r="F149" s="3"/>
      <c r="G149" s="3"/>
      <c r="H149" s="13"/>
      <c r="I149" s="2"/>
      <c r="J149" s="2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5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389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390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25" t="s">
        <v>391</v>
      </c>
      <c r="C10" s="31">
        <v>27210</v>
      </c>
      <c r="D10" s="31">
        <v>24365</v>
      </c>
      <c r="E10" s="1">
        <f>D10</f>
        <v>24365</v>
      </c>
      <c r="F10" s="31">
        <v>28001</v>
      </c>
      <c r="G10" s="31">
        <v>28585</v>
      </c>
      <c r="H10" s="12">
        <f>'Cash Flow Statement'!H40</f>
        <v>23461.795042163976</v>
      </c>
      <c r="I10" s="2" t="s">
        <v>392</v>
      </c>
      <c r="J10" s="2"/>
    </row>
    <row r="11">
      <c r="A11" s="3"/>
      <c r="B11" s="25" t="s">
        <v>393</v>
      </c>
      <c r="C11" s="31">
        <v>3404</v>
      </c>
      <c r="D11" s="31">
        <v>3756</v>
      </c>
      <c r="E11" s="1">
        <f>D11</f>
        <v>3756</v>
      </c>
      <c r="F11" s="31">
        <v>3228</v>
      </c>
      <c r="G11" s="31">
        <v>2883</v>
      </c>
      <c r="H11" s="27">
        <f>G11</f>
        <v>2883</v>
      </c>
      <c r="I11" s="2"/>
      <c r="J11" s="2"/>
    </row>
    <row r="12">
      <c r="A12" s="3"/>
      <c r="B12" s="25" t="s">
        <v>394</v>
      </c>
      <c r="C12" s="31">
        <v>22672</v>
      </c>
      <c r="D12" s="31">
        <v>23018</v>
      </c>
      <c r="E12" s="1">
        <f>D12</f>
        <v>23018</v>
      </c>
      <c r="F12" s="31">
        <v>26587</v>
      </c>
      <c r="G12" s="31">
        <v>21573</v>
      </c>
      <c r="H12" s="27">
        <f>G12</f>
        <v>21573</v>
      </c>
      <c r="I12" s="2"/>
      <c r="J12" s="2"/>
    </row>
    <row r="13">
      <c r="A13" s="3"/>
      <c r="B13" s="25" t="s">
        <v>395</v>
      </c>
      <c r="C13" s="31">
        <v>32762</v>
      </c>
      <c r="D13" s="31">
        <v>29697</v>
      </c>
      <c r="E13" s="1">
        <f>D13</f>
        <v>29697</v>
      </c>
      <c r="F13" s="31">
        <v>24588</v>
      </c>
      <c r="G13" s="31">
        <v>24722</v>
      </c>
      <c r="H13" s="12">
        <f>G13-'Cash Flow Statement'!H24</f>
        <v>24672</v>
      </c>
      <c r="I13" s="2"/>
      <c r="J13" s="2"/>
    </row>
    <row r="14">
      <c r="A14" s="3"/>
      <c r="B14" s="25" t="s">
        <v>396</v>
      </c>
      <c r="C14" s="31">
        <v>9019</v>
      </c>
      <c r="D14" s="31">
        <v>9746</v>
      </c>
      <c r="E14" s="1">
        <f>D14</f>
        <v>9746</v>
      </c>
      <c r="F14" s="31">
        <v>8723</v>
      </c>
      <c r="G14" s="31">
        <v>9097</v>
      </c>
      <c r="H14" s="27">
        <f>G14</f>
        <v>9097</v>
      </c>
      <c r="I14" s="2"/>
      <c r="J14" s="2"/>
    </row>
    <row r="15">
      <c r="A15" s="3"/>
      <c r="B15" s="23" t="s">
        <v>397</v>
      </c>
      <c r="C15" s="8">
        <f>C10+C11+C12+C13+C14</f>
        <v>95067</v>
      </c>
      <c r="D15" s="8">
        <f>D10+D11+D12+D13+D14</f>
        <v>90582</v>
      </c>
      <c r="E15" s="8">
        <f>E10+E11+E12+E13+E14</f>
        <v>90582</v>
      </c>
      <c r="F15" s="8">
        <f>F10+F11+F12+F13+F14</f>
        <v>91127</v>
      </c>
      <c r="G15" s="8">
        <f>G10+G11+G12+G13+G14</f>
        <v>86860</v>
      </c>
      <c r="H15" s="29">
        <f>H10+H11+H12+H13+H14</f>
        <v>81686.79504216398</v>
      </c>
      <c r="I15" s="2"/>
      <c r="J15" s="2"/>
    </row>
    <row r="16">
      <c r="A16" s="3"/>
      <c r="B16" s="25" t="s">
        <v>398</v>
      </c>
      <c r="C16" s="31">
        <v>52996</v>
      </c>
      <c r="D16" s="31">
        <v>54251</v>
      </c>
      <c r="E16" s="1">
        <f>D16</f>
        <v>54251</v>
      </c>
      <c r="F16" s="31">
        <v>56788</v>
      </c>
      <c r="G16" s="31">
        <v>57716</v>
      </c>
      <c r="H16" s="12">
        <f>G16-'Cash Flow Statement'!H20</f>
        <v>58216</v>
      </c>
      <c r="I16" s="2"/>
      <c r="J16" s="2"/>
    </row>
    <row r="17">
      <c r="A17" s="3"/>
      <c r="B17" s="25" t="s">
        <v>399</v>
      </c>
      <c r="C17" s="31">
        <v>11104</v>
      </c>
      <c r="D17" s="31">
        <v>10762</v>
      </c>
      <c r="E17" s="1">
        <f>D17</f>
        <v>10762</v>
      </c>
      <c r="F17" s="31">
        <v>10667</v>
      </c>
      <c r="G17" s="31">
        <v>10762</v>
      </c>
      <c r="H17" s="12">
        <f>G17-'Cash Flow Statement'!H21-('Income Statement'!H77-'Income Statement'!H121)</f>
        <v>11155</v>
      </c>
      <c r="I17" s="2"/>
      <c r="J17" s="2"/>
    </row>
    <row r="18">
      <c r="A18" s="3"/>
      <c r="B18" s="25" t="s">
        <v>400</v>
      </c>
      <c r="C18" s="31">
        <v>110340</v>
      </c>
      <c r="D18" s="31">
        <v>110499</v>
      </c>
      <c r="E18" s="1">
        <f>D18</f>
        <v>110499</v>
      </c>
      <c r="F18" s="31">
        <v>110512</v>
      </c>
      <c r="G18" s="31">
        <v>110645</v>
      </c>
      <c r="H18" s="12">
        <f>G18-'Cash Flow Statement'!H22</f>
        <v>110645</v>
      </c>
      <c r="I18" s="2"/>
      <c r="J18" s="2"/>
    </row>
    <row r="19">
      <c r="A19" s="3"/>
      <c r="B19" s="25" t="s">
        <v>401</v>
      </c>
      <c r="C19" s="31">
        <v>22785</v>
      </c>
      <c r="D19" s="31">
        <v>20474</v>
      </c>
      <c r="E19" s="1">
        <f>D19</f>
        <v>20474</v>
      </c>
      <c r="F19" s="31">
        <v>20093</v>
      </c>
      <c r="G19" s="31">
        <v>19749</v>
      </c>
      <c r="H19" s="12">
        <f>G19-'Income Statement'!H121</f>
        <v>19416</v>
      </c>
      <c r="I19" s="2"/>
      <c r="J19" s="2"/>
    </row>
    <row r="20">
      <c r="A20" s="3"/>
      <c r="B20" s="25" t="s">
        <v>402</v>
      </c>
      <c r="C20" s="31">
        <v>22977</v>
      </c>
      <c r="D20" s="31">
        <v>23013</v>
      </c>
      <c r="E20" s="1">
        <f>D20</f>
        <v>23013</v>
      </c>
      <c r="F20" s="31">
        <v>23457</v>
      </c>
      <c r="G20" s="31">
        <v>23995</v>
      </c>
      <c r="H20" s="12">
        <f>G20+'Income Statement'!H88-'Cash Flow Statement'!H25-'Cash Flow Statement'!H12</f>
        <v>23935</v>
      </c>
      <c r="I20" s="2"/>
      <c r="J20" s="2"/>
    </row>
    <row r="21">
      <c r="A21" s="3"/>
      <c r="B21" s="23" t="s">
        <v>403</v>
      </c>
      <c r="C21" s="8">
        <f>C15+C16+C17+C18+C19+C20</f>
        <v>315269</v>
      </c>
      <c r="D21" s="8">
        <f>D15+D16+D17+D18+D19+D20</f>
        <v>309581</v>
      </c>
      <c r="E21" s="8">
        <f>E15+E16+E17+E18+E19+E20</f>
        <v>309581</v>
      </c>
      <c r="F21" s="8">
        <f>F15+F16+F17+F18+F19+F20</f>
        <v>312644</v>
      </c>
      <c r="G21" s="8">
        <f>G15+G16+G17+G18+G19+G20</f>
        <v>309727</v>
      </c>
      <c r="H21" s="29">
        <f>H15+H16+H17+H18+H19+H20</f>
        <v>305053.795042164</v>
      </c>
      <c r="I21" s="2"/>
      <c r="J21" s="2"/>
    </row>
    <row r="22">
      <c r="A22" s="3"/>
      <c r="B22" s="28" t="s">
        <v>404</v>
      </c>
      <c r="C22" s="31">
        <v>315269</v>
      </c>
      <c r="D22" s="31">
        <v>309581</v>
      </c>
      <c r="E22" s="1">
        <f>D22</f>
        <v>309581</v>
      </c>
      <c r="F22" s="31">
        <v>312644</v>
      </c>
      <c r="G22" s="31">
        <v>309727</v>
      </c>
      <c r="H22" s="27"/>
      <c r="I22" s="2"/>
      <c r="J22" s="2"/>
    </row>
    <row r="23">
      <c r="A23" s="3"/>
      <c r="B23" s="28" t="s">
        <v>405</v>
      </c>
      <c r="C23" s="1">
        <f>C21-C22</f>
        <v>0</v>
      </c>
      <c r="D23" s="1">
        <f>D21-D22</f>
        <v>0</v>
      </c>
      <c r="E23" s="1">
        <f>E21-E22</f>
        <v>0</v>
      </c>
      <c r="F23" s="1">
        <f>F21-F22</f>
        <v>0</v>
      </c>
      <c r="G23" s="1">
        <f>G21-G22</f>
        <v>0</v>
      </c>
      <c r="H23" s="27" t="s">
        <v>53</v>
      </c>
      <c r="I23" s="2"/>
      <c r="J23" s="2"/>
    </row>
    <row r="24">
      <c r="A24" s="3"/>
      <c r="B24" s="3"/>
      <c r="C24" s="3"/>
      <c r="D24" s="3"/>
      <c r="E24" s="3"/>
      <c r="F24" s="3"/>
      <c r="G24" s="3"/>
      <c r="H24" s="13"/>
      <c r="I24" s="2"/>
      <c r="J24" s="2"/>
    </row>
    <row r="25">
      <c r="A25" s="3"/>
      <c r="B25" s="23" t="s">
        <v>406</v>
      </c>
      <c r="C25" s="3"/>
      <c r="D25" s="3"/>
      <c r="E25" s="3"/>
      <c r="F25" s="3"/>
      <c r="G25" s="3"/>
      <c r="H25" s="13"/>
      <c r="I25" s="2"/>
      <c r="J25" s="2"/>
    </row>
    <row r="26">
      <c r="A26" s="3"/>
      <c r="B26" s="25" t="s">
        <v>407</v>
      </c>
      <c r="C26" s="31">
        <v>40181</v>
      </c>
      <c r="D26" s="31">
        <v>39337</v>
      </c>
      <c r="E26" s="1">
        <f>D26</f>
        <v>39337</v>
      </c>
      <c r="F26" s="31">
        <v>39659</v>
      </c>
      <c r="G26" s="31">
        <v>38930</v>
      </c>
      <c r="H26" s="27">
        <f>G26</f>
        <v>38930</v>
      </c>
      <c r="I26" s="2"/>
      <c r="J26" s="2"/>
    </row>
    <row r="27">
      <c r="A27" s="3"/>
      <c r="B27" s="25" t="s">
        <v>408</v>
      </c>
      <c r="C27" s="31">
        <v>36033</v>
      </c>
      <c r="D27" s="31">
        <v>38032</v>
      </c>
      <c r="E27" s="1">
        <f>D27</f>
        <v>38032</v>
      </c>
      <c r="F27" s="31">
        <v>38631</v>
      </c>
      <c r="G27" s="31">
        <v>39741</v>
      </c>
      <c r="H27" s="12">
        <f>G27+'Cash Flow Statement'!H15</f>
        <v>37041</v>
      </c>
      <c r="I27" s="2" t="s">
        <v>409</v>
      </c>
      <c r="J27" s="2"/>
    </row>
    <row r="28">
      <c r="A28" s="3"/>
      <c r="B28" s="25" t="s">
        <v>410</v>
      </c>
      <c r="C28" s="31">
        <v>7737</v>
      </c>
      <c r="D28" s="31">
        <v>6069</v>
      </c>
      <c r="E28" s="1">
        <f>D28</f>
        <v>6069</v>
      </c>
      <c r="F28" s="31">
        <v>6477</v>
      </c>
      <c r="G28" s="31">
        <v>3827</v>
      </c>
      <c r="H28" s="27">
        <f>G28</f>
        <v>3827</v>
      </c>
      <c r="I28" s="2"/>
      <c r="J28" s="2"/>
    </row>
    <row r="29">
      <c r="A29" s="3"/>
      <c r="B29" s="25" t="s">
        <v>411</v>
      </c>
      <c r="C29" s="31">
        <v>3366</v>
      </c>
      <c r="D29" s="31">
        <v>3413</v>
      </c>
      <c r="E29" s="1">
        <f>D29</f>
        <v>3413</v>
      </c>
      <c r="F29" s="31">
        <v>3419</v>
      </c>
      <c r="G29" s="31">
        <v>2986</v>
      </c>
      <c r="H29" s="27">
        <f>G29</f>
        <v>2986</v>
      </c>
      <c r="I29" s="2"/>
      <c r="J29" s="2"/>
    </row>
    <row r="30">
      <c r="A30" s="3"/>
      <c r="B30" s="25" t="s">
        <v>412</v>
      </c>
      <c r="C30" s="31">
        <v>28209</v>
      </c>
      <c r="D30" s="31">
        <v>28046</v>
      </c>
      <c r="E30" s="1">
        <f>D30</f>
        <v>28046</v>
      </c>
      <c r="F30" s="31">
        <v>25938</v>
      </c>
      <c r="G30" s="31">
        <v>26336</v>
      </c>
      <c r="H30" s="12">
        <f>G30-'Share Count'!H18</f>
        <v>24336</v>
      </c>
      <c r="I30" s="2" t="s">
        <v>413</v>
      </c>
      <c r="J30" s="2"/>
    </row>
    <row r="31">
      <c r="A31" s="3"/>
      <c r="B31" s="23" t="s">
        <v>414</v>
      </c>
      <c r="C31" s="8">
        <f>C26+C27+C28+C29+C30</f>
        <v>115526</v>
      </c>
      <c r="D31" s="8">
        <f>D26+D27+D28+D29+D30</f>
        <v>114897</v>
      </c>
      <c r="E31" s="8">
        <f>E26+E27+E28+E29+E30</f>
        <v>114897</v>
      </c>
      <c r="F31" s="8">
        <f>F26+F27+F28+F29+F30</f>
        <v>114124</v>
      </c>
      <c r="G31" s="8">
        <f>G26+G27+G28+G29+G30</f>
        <v>111820</v>
      </c>
      <c r="H31" s="29">
        <f>H26+H27+H28+H29+H30</f>
        <v>107120</v>
      </c>
      <c r="I31" s="2"/>
      <c r="J31" s="2"/>
    </row>
    <row r="32">
      <c r="A32" s="3"/>
      <c r="B32" s="25" t="s">
        <v>415</v>
      </c>
      <c r="C32" s="31">
        <v>72399</v>
      </c>
      <c r="D32" s="31">
        <v>72320</v>
      </c>
      <c r="E32" s="1">
        <f>D32</f>
        <v>72320</v>
      </c>
      <c r="F32" s="31">
        <v>71440</v>
      </c>
      <c r="G32" s="31">
        <v>69501</v>
      </c>
      <c r="H32" s="12">
        <f>G32+'Cash Flow Statement'!H31</f>
        <v>68501</v>
      </c>
      <c r="I32" s="2"/>
      <c r="J32" s="2"/>
    </row>
    <row r="33">
      <c r="A33" s="3"/>
      <c r="B33" s="25" t="s">
        <v>416</v>
      </c>
      <c r="C33" s="31">
        <v>3162</v>
      </c>
      <c r="D33" s="31">
        <v>2421</v>
      </c>
      <c r="E33" s="1">
        <f>D33</f>
        <v>2421</v>
      </c>
      <c r="F33" s="31">
        <v>2864</v>
      </c>
      <c r="G33" s="31">
        <v>2722</v>
      </c>
      <c r="H33" s="27">
        <f>G33</f>
        <v>2722</v>
      </c>
      <c r="I33" s="2"/>
      <c r="J33" s="2"/>
    </row>
    <row r="34">
      <c r="A34" s="3"/>
      <c r="B34" s="25" t="s">
        <v>417</v>
      </c>
      <c r="C34" s="31">
        <v>18369</v>
      </c>
      <c r="D34" s="31">
        <v>18245</v>
      </c>
      <c r="E34" s="1">
        <f>D34</f>
        <v>18245</v>
      </c>
      <c r="F34" s="31">
        <v>18897</v>
      </c>
      <c r="G34" s="31">
        <v>19735</v>
      </c>
      <c r="H34" s="27">
        <f>G34</f>
        <v>19735</v>
      </c>
      <c r="I34" s="2"/>
      <c r="J34" s="2"/>
    </row>
    <row r="35">
      <c r="A35" s="3"/>
      <c r="B35" s="23" t="s">
        <v>418</v>
      </c>
      <c r="C35" s="8">
        <f>C31+C32+C33+C34</f>
        <v>209456</v>
      </c>
      <c r="D35" s="8">
        <f>D31+D32+D33+D34</f>
        <v>207883</v>
      </c>
      <c r="E35" s="8">
        <f>E31+E32+E33+E34</f>
        <v>207883</v>
      </c>
      <c r="F35" s="8">
        <f>F31+F32+F33+F34</f>
        <v>207325</v>
      </c>
      <c r="G35" s="8">
        <f>G31+G32+G33+G34</f>
        <v>203778</v>
      </c>
      <c r="H35" s="29">
        <f>H31+H32+H33+H34</f>
        <v>198078</v>
      </c>
      <c r="I35" s="2"/>
      <c r="J35" s="2"/>
    </row>
    <row r="36">
      <c r="A36" s="3"/>
      <c r="B36" s="25" t="s">
        <v>419</v>
      </c>
      <c r="C36" s="31">
        <v>4244</v>
      </c>
      <c r="D36" s="31">
        <v>1608</v>
      </c>
      <c r="E36" s="1">
        <f>D36</f>
        <v>1608</v>
      </c>
      <c r="F36" s="31">
        <v>1424</v>
      </c>
      <c r="G36" s="31">
        <v>1436</v>
      </c>
      <c r="H36" s="27">
        <f>G36</f>
        <v>1436</v>
      </c>
      <c r="I36" s="2"/>
      <c r="J36" s="2"/>
    </row>
    <row r="37">
      <c r="A37" s="3"/>
      <c r="B37" s="3"/>
      <c r="C37" s="3"/>
      <c r="D37" s="3"/>
      <c r="E37" s="3"/>
      <c r="F37" s="3"/>
      <c r="G37" s="3"/>
      <c r="H37" s="13"/>
      <c r="I37" s="2"/>
      <c r="J37" s="2"/>
    </row>
    <row r="38">
      <c r="A38" s="3"/>
      <c r="B38" s="23" t="s">
        <v>420</v>
      </c>
      <c r="C38" s="3"/>
      <c r="D38" s="3"/>
      <c r="E38" s="3"/>
      <c r="F38" s="3"/>
      <c r="G38" s="3"/>
      <c r="H38" s="13"/>
      <c r="I38" s="2"/>
      <c r="J38" s="2"/>
    </row>
    <row r="39">
      <c r="A39" s="3"/>
      <c r="B39" s="25" t="s">
        <v>421</v>
      </c>
      <c r="C39" s="31">
        <v>9</v>
      </c>
      <c r="D39" s="31">
        <v>9</v>
      </c>
      <c r="E39" s="1">
        <f>D39</f>
        <v>9</v>
      </c>
      <c r="F39" s="31">
        <v>9</v>
      </c>
      <c r="G39" s="31">
        <v>9</v>
      </c>
      <c r="H39" s="27">
        <f>G39</f>
        <v>9</v>
      </c>
      <c r="I39" s="2"/>
      <c r="J39" s="2"/>
    </row>
    <row r="40">
      <c r="A40" s="3"/>
      <c r="B40" s="25" t="s">
        <v>422</v>
      </c>
      <c r="C40" s="31">
        <v>394</v>
      </c>
      <c r="D40" s="31">
        <v>559</v>
      </c>
      <c r="E40" s="1">
        <f>D40</f>
        <v>559</v>
      </c>
      <c r="F40" s="31">
        <v>556</v>
      </c>
      <c r="G40" s="31">
        <v>0</v>
      </c>
      <c r="H40" s="27">
        <f>G40</f>
        <v>0</v>
      </c>
      <c r="I40" s="2"/>
      <c r="J40" s="2"/>
    </row>
    <row r="41">
      <c r="A41" s="3"/>
      <c r="B41" s="25" t="s">
        <v>423</v>
      </c>
      <c r="C41" s="31">
        <v>97595</v>
      </c>
      <c r="D41" s="31">
        <v>95603</v>
      </c>
      <c r="E41" s="1">
        <f>D41</f>
        <v>95603</v>
      </c>
      <c r="F41" s="31">
        <v>99878</v>
      </c>
      <c r="G41" s="31">
        <v>100957</v>
      </c>
      <c r="H41" s="12">
        <f>G41+'Income Statement'!H99+'Cash Flow Statement'!H30+('Cash Flow Statement'!H29+'Share Count'!H18)+'Cash Flow Statement'!H13</f>
        <v>101993.79504216398</v>
      </c>
      <c r="I41" s="2" t="s">
        <v>424</v>
      </c>
      <c r="J41" s="2"/>
    </row>
    <row r="42">
      <c r="A42" s="3"/>
      <c r="B42" s="25" t="s">
        <v>425</v>
      </c>
      <c r="C42" s="31">
        <v>-2211</v>
      </c>
      <c r="D42" s="31">
        <v>-2061</v>
      </c>
      <c r="E42" s="1">
        <f>D42</f>
        <v>-2061</v>
      </c>
      <c r="F42" s="31">
        <v>-2562</v>
      </c>
      <c r="G42" s="31">
        <v>-2519</v>
      </c>
      <c r="H42" s="27">
        <f>G42</f>
        <v>-2519</v>
      </c>
      <c r="I42" s="2"/>
      <c r="J42" s="2"/>
    </row>
    <row r="43">
      <c r="A43" s="3"/>
      <c r="B43" s="25" t="s">
        <v>426</v>
      </c>
      <c r="C43" s="31">
        <v>5782</v>
      </c>
      <c r="D43" s="31">
        <v>5980</v>
      </c>
      <c r="E43" s="1">
        <f>D43</f>
        <v>5980</v>
      </c>
      <c r="F43" s="31">
        <v>6014</v>
      </c>
      <c r="G43" s="31">
        <v>6066</v>
      </c>
      <c r="H43" s="12">
        <f>G43-'Income Statement'!H98+'Cash Flow Statement'!H32</f>
        <v>6056</v>
      </c>
      <c r="I43" s="2" t="s">
        <v>427</v>
      </c>
      <c r="J43" s="2"/>
    </row>
    <row r="44">
      <c r="A44" s="3"/>
      <c r="B44" s="23" t="s">
        <v>428</v>
      </c>
      <c r="C44" s="8">
        <f>C39+C40+C41+C42+C43</f>
        <v>101569</v>
      </c>
      <c r="D44" s="8">
        <f>D39+D40+D41+D42+D43</f>
        <v>100090</v>
      </c>
      <c r="E44" s="8">
        <f>E39+E40+E41+E42+E43</f>
        <v>100090</v>
      </c>
      <c r="F44" s="8">
        <f>F39+F40+F41+F42+F43</f>
        <v>103895</v>
      </c>
      <c r="G44" s="8">
        <f>G39+G40+G41+G42+G43</f>
        <v>104513</v>
      </c>
      <c r="H44" s="29">
        <f>H39+H40+H41+H42+H43</f>
        <v>105539.79504216398</v>
      </c>
      <c r="I44" s="2"/>
      <c r="J44" s="2"/>
    </row>
    <row r="45">
      <c r="A45" s="3"/>
      <c r="B45" s="23" t="s">
        <v>429</v>
      </c>
      <c r="C45" s="8">
        <f>C35+C36+C44</f>
        <v>315269</v>
      </c>
      <c r="D45" s="8">
        <f>D35+D36+D44</f>
        <v>309581</v>
      </c>
      <c r="E45" s="8">
        <f>E35+E36+E44</f>
        <v>309581</v>
      </c>
      <c r="F45" s="8">
        <f>F35+F36+F44</f>
        <v>312644</v>
      </c>
      <c r="G45" s="8">
        <f>G35+G36+G44</f>
        <v>309727</v>
      </c>
      <c r="H45" s="29">
        <f>H35+H36+H44</f>
        <v>305053.795042164</v>
      </c>
      <c r="I45" s="2"/>
      <c r="J45" s="2"/>
    </row>
    <row r="46">
      <c r="A46" s="3"/>
      <c r="B46" s="23" t="s">
        <v>430</v>
      </c>
      <c r="C46" s="8">
        <f>ROUND(C21-C35-C36-C44,6)</f>
        <v>0</v>
      </c>
      <c r="D46" s="8">
        <f>ROUND(D21-D35-D36-D44,6)</f>
        <v>0</v>
      </c>
      <c r="E46" s="8">
        <f>ROUND(E21-E35-E36-E44,6)</f>
        <v>0</v>
      </c>
      <c r="F46" s="8">
        <f>ROUND(F21-F35-F36-F44,6)</f>
        <v>0</v>
      </c>
      <c r="G46" s="8">
        <f>ROUND(G21-G35-G36-G44,6)</f>
        <v>0</v>
      </c>
      <c r="H46" s="29">
        <f>ROUND(H21-H35-H36-H44,6)</f>
        <v>0</v>
      </c>
      <c r="I46" s="2"/>
      <c r="J46" s="2"/>
    </row>
    <row r="47">
      <c r="A47" s="3"/>
      <c r="B47" s="3"/>
      <c r="C47" s="3"/>
      <c r="D47" s="3"/>
      <c r="E47" s="3"/>
      <c r="F47" s="3"/>
      <c r="G47" s="3"/>
      <c r="H47" s="13"/>
      <c r="I47" s="2"/>
      <c r="J47" s="2"/>
    </row>
    <row r="48">
      <c r="A48" s="3"/>
      <c r="B48" s="23" t="s">
        <v>431</v>
      </c>
      <c r="C48" s="3"/>
      <c r="D48" s="3"/>
      <c r="E48" s="3"/>
      <c r="F48" s="3"/>
      <c r="G48" s="3"/>
      <c r="H48" s="13"/>
      <c r="I48" s="2"/>
      <c r="J48" s="2"/>
    </row>
    <row r="49">
      <c r="A49" s="3"/>
      <c r="B49" s="25" t="s">
        <v>432</v>
      </c>
      <c r="C49" s="1">
        <f>C28+C32</f>
        <v>80136</v>
      </c>
      <c r="D49" s="1">
        <f>D28+D32</f>
        <v>78389</v>
      </c>
      <c r="E49" s="1">
        <f>E28+E32</f>
        <v>78389</v>
      </c>
      <c r="F49" s="1">
        <f>F28+F32</f>
        <v>77917</v>
      </c>
      <c r="G49" s="1">
        <f>G28+G32</f>
        <v>73328</v>
      </c>
      <c r="H49" s="27">
        <f>H28+H32</f>
        <v>72328</v>
      </c>
      <c r="I49" s="2"/>
      <c r="J49" s="2"/>
    </row>
    <row r="50">
      <c r="A50" s="3"/>
      <c r="B50" s="58" t="s">
        <v>433</v>
      </c>
      <c r="C50" s="6">
        <f>C49/(C49+C44)</f>
        <v>0.4410225365289893</v>
      </c>
      <c r="D50" s="6">
        <f>D49/(D49+D44)</f>
        <v>0.4392057328873425</v>
      </c>
      <c r="E50" s="6">
        <f>E49/(E49+E44)</f>
        <v>0.4392057328873425</v>
      </c>
      <c r="F50" s="6">
        <f>F49/(F49+F44)</f>
        <v>0.4285580709744131</v>
      </c>
      <c r="G50" s="6">
        <f>G49/(G49+G44)</f>
        <v>0.4123233675024319</v>
      </c>
      <c r="H50" s="50">
        <f>H49/(H49+H44)</f>
        <v>0.40663909946628884</v>
      </c>
      <c r="I50" s="2" t="s">
        <v>434</v>
      </c>
      <c r="J50" s="2"/>
    </row>
    <row r="51">
      <c r="A51" s="3"/>
      <c r="B51" s="45" t="s">
        <v>91</v>
      </c>
      <c r="C51" s="24" t="s">
        <v>53</v>
      </c>
      <c r="D51" s="24">
        <f>IFERROR((D50-C50)*10000,"n/a")</f>
        <v>-18.168036416468247</v>
      </c>
      <c r="E51" s="24" t="s">
        <v>53</v>
      </c>
      <c r="F51" s="24">
        <f>IFERROR((F50-D50)*10000,"n/a")</f>
        <v>-106.47661912929374</v>
      </c>
      <c r="G51" s="24">
        <f>IFERROR((G50-F50)*10000,"n/a")</f>
        <v>-162.34703471981194</v>
      </c>
      <c r="H51" s="66">
        <f>IFERROR((H50-G50)*10000,"n/a")</f>
        <v>-56.84268036143081</v>
      </c>
      <c r="I51" s="2"/>
      <c r="J51" s="2"/>
    </row>
    <row r="52">
      <c r="A52" s="3"/>
      <c r="B52" s="45" t="s">
        <v>92</v>
      </c>
      <c r="C52" s="24" t="s">
        <v>53</v>
      </c>
      <c r="D52" s="24" t="s">
        <v>53</v>
      </c>
      <c r="E52" s="24" t="s">
        <v>53</v>
      </c>
      <c r="F52" s="24" t="s">
        <v>53</v>
      </c>
      <c r="G52" s="24" t="s">
        <v>53</v>
      </c>
      <c r="H52" s="66">
        <f>(H50-C50)*10000</f>
        <v>-343.8343706270047</v>
      </c>
      <c r="I52" s="2"/>
      <c r="J52" s="2"/>
    </row>
    <row r="53">
      <c r="A53" s="3"/>
      <c r="B53" s="25" t="s">
        <v>435</v>
      </c>
      <c r="C53" s="10">
        <f>C26/('Income Statement'!C65/C7)</f>
        <v>46.23242202156132</v>
      </c>
      <c r="D53" s="10">
        <f>D26/('Income Statement'!D65/D7)</f>
        <v>44.11213905242501</v>
      </c>
      <c r="E53" s="10">
        <f>E26/('Income Statement'!E65/E7)</f>
        <v>45.72685870794121</v>
      </c>
      <c r="F53" s="10">
        <f>F26/('Income Statement'!F65/F7)</f>
        <v>48.56930969260706</v>
      </c>
      <c r="G53" s="10">
        <f>G26/('Income Statement'!G65/G7)</f>
        <v>47.010669072958414</v>
      </c>
      <c r="H53" s="12">
        <f>H26/('Income Statement'!H65/H7)</f>
        <v>46.23092841458214</v>
      </c>
      <c r="I53" s="2" t="s">
        <v>436</v>
      </c>
      <c r="J53" s="2"/>
    </row>
    <row r="54">
      <c r="A54" s="3"/>
      <c r="B54" s="28" t="s">
        <v>109</v>
      </c>
      <c r="C54" s="1" t="s">
        <v>53</v>
      </c>
      <c r="D54" s="1">
        <f>IFERROR(D53-C53,"n/a")</f>
        <v>-2.120282969136312</v>
      </c>
      <c r="E54" s="1" t="s">
        <v>53</v>
      </c>
      <c r="F54" s="1">
        <f>IFERROR(F53-D53,"n/a")</f>
        <v>4.457170640182049</v>
      </c>
      <c r="G54" s="1">
        <f>IFERROR(G53-F53,"n/a")</f>
        <v>-1.5586406196486422</v>
      </c>
      <c r="H54" s="27">
        <f>IFERROR(H53-G53,"n/a")</f>
        <v>-0.7797406583762765</v>
      </c>
      <c r="I54" s="2"/>
      <c r="J54" s="2"/>
    </row>
    <row r="55">
      <c r="A55" s="3"/>
      <c r="B55" s="28" t="s">
        <v>437</v>
      </c>
      <c r="C55" s="1" t="s">
        <v>53</v>
      </c>
      <c r="D55" s="1" t="s">
        <v>53</v>
      </c>
      <c r="E55" s="1" t="s">
        <v>53</v>
      </c>
      <c r="F55" s="1" t="s">
        <v>53</v>
      </c>
      <c r="G55" s="1" t="s">
        <v>53</v>
      </c>
      <c r="H55" s="27">
        <f>H53-C53</f>
        <v>-0.0014936069791815498</v>
      </c>
      <c r="I55" s="2"/>
      <c r="J55" s="2"/>
    </row>
    <row r="56">
      <c r="A56" s="3"/>
      <c r="B56" s="25" t="s">
        <v>438</v>
      </c>
      <c r="C56" s="1">
        <f>C49-C10-C11</f>
        <v>49522</v>
      </c>
      <c r="D56" s="1">
        <f>D49-D10-D11</f>
        <v>50268</v>
      </c>
      <c r="E56" s="1">
        <f>E49-E10-E11</f>
        <v>50268</v>
      </c>
      <c r="F56" s="1">
        <f>F49-F10-F11</f>
        <v>46688</v>
      </c>
      <c r="G56" s="1">
        <f>G49-G10-G11</f>
        <v>41860</v>
      </c>
      <c r="H56" s="27">
        <f>H49-H10-H11</f>
        <v>45983.204957836024</v>
      </c>
      <c r="I56" s="2"/>
      <c r="J56" s="2"/>
    </row>
    <row r="57">
      <c r="A57" s="3"/>
      <c r="B57" s="3"/>
      <c r="C57" s="3"/>
      <c r="D57" s="3"/>
      <c r="E57" s="3"/>
      <c r="F57" s="3"/>
      <c r="G57" s="3"/>
      <c r="H57" s="13"/>
      <c r="I57" s="2"/>
      <c r="J57" s="2"/>
    </row>
    <row r="58">
      <c r="A58" s="3"/>
      <c r="B58" s="3"/>
      <c r="C58" s="3"/>
      <c r="D58" s="3"/>
      <c r="E58" s="3"/>
      <c r="F58" s="3"/>
      <c r="G58" s="3"/>
      <c r="H58" s="13"/>
      <c r="I58" s="2"/>
      <c r="J58" s="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5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439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440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25" t="s">
        <v>342</v>
      </c>
      <c r="C10" s="10">
        <f>Inputs!E147-Inputs!D147</f>
        <v>2543</v>
      </c>
      <c r="D10" s="10">
        <f>Inputs!F147-Inputs!E147</f>
        <v>218</v>
      </c>
      <c r="E10" s="10">
        <f>Inputs!F147</f>
        <v>12807</v>
      </c>
      <c r="F10" s="10">
        <f>Inputs!G147</f>
        <v>6481</v>
      </c>
      <c r="G10" s="10">
        <f>Inputs!H147-Inputs!G147</f>
        <v>5670</v>
      </c>
      <c r="H10" s="12">
        <f>'Income Statement'!H97</f>
        <v>3833.691042163977</v>
      </c>
      <c r="I10" s="2"/>
      <c r="J10" s="2"/>
    </row>
    <row r="11">
      <c r="A11" s="3"/>
      <c r="B11" s="25" t="s">
        <v>327</v>
      </c>
      <c r="C11" s="10">
        <f>Inputs!E148-Inputs!D148</f>
        <v>1099</v>
      </c>
      <c r="D11" s="10">
        <f>Inputs!F148-Inputs!E148</f>
        <v>1117</v>
      </c>
      <c r="E11" s="10">
        <f>Inputs!F148</f>
        <v>4361</v>
      </c>
      <c r="F11" s="10">
        <f>Inputs!G148</f>
        <v>1029</v>
      </c>
      <c r="G11" s="10">
        <f>Inputs!H148-Inputs!G148</f>
        <v>1040</v>
      </c>
      <c r="H11" s="12">
        <f>'Income Statement'!H77</f>
        <v>1040</v>
      </c>
      <c r="I11" s="2"/>
      <c r="J11" s="2"/>
    </row>
    <row r="12">
      <c r="A12" s="3"/>
      <c r="B12" s="25" t="s">
        <v>441</v>
      </c>
      <c r="C12" s="10">
        <f>Inputs!E149-Inputs!D149</f>
        <v>-995</v>
      </c>
      <c r="D12" s="10">
        <f>Inputs!F149-Inputs!E149</f>
        <v>-34</v>
      </c>
      <c r="E12" s="10">
        <f>Inputs!F149</f>
        <v>-989</v>
      </c>
      <c r="F12" s="10">
        <f>Inputs!G149</f>
        <v>236</v>
      </c>
      <c r="G12" s="10">
        <f>Inputs!H149-Inputs!G149</f>
        <v>-60</v>
      </c>
      <c r="H12" s="20">
        <v>0</v>
      </c>
      <c r="I12" s="2"/>
      <c r="J12" s="2"/>
    </row>
    <row r="13">
      <c r="A13" s="3"/>
      <c r="B13" s="25" t="s">
        <v>442</v>
      </c>
      <c r="C13" s="10">
        <f>Inputs!E150-Inputs!D150</f>
        <v>223</v>
      </c>
      <c r="D13" s="10">
        <f>Inputs!F150-Inputs!E150</f>
        <v>176</v>
      </c>
      <c r="E13" s="10">
        <f>Inputs!F150</f>
        <v>971</v>
      </c>
      <c r="F13" s="10">
        <f>Inputs!G150</f>
        <v>348</v>
      </c>
      <c r="G13" s="10">
        <f>Inputs!H150-Inputs!G150</f>
        <v>276</v>
      </c>
      <c r="H13" s="20">
        <v>290</v>
      </c>
      <c r="I13" s="2" t="s">
        <v>443</v>
      </c>
      <c r="J13" s="2"/>
    </row>
    <row r="14">
      <c r="A14" s="3"/>
      <c r="B14" s="25" t="s">
        <v>335</v>
      </c>
      <c r="C14" s="10">
        <f>Inputs!E151-Inputs!D151</f>
        <v>83</v>
      </c>
      <c r="D14" s="10">
        <f>Inputs!F151-Inputs!E151</f>
        <v>126</v>
      </c>
      <c r="E14" s="10">
        <f>Inputs!F151</f>
        <v>265</v>
      </c>
      <c r="F14" s="10">
        <f>Inputs!G151</f>
        <v>72</v>
      </c>
      <c r="G14" s="10">
        <f>Inputs!H151-Inputs!G151</f>
        <v>61</v>
      </c>
      <c r="H14" s="12">
        <f>-'Income Statement'!H88</f>
        <v>60</v>
      </c>
      <c r="I14" s="2"/>
      <c r="J14" s="2"/>
    </row>
    <row r="15">
      <c r="A15" s="3"/>
      <c r="B15" s="25" t="s">
        <v>444</v>
      </c>
      <c r="C15" s="10">
        <f>Inputs!E152-Inputs!D152</f>
        <v>2992</v>
      </c>
      <c r="D15" s="10">
        <f>Inputs!F152-Inputs!E152</f>
        <v>-495</v>
      </c>
      <c r="E15" s="10">
        <f>Inputs!F152</f>
        <v>2282</v>
      </c>
      <c r="F15" s="10">
        <f>Inputs!G152</f>
        <v>746</v>
      </c>
      <c r="G15" s="10">
        <f>Inputs!H152-Inputs!G152</f>
        <v>4065</v>
      </c>
      <c r="H15" s="20">
        <v>-2700</v>
      </c>
      <c r="I15" s="2" t="s">
        <v>445</v>
      </c>
      <c r="J15" s="2"/>
    </row>
    <row r="16">
      <c r="A16" s="3"/>
      <c r="B16" s="23" t="s">
        <v>446</v>
      </c>
      <c r="C16" s="8">
        <f>C10+C11+C12+C13+C14+C15</f>
        <v>5945</v>
      </c>
      <c r="D16" s="8">
        <f>D10+D11+D12+D13+D14+D15</f>
        <v>1108</v>
      </c>
      <c r="E16" s="8">
        <f>E10+E11+E12+E13+E14+E15</f>
        <v>19697</v>
      </c>
      <c r="F16" s="8">
        <f>F10+F11+F12+F13+F14+F15</f>
        <v>8912</v>
      </c>
      <c r="G16" s="8">
        <f>G10+G11+G12+G13+G14+G15</f>
        <v>11052</v>
      </c>
      <c r="H16" s="29">
        <f>H10+H11+H12+H13+H14+H15</f>
        <v>2523.691042163977</v>
      </c>
      <c r="I16" s="2" t="s">
        <v>447</v>
      </c>
      <c r="J16" s="2"/>
    </row>
    <row r="17">
      <c r="A17" s="3"/>
      <c r="B17" s="28" t="s">
        <v>448</v>
      </c>
      <c r="C17" s="10">
        <f>C16-(Inputs!E153-Inputs!D153)</f>
        <v>0</v>
      </c>
      <c r="D17" s="10">
        <f>D16-(Inputs!F153-Inputs!E153)</f>
        <v>0</v>
      </c>
      <c r="E17" s="10">
        <f>E16-(Inputs!F153)</f>
        <v>0</v>
      </c>
      <c r="F17" s="10">
        <f>F16-(Inputs!G153)</f>
        <v>0</v>
      </c>
      <c r="G17" s="10">
        <f>G16-(Inputs!H153-Inputs!G153)</f>
        <v>0</v>
      </c>
      <c r="H17" s="27" t="s">
        <v>53</v>
      </c>
      <c r="I17" s="2"/>
      <c r="J17" s="2"/>
    </row>
    <row r="18">
      <c r="A18" s="3"/>
      <c r="B18" s="28" t="s">
        <v>449</v>
      </c>
      <c r="C18" s="16">
        <f>IFERROR(C16/C10,"n/a")</f>
        <v>2.33779001179709</v>
      </c>
      <c r="D18" s="16">
        <f>IFERROR(D16/D10,"n/a")</f>
        <v>5.08256880733945</v>
      </c>
      <c r="E18" s="16">
        <f>IFERROR(E16/E10,"n/a")</f>
        <v>1.5379870383384087</v>
      </c>
      <c r="F18" s="16">
        <f>IFERROR(F16/F10,"n/a")</f>
        <v>1.375096435735226</v>
      </c>
      <c r="G18" s="16">
        <f>IFERROR(G16/G10,"n/a")</f>
        <v>1.9492063492063492</v>
      </c>
      <c r="H18" s="72">
        <f>IFERROR(H16/H10,"n/a")</f>
        <v>0.6582927560952972</v>
      </c>
      <c r="I18" s="2"/>
      <c r="J18" s="2"/>
    </row>
    <row r="19">
      <c r="A19" s="3"/>
      <c r="B19" s="23" t="s">
        <v>450</v>
      </c>
      <c r="C19" s="3"/>
      <c r="D19" s="3"/>
      <c r="E19" s="3"/>
      <c r="F19" s="3"/>
      <c r="G19" s="3"/>
      <c r="H19" s="13"/>
      <c r="I19" s="2"/>
      <c r="J19" s="2"/>
    </row>
    <row r="20">
      <c r="A20" s="3"/>
      <c r="B20" s="25" t="s">
        <v>451</v>
      </c>
      <c r="C20" s="10">
        <f>Inputs!E154-Inputs!D154</f>
        <v>330</v>
      </c>
      <c r="D20" s="10">
        <f>Inputs!F154-Inputs!E154</f>
        <v>-1296</v>
      </c>
      <c r="E20" s="10">
        <f>Inputs!F154</f>
        <v>361</v>
      </c>
      <c r="F20" s="10">
        <f>Inputs!G154</f>
        <v>-2352</v>
      </c>
      <c r="G20" s="10">
        <f>Inputs!H154-Inputs!G154</f>
        <v>-399</v>
      </c>
      <c r="H20" s="20">
        <v>-500</v>
      </c>
      <c r="I20" s="2" t="s">
        <v>452</v>
      </c>
      <c r="J20" s="2"/>
    </row>
    <row r="21">
      <c r="A21" s="3"/>
      <c r="B21" s="25" t="s">
        <v>453</v>
      </c>
      <c r="C21" s="10">
        <f>Inputs!E155-Inputs!D155</f>
        <v>-890</v>
      </c>
      <c r="D21" s="10">
        <f>Inputs!F155-Inputs!E155</f>
        <v>-948</v>
      </c>
      <c r="E21" s="10">
        <f>Inputs!F155</f>
        <v>-3622</v>
      </c>
      <c r="F21" s="10">
        <f>Inputs!G155</f>
        <v>-763</v>
      </c>
      <c r="G21" s="10">
        <f>Inputs!H155-Inputs!G155</f>
        <v>-799</v>
      </c>
      <c r="H21" s="20">
        <v>-1100</v>
      </c>
      <c r="I21" s="2" t="s">
        <v>454</v>
      </c>
      <c r="J21" s="2"/>
    </row>
    <row r="22">
      <c r="A22" s="3"/>
      <c r="B22" s="25" t="s">
        <v>455</v>
      </c>
      <c r="C22" s="10">
        <f>Inputs!E156-Inputs!D156</f>
        <v>-3702</v>
      </c>
      <c r="D22" s="10">
        <f>Inputs!F156-Inputs!E156</f>
        <v>-73</v>
      </c>
      <c r="E22" s="10">
        <f>Inputs!F156</f>
        <v>-4509</v>
      </c>
      <c r="F22" s="10">
        <f>Inputs!G156</f>
        <v>0</v>
      </c>
      <c r="G22" s="10">
        <f>Inputs!H156-Inputs!G156</f>
        <v>-98</v>
      </c>
      <c r="H22" s="20">
        <v>0</v>
      </c>
      <c r="I22" s="2" t="s">
        <v>456</v>
      </c>
      <c r="J22" s="2"/>
    </row>
    <row r="23">
      <c r="A23" s="3"/>
      <c r="B23" s="25" t="s">
        <v>457</v>
      </c>
      <c r="C23" s="10">
        <f>Inputs!E157-Inputs!D157</f>
        <v>0</v>
      </c>
      <c r="D23" s="10">
        <f>Inputs!F157-Inputs!E157</f>
        <v>0</v>
      </c>
      <c r="E23" s="10">
        <f>Inputs!F157</f>
        <v>0</v>
      </c>
      <c r="F23" s="10">
        <f>Inputs!G157</f>
        <v>0</v>
      </c>
      <c r="G23" s="10">
        <f>Inputs!H157-Inputs!G157</f>
        <v>0</v>
      </c>
      <c r="H23" s="20">
        <v>0</v>
      </c>
      <c r="I23" s="2"/>
      <c r="J23" s="2"/>
    </row>
    <row r="24">
      <c r="A24" s="3"/>
      <c r="B24" s="25" t="s">
        <v>458</v>
      </c>
      <c r="C24" s="10">
        <f>Inputs!E158-Inputs!D158</f>
        <v>250</v>
      </c>
      <c r="D24" s="10">
        <f>Inputs!F158-Inputs!E158</f>
        <v>137</v>
      </c>
      <c r="E24" s="10">
        <f>Inputs!F158</f>
        <v>1680</v>
      </c>
      <c r="F24" s="10">
        <f>Inputs!G158</f>
        <v>82</v>
      </c>
      <c r="G24" s="10">
        <f>Inputs!H158-Inputs!G158</f>
        <v>115</v>
      </c>
      <c r="H24" s="20">
        <v>50</v>
      </c>
      <c r="I24" s="2"/>
      <c r="J24" s="2"/>
    </row>
    <row r="25">
      <c r="A25" s="3"/>
      <c r="B25" s="25" t="s">
        <v>459</v>
      </c>
      <c r="C25" s="10">
        <f>Inputs!E159-Inputs!D159</f>
        <v>-546</v>
      </c>
      <c r="D25" s="10">
        <f>Inputs!F159-Inputs!E159</f>
        <v>-431</v>
      </c>
      <c r="E25" s="10">
        <f>Inputs!F159</f>
        <v>-2595</v>
      </c>
      <c r="F25" s="10">
        <f>Inputs!G159</f>
        <v>586</v>
      </c>
      <c r="G25" s="10">
        <f>Inputs!H159-Inputs!G159</f>
        <v>-617</v>
      </c>
      <c r="H25" s="20">
        <v>0</v>
      </c>
      <c r="I25" s="2"/>
      <c r="J25" s="2"/>
    </row>
    <row r="26">
      <c r="A26" s="3"/>
      <c r="B26" s="23" t="s">
        <v>460</v>
      </c>
      <c r="C26" s="8">
        <f>C20+C21+C22+C23+C24+C25</f>
        <v>-4558</v>
      </c>
      <c r="D26" s="8">
        <f>D20+D21+D22+D23+D24+D25</f>
        <v>-2611</v>
      </c>
      <c r="E26" s="8">
        <f>E20+E21+E22+E23+E24+E25</f>
        <v>-8685</v>
      </c>
      <c r="F26" s="8">
        <f>F20+F21+F22+F23+F24+F25</f>
        <v>-2447</v>
      </c>
      <c r="G26" s="8">
        <f>G20+G21+G22+G23+G24+G25</f>
        <v>-1798</v>
      </c>
      <c r="H26" s="29">
        <f>H20+H21+H22+H23+H24+H25</f>
        <v>-1550</v>
      </c>
      <c r="I26" s="2"/>
      <c r="J26" s="2"/>
    </row>
    <row r="27">
      <c r="A27" s="3"/>
      <c r="B27" s="28" t="s">
        <v>461</v>
      </c>
      <c r="C27" s="10">
        <f>C26-(Inputs!E160-Inputs!D160)</f>
        <v>0</v>
      </c>
      <c r="D27" s="10">
        <f>D26-(Inputs!F160-Inputs!E160)</f>
        <v>0</v>
      </c>
      <c r="E27" s="10">
        <f>E26-(Inputs!F160)</f>
        <v>0</v>
      </c>
      <c r="F27" s="10">
        <f>F26-(Inputs!G160)</f>
        <v>0</v>
      </c>
      <c r="G27" s="10">
        <f>G26-(Inputs!H160-Inputs!G160)</f>
        <v>0</v>
      </c>
      <c r="H27" s="27" t="s">
        <v>53</v>
      </c>
      <c r="I27" s="2"/>
      <c r="J27" s="2"/>
    </row>
    <row r="28">
      <c r="A28" s="3"/>
      <c r="B28" s="23" t="s">
        <v>462</v>
      </c>
      <c r="C28" s="3"/>
      <c r="D28" s="3"/>
      <c r="E28" s="3"/>
      <c r="F28" s="3"/>
      <c r="G28" s="3"/>
      <c r="H28" s="13"/>
      <c r="I28" s="2"/>
      <c r="J28" s="2"/>
    </row>
    <row r="29">
      <c r="A29" s="3"/>
      <c r="B29" s="25" t="s">
        <v>463</v>
      </c>
      <c r="C29" s="10">
        <f>Inputs!E161-Inputs!D161</f>
        <v>0</v>
      </c>
      <c r="D29" s="10">
        <f>Inputs!F161-Inputs!E161</f>
        <v>0</v>
      </c>
      <c r="E29" s="10">
        <f>Inputs!F161</f>
        <v>-5545</v>
      </c>
      <c r="F29" s="10">
        <f>Inputs!G161</f>
        <v>0</v>
      </c>
      <c r="G29" s="10">
        <f>Inputs!H161-Inputs!G161</f>
        <v>-1646</v>
      </c>
      <c r="H29" s="12">
        <f>-'Share Count'!H19</f>
        <v>-2814</v>
      </c>
      <c r="I29" s="2"/>
      <c r="J29" s="2"/>
    </row>
    <row r="30">
      <c r="A30" s="3"/>
      <c r="B30" s="25" t="s">
        <v>464</v>
      </c>
      <c r="C30" s="10">
        <f>Inputs!E162-Inputs!D162</f>
        <v>-2002</v>
      </c>
      <c r="D30" s="10">
        <f>Inputs!F162-Inputs!E162</f>
        <v>-2002</v>
      </c>
      <c r="E30" s="10">
        <f>Inputs!F162</f>
        <v>-7916</v>
      </c>
      <c r="F30" s="10">
        <f>Inputs!G162</f>
        <v>-2005</v>
      </c>
      <c r="G30" s="10">
        <f>Inputs!H162-Inputs!G162</f>
        <v>-2087</v>
      </c>
      <c r="H30" s="12">
        <f>-'Share Count'!H34</f>
        <v>-2082.8959999999997</v>
      </c>
      <c r="I30" s="2"/>
      <c r="J30" s="2"/>
    </row>
    <row r="31">
      <c r="A31" s="3"/>
      <c r="B31" s="25" t="s">
        <v>465</v>
      </c>
      <c r="C31" s="10">
        <f>Inputs!E163-Inputs!D163</f>
        <v>872</v>
      </c>
      <c r="D31" s="10">
        <f>Inputs!F163-Inputs!E163</f>
        <v>-1712</v>
      </c>
      <c r="E31" s="10">
        <f>Inputs!F163</f>
        <v>726</v>
      </c>
      <c r="F31" s="10">
        <f>Inputs!G163</f>
        <v>-400</v>
      </c>
      <c r="G31" s="10">
        <f>Inputs!H163-Inputs!G163</f>
        <v>-4413</v>
      </c>
      <c r="H31" s="20">
        <v>-1000</v>
      </c>
      <c r="I31" s="2" t="s">
        <v>466</v>
      </c>
      <c r="J31" s="2"/>
    </row>
    <row r="32">
      <c r="A32" s="3"/>
      <c r="B32" s="25" t="s">
        <v>467</v>
      </c>
      <c r="C32" s="10">
        <f>Inputs!E164-Inputs!D164</f>
        <v>-1635</v>
      </c>
      <c r="D32" s="10">
        <f>Inputs!F164-Inputs!E164</f>
        <v>2683</v>
      </c>
      <c r="E32" s="10">
        <f>Inputs!F164</f>
        <v>1091</v>
      </c>
      <c r="F32" s="10">
        <f>Inputs!G164</f>
        <v>-587</v>
      </c>
      <c r="G32" s="10">
        <f>Inputs!H164-Inputs!G164</f>
        <v>-477</v>
      </c>
      <c r="H32" s="20">
        <v>-200</v>
      </c>
      <c r="I32" s="2" t="s">
        <v>468</v>
      </c>
      <c r="J32" s="2"/>
    </row>
    <row r="33">
      <c r="A33" s="3"/>
      <c r="B33" s="23" t="s">
        <v>469</v>
      </c>
      <c r="C33" s="8">
        <f>C29+C30+C31+C32</f>
        <v>-2765</v>
      </c>
      <c r="D33" s="8">
        <f>D29+D30+D31+D32</f>
        <v>-1031</v>
      </c>
      <c r="E33" s="8">
        <f>E29+E30+E31+E32</f>
        <v>-11644</v>
      </c>
      <c r="F33" s="8">
        <f>F29+F30+F31+F32</f>
        <v>-2992</v>
      </c>
      <c r="G33" s="8">
        <f>G29+G30+G31+G32</f>
        <v>-8623</v>
      </c>
      <c r="H33" s="29">
        <f>H29+H30+H31+H32</f>
        <v>-6096.896</v>
      </c>
      <c r="I33" s="2"/>
      <c r="J33" s="2"/>
    </row>
    <row r="34">
      <c r="A34" s="3"/>
      <c r="B34" s="28" t="s">
        <v>470</v>
      </c>
      <c r="C34" s="10">
        <f>C33-(Inputs!E165-Inputs!D165)</f>
        <v>0</v>
      </c>
      <c r="D34" s="10">
        <f>D33-(Inputs!F165-Inputs!E165)</f>
        <v>0</v>
      </c>
      <c r="E34" s="10">
        <f>E33-(Inputs!F165)</f>
        <v>0</v>
      </c>
      <c r="F34" s="10">
        <f>F33-(Inputs!G165)</f>
        <v>0</v>
      </c>
      <c r="G34" s="10">
        <f>G33-(Inputs!H165-Inputs!G165)</f>
        <v>0</v>
      </c>
      <c r="H34" s="27" t="s">
        <v>53</v>
      </c>
      <c r="I34" s="2"/>
      <c r="J34" s="2"/>
    </row>
    <row r="35">
      <c r="A35" s="3"/>
      <c r="B35" s="25" t="s">
        <v>471</v>
      </c>
      <c r="C35" s="10">
        <f>Inputs!E166-Inputs!D166</f>
        <v>-4</v>
      </c>
      <c r="D35" s="10">
        <f>Inputs!F166-Inputs!E166</f>
        <v>15</v>
      </c>
      <c r="E35" s="10">
        <f>Inputs!F166</f>
        <v>40</v>
      </c>
      <c r="F35" s="10">
        <f>Inputs!G166</f>
        <v>-7</v>
      </c>
      <c r="G35" s="10">
        <f>Inputs!H166-Inputs!G166</f>
        <v>4</v>
      </c>
      <c r="H35" s="20">
        <v>0</v>
      </c>
      <c r="I35" s="2"/>
      <c r="J35" s="2"/>
    </row>
    <row r="36">
      <c r="A36" s="3"/>
      <c r="B36" s="23" t="s">
        <v>472</v>
      </c>
      <c r="C36" s="8">
        <f>C16+C26+C33+C35</f>
        <v>-1382</v>
      </c>
      <c r="D36" s="8">
        <f>D16+D26+D33+D35</f>
        <v>-2519</v>
      </c>
      <c r="E36" s="8">
        <f>E16+E26+E33+E35</f>
        <v>-592</v>
      </c>
      <c r="F36" s="8">
        <f>F16+F26+F33+F35</f>
        <v>3466</v>
      </c>
      <c r="G36" s="8">
        <f>G16+G26+G33+G35</f>
        <v>635</v>
      </c>
      <c r="H36" s="29">
        <f>H16+H26+H33+H35</f>
        <v>-5123.204957836023</v>
      </c>
      <c r="I36" s="2"/>
      <c r="J36" s="2"/>
    </row>
    <row r="37">
      <c r="A37" s="3"/>
      <c r="B37" s="25" t="s">
        <v>473</v>
      </c>
      <c r="C37" s="10">
        <f>Inputs!E168-Inputs!D168</f>
        <v>-4</v>
      </c>
      <c r="D37" s="10">
        <f>Inputs!F168-Inputs!E168</f>
        <v>-326</v>
      </c>
      <c r="E37" s="10">
        <f>Inputs!F168</f>
        <v>-355</v>
      </c>
      <c r="F37" s="10">
        <f>Inputs!G168</f>
        <v>170</v>
      </c>
      <c r="G37" s="10">
        <f>Inputs!H168-Inputs!G168</f>
        <v>-51</v>
      </c>
      <c r="H37" s="20">
        <v>0</v>
      </c>
      <c r="I37" s="2"/>
      <c r="J37" s="2"/>
    </row>
    <row r="38">
      <c r="A38" s="3"/>
      <c r="B38" s="23" t="s">
        <v>474</v>
      </c>
      <c r="C38" s="8">
        <f>C36+C37</f>
        <v>-1386</v>
      </c>
      <c r="D38" s="8">
        <f>D36+D37</f>
        <v>-2845</v>
      </c>
      <c r="E38" s="8">
        <f>E36+E37</f>
        <v>-947</v>
      </c>
      <c r="F38" s="8">
        <f>F36+F37</f>
        <v>3636</v>
      </c>
      <c r="G38" s="8">
        <f>G36+G37</f>
        <v>584</v>
      </c>
      <c r="H38" s="29">
        <f>H36+H37</f>
        <v>-5123.204957836023</v>
      </c>
      <c r="I38" s="2"/>
      <c r="J38" s="2"/>
    </row>
    <row r="39">
      <c r="A39" s="3"/>
      <c r="B39" s="25" t="s">
        <v>475</v>
      </c>
      <c r="C39" s="10">
        <f>Inputs!D171</f>
        <v>28596</v>
      </c>
      <c r="D39" s="10">
        <f>'Balance Sheet'!C10</f>
        <v>27210</v>
      </c>
      <c r="E39" s="10">
        <f>Inputs!F170</f>
        <v>25312</v>
      </c>
      <c r="F39" s="10">
        <f>'Balance Sheet'!D10</f>
        <v>24365</v>
      </c>
      <c r="G39" s="10">
        <f>'Balance Sheet'!F10</f>
        <v>28001</v>
      </c>
      <c r="H39" s="12">
        <f>'Balance Sheet'!G10</f>
        <v>28585</v>
      </c>
      <c r="I39" s="2" t="s">
        <v>476</v>
      </c>
      <c r="J39" s="2"/>
    </row>
    <row r="40">
      <c r="A40" s="3"/>
      <c r="B40" s="23" t="s">
        <v>477</v>
      </c>
      <c r="C40" s="8">
        <f>C39+C38</f>
        <v>27210</v>
      </c>
      <c r="D40" s="8">
        <f>D39+D38</f>
        <v>24365</v>
      </c>
      <c r="E40" s="8">
        <f>E39+E38</f>
        <v>24365</v>
      </c>
      <c r="F40" s="8">
        <f>F39+F38</f>
        <v>28001</v>
      </c>
      <c r="G40" s="8">
        <f>G39+G38</f>
        <v>28585</v>
      </c>
      <c r="H40" s="29">
        <f>H39+H38</f>
        <v>23461.795042163976</v>
      </c>
      <c r="I40" s="2"/>
      <c r="J40" s="2"/>
    </row>
    <row r="41">
      <c r="A41" s="3"/>
      <c r="B41" s="23" t="s">
        <v>478</v>
      </c>
      <c r="C41" s="37">
        <f>ROUND(C40-'Balance Sheet'!C10,6)</f>
        <v>0</v>
      </c>
      <c r="D41" s="37">
        <f>ROUND(D40-'Balance Sheet'!D10,6)</f>
        <v>0</v>
      </c>
      <c r="E41" s="37">
        <f>ROUND(E40-'Balance Sheet'!E10,6)</f>
        <v>0</v>
      </c>
      <c r="F41" s="37">
        <f>ROUND(F40-'Balance Sheet'!F10,6)</f>
        <v>0</v>
      </c>
      <c r="G41" s="37">
        <f>ROUND(G40-'Balance Sheet'!G10,6)</f>
        <v>0</v>
      </c>
      <c r="H41" s="64">
        <f>ROUND(H40-'Balance Sheet'!H10,6)</f>
        <v>0</v>
      </c>
      <c r="I41" s="2" t="s">
        <v>479</v>
      </c>
      <c r="J41" s="2"/>
    </row>
    <row r="42">
      <c r="A42" s="3"/>
      <c r="B42" s="28" t="s">
        <v>480</v>
      </c>
      <c r="C42" s="10">
        <f>C40-Inputs!E171</f>
        <v>0</v>
      </c>
      <c r="D42" s="10">
        <f>D40-Inputs!F171</f>
        <v>0</v>
      </c>
      <c r="E42" s="10">
        <f>E40-Inputs!F171</f>
        <v>0</v>
      </c>
      <c r="F42" s="10">
        <f>F40-Inputs!G171</f>
        <v>0</v>
      </c>
      <c r="G42" s="10">
        <f>G40-Inputs!H171</f>
        <v>0</v>
      </c>
      <c r="H42" s="27" t="s">
        <v>53</v>
      </c>
      <c r="I42" s="2"/>
      <c r="J42" s="2"/>
    </row>
    <row r="43">
      <c r="A43" s="3"/>
      <c r="B43" s="3"/>
      <c r="C43" s="3"/>
      <c r="D43" s="3"/>
      <c r="E43" s="3"/>
      <c r="F43" s="3"/>
      <c r="G43" s="3"/>
      <c r="H43" s="13"/>
      <c r="I43" s="2"/>
      <c r="J43" s="2"/>
    </row>
    <row r="44">
      <c r="A44" s="3"/>
      <c r="B44" s="23" t="s">
        <v>481</v>
      </c>
      <c r="C44" s="3"/>
      <c r="D44" s="3"/>
      <c r="E44" s="3"/>
      <c r="F44" s="3"/>
      <c r="G44" s="3"/>
      <c r="H44" s="13"/>
      <c r="I44" s="2"/>
      <c r="J44" s="2"/>
    </row>
    <row r="45">
      <c r="A45" s="3"/>
      <c r="B45" s="23" t="s">
        <v>482</v>
      </c>
      <c r="C45" s="8">
        <f>C16+C21</f>
        <v>5055</v>
      </c>
      <c r="D45" s="8">
        <f>D16+D21</f>
        <v>160</v>
      </c>
      <c r="E45" s="8">
        <f>E16+E21</f>
        <v>16075</v>
      </c>
      <c r="F45" s="8">
        <f>F16+F21</f>
        <v>8149</v>
      </c>
      <c r="G45" s="8">
        <f>G16+G21</f>
        <v>10253</v>
      </c>
      <c r="H45" s="29">
        <f>H16+H21</f>
        <v>1423.6910421639768</v>
      </c>
      <c r="I45" s="2" t="s">
        <v>483</v>
      </c>
      <c r="J45" s="2"/>
    </row>
    <row r="46">
      <c r="A46" s="3"/>
      <c r="B46" s="28" t="s">
        <v>484</v>
      </c>
      <c r="C46" s="14">
        <f>IFERROR(C45/'Income Statement'!C99,"n/a")</f>
        <v>2.1528960817717206</v>
      </c>
      <c r="D46" s="14">
        <f>IFERROR(D45/'Income Statement'!D99,"n/a")</f>
        <v>16</v>
      </c>
      <c r="E46" s="14">
        <f>IFERROR(E45/'Income Statement'!E99,"n/a")</f>
        <v>1.3333609820836099</v>
      </c>
      <c r="F46" s="14">
        <f>IFERROR(F45/'Income Statement'!F99,"n/a")</f>
        <v>1.297611464968153</v>
      </c>
      <c r="G46" s="14">
        <f>IFERROR(G45/'Income Statement'!G99,"n/a")</f>
        <v>1.8696207148067103</v>
      </c>
      <c r="H46" s="70">
        <f>IFERROR(H45/'Income Statement'!H99,"n/a")</f>
        <v>0.3907277059688494</v>
      </c>
      <c r="I46" s="2"/>
      <c r="J46" s="2"/>
    </row>
    <row r="47">
      <c r="A47" s="3"/>
      <c r="B47" s="45" t="s">
        <v>485</v>
      </c>
      <c r="C47" s="38">
        <f>-C21/'Income Statement'!C48</f>
        <v>0.007864900451569004</v>
      </c>
      <c r="D47" s="38">
        <f>-D21/'Income Statement'!D48</f>
        <v>0.008373448747957426</v>
      </c>
      <c r="E47" s="38">
        <f>-E21/'Income Statement'!E48</f>
        <v>0.00809264311265129</v>
      </c>
      <c r="F47" s="38">
        <f>-F21/'Income Statement'!F48</f>
        <v>0.006829512804217649</v>
      </c>
      <c r="G47" s="38">
        <f>-G21/'Income Statement'!G48</f>
        <v>0.0071318908883176236</v>
      </c>
      <c r="H47" s="65">
        <f>-H21/'Income Statement'!H48</f>
        <v>0.009834170540597615</v>
      </c>
      <c r="I47" s="2"/>
      <c r="J47" s="2"/>
    </row>
    <row r="48">
      <c r="A48" s="3"/>
      <c r="B48" s="19" t="s">
        <v>91</v>
      </c>
      <c r="C48" s="24" t="s">
        <v>53</v>
      </c>
      <c r="D48" s="24">
        <f>IFERROR((D47-C47)*10000,"n/a")</f>
        <v>5.085482963884218</v>
      </c>
      <c r="E48" s="24" t="s">
        <v>53</v>
      </c>
      <c r="F48" s="24">
        <f>IFERROR((F47-D47)*10000,"n/a")</f>
        <v>-15.439359437397762</v>
      </c>
      <c r="G48" s="24">
        <f>IFERROR((G47-F47)*10000,"n/a")</f>
        <v>3.023780840999742</v>
      </c>
      <c r="H48" s="66">
        <f>IFERROR((H47-G47)*10000,"n/a")</f>
        <v>27.022796522799915</v>
      </c>
      <c r="I48" s="2"/>
      <c r="J48" s="2"/>
    </row>
    <row r="49">
      <c r="A49" s="3"/>
      <c r="B49" s="19" t="s">
        <v>92</v>
      </c>
      <c r="C49" s="24" t="s">
        <v>53</v>
      </c>
      <c r="D49" s="24" t="s">
        <v>53</v>
      </c>
      <c r="E49" s="24" t="s">
        <v>53</v>
      </c>
      <c r="F49" s="24" t="s">
        <v>53</v>
      </c>
      <c r="G49" s="24" t="s">
        <v>53</v>
      </c>
      <c r="H49" s="66">
        <f>(H47-C47)*10000</f>
        <v>19.692700890286112</v>
      </c>
      <c r="I49" s="2"/>
      <c r="J49" s="2"/>
    </row>
    <row r="50">
      <c r="A50" s="3"/>
      <c r="B50" s="3"/>
      <c r="C50" s="3"/>
      <c r="D50" s="3"/>
      <c r="E50" s="3"/>
      <c r="F50" s="3"/>
      <c r="G50" s="3"/>
      <c r="H50" s="13"/>
      <c r="I50" s="2"/>
      <c r="J50" s="2"/>
    </row>
    <row r="51">
      <c r="A51" s="3"/>
      <c r="B51" s="3"/>
      <c r="C51" s="3"/>
      <c r="D51" s="3"/>
      <c r="E51" s="3"/>
      <c r="F51" s="3"/>
      <c r="G51" s="3"/>
      <c r="H51" s="13"/>
      <c r="I51" s="2"/>
      <c r="J51" s="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486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21" t="s">
        <v>9</v>
      </c>
      <c r="I5" s="5" t="s">
        <v>10</v>
      </c>
      <c r="J5" s="3"/>
    </row>
    <row r="6">
      <c r="A6" s="3"/>
      <c r="B6" s="34" t="s">
        <v>11</v>
      </c>
      <c r="C6" s="9">
        <f>DATE(2025,9,30)</f>
        <v>45930</v>
      </c>
      <c r="D6" s="9">
        <f>DATE(2025,12,31)</f>
        <v>46022</v>
      </c>
      <c r="E6" s="9">
        <f>DATE(2025,12,31)</f>
        <v>46022</v>
      </c>
      <c r="F6" s="9">
        <f>DATE(2026,3,31)</f>
        <v>46112</v>
      </c>
      <c r="G6" s="9">
        <f>DATE(2026,6,30)</f>
        <v>46203</v>
      </c>
      <c r="H6" s="54">
        <f>DATE(2026,9,30)</f>
        <v>46295</v>
      </c>
      <c r="I6" s="34"/>
      <c r="J6" s="3"/>
    </row>
    <row r="7">
      <c r="A7" s="3"/>
      <c r="B7" s="39" t="s">
        <v>12</v>
      </c>
      <c r="C7" s="33">
        <f>C6-DATE(2025,6,30)</f>
        <v>92</v>
      </c>
      <c r="D7" s="33">
        <f>D6-C6</f>
        <v>92</v>
      </c>
      <c r="E7" s="33">
        <f>E6-DATE(2024,12,31)</f>
        <v>365</v>
      </c>
      <c r="F7" s="33">
        <f>F6-D6</f>
        <v>90</v>
      </c>
      <c r="G7" s="33">
        <f>G6-F6</f>
        <v>91</v>
      </c>
      <c r="H7" s="42">
        <f>H6-G6</f>
        <v>92</v>
      </c>
      <c r="I7" s="39"/>
      <c r="J7" s="3"/>
    </row>
    <row r="8">
      <c r="A8" s="3"/>
      <c r="B8" s="3"/>
      <c r="C8" s="3"/>
      <c r="D8" s="3"/>
      <c r="E8" s="3"/>
      <c r="F8" s="3"/>
      <c r="G8" s="3"/>
      <c r="H8" s="13"/>
      <c r="I8" s="2"/>
      <c r="J8" s="2"/>
    </row>
    <row r="9">
      <c r="A9" s="3"/>
      <c r="B9" s="23" t="s">
        <v>487</v>
      </c>
      <c r="C9" s="3"/>
      <c r="D9" s="3"/>
      <c r="E9" s="3"/>
      <c r="F9" s="3"/>
      <c r="G9" s="3"/>
      <c r="H9" s="13"/>
      <c r="I9" s="2"/>
      <c r="J9" s="2"/>
    </row>
    <row r="10">
      <c r="A10" s="3"/>
      <c r="B10" s="25" t="s">
        <v>488</v>
      </c>
      <c r="C10" s="1" t="s">
        <v>94</v>
      </c>
      <c r="D10" s="1">
        <f>C14</f>
        <v>906</v>
      </c>
      <c r="E10" s="31">
        <v>915</v>
      </c>
      <c r="F10" s="1">
        <f>D14</f>
        <v>906</v>
      </c>
      <c r="G10" s="1">
        <f>F14</f>
        <v>908</v>
      </c>
      <c r="H10" s="27">
        <f>G14</f>
        <v>905</v>
      </c>
      <c r="I10" s="2" t="s">
        <v>489</v>
      </c>
      <c r="J10" s="2"/>
    </row>
    <row r="11">
      <c r="A11" s="3"/>
      <c r="B11" s="28" t="s">
        <v>490</v>
      </c>
      <c r="C11" s="1" t="s">
        <v>53</v>
      </c>
      <c r="D11" s="1" t="s">
        <v>53</v>
      </c>
      <c r="E11" s="1" t="s">
        <v>53</v>
      </c>
      <c r="F11" s="1" t="s">
        <v>53</v>
      </c>
      <c r="G11" s="1" t="s">
        <v>53</v>
      </c>
      <c r="H11" s="20">
        <v>6.4</v>
      </c>
      <c r="I11" s="2" t="s">
        <v>491</v>
      </c>
      <c r="J11" s="2"/>
    </row>
    <row r="12">
      <c r="A12" s="3"/>
      <c r="B12" s="28" t="s">
        <v>492</v>
      </c>
      <c r="C12" s="31">
        <v>0</v>
      </c>
      <c r="D12" s="31">
        <v>0</v>
      </c>
      <c r="E12" s="31">
        <v>12.1</v>
      </c>
      <c r="F12" s="31">
        <v>0</v>
      </c>
      <c r="G12" s="31">
        <v>4.1</v>
      </c>
      <c r="H12" s="20">
        <v>2.2</v>
      </c>
      <c r="I12" s="2" t="s">
        <v>493</v>
      </c>
      <c r="J12" s="2"/>
    </row>
    <row r="13">
      <c r="A13" s="3"/>
      <c r="B13" s="28" t="s">
        <v>494</v>
      </c>
      <c r="C13" s="1" t="str">
        <f>IFERROR(C14-C10+C12,"n/d")</f>
        <v>n/d</v>
      </c>
      <c r="D13" s="1">
        <f>IFERROR(D14-D10+D12,"n/d")</f>
        <v>0</v>
      </c>
      <c r="E13" s="1">
        <f>IFERROR(E14-E10+E12,"n/d")</f>
        <v>3.0999999999999996</v>
      </c>
      <c r="F13" s="1">
        <f>IFERROR(F14-F10+F12,"n/d")</f>
        <v>2</v>
      </c>
      <c r="G13" s="1">
        <f>IFERROR(G14-G10+G12,"n/d")</f>
        <v>1.0999999999999996</v>
      </c>
      <c r="H13" s="20">
        <v>0.6</v>
      </c>
      <c r="I13" s="2"/>
      <c r="J13" s="2"/>
    </row>
    <row r="14">
      <c r="A14" s="3"/>
      <c r="B14" s="23" t="s">
        <v>495</v>
      </c>
      <c r="C14" s="57">
        <v>906</v>
      </c>
      <c r="D14" s="57">
        <v>906</v>
      </c>
      <c r="E14" s="8">
        <f>D14</f>
        <v>906</v>
      </c>
      <c r="F14" s="57">
        <v>908</v>
      </c>
      <c r="G14" s="57">
        <v>905</v>
      </c>
      <c r="H14" s="29">
        <f>H10-H11-H12+H13</f>
        <v>897</v>
      </c>
      <c r="I14" s="2" t="s">
        <v>496</v>
      </c>
      <c r="J14" s="2"/>
    </row>
    <row r="15">
      <c r="A15" s="3"/>
      <c r="B15" s="28" t="s">
        <v>109</v>
      </c>
      <c r="C15" s="1" t="s">
        <v>53</v>
      </c>
      <c r="D15" s="1">
        <f>IFERROR(D14-C14,"n/a")</f>
        <v>0</v>
      </c>
      <c r="E15" s="1" t="s">
        <v>53</v>
      </c>
      <c r="F15" s="1">
        <f>IFERROR(F14-D14,"n/a")</f>
        <v>2</v>
      </c>
      <c r="G15" s="1">
        <f>IFERROR(G14-F14,"n/a")</f>
        <v>-3</v>
      </c>
      <c r="H15" s="27">
        <f>IFERROR(H14-G14,"n/a")</f>
        <v>-8</v>
      </c>
      <c r="I15" s="2"/>
      <c r="J15" s="2"/>
    </row>
    <row r="16">
      <c r="A16" s="3"/>
      <c r="B16" s="45" t="s">
        <v>134</v>
      </c>
      <c r="C16" s="6" t="s">
        <v>53</v>
      </c>
      <c r="D16" s="6" t="s">
        <v>53</v>
      </c>
      <c r="E16" s="6" t="s">
        <v>53</v>
      </c>
      <c r="F16" s="6" t="s">
        <v>53</v>
      </c>
      <c r="G16" s="6" t="s">
        <v>53</v>
      </c>
      <c r="H16" s="50">
        <f>H14/C14-1</f>
        <v>-0.009933774834437137</v>
      </c>
      <c r="I16" s="2"/>
      <c r="J16" s="2"/>
    </row>
    <row r="17">
      <c r="A17" s="3"/>
      <c r="B17" s="28" t="s">
        <v>497</v>
      </c>
      <c r="C17" s="47" t="s">
        <v>53</v>
      </c>
      <c r="D17" s="47" t="s">
        <v>53</v>
      </c>
      <c r="E17" s="62">
        <v>454.82</v>
      </c>
      <c r="F17" s="47" t="s">
        <v>53</v>
      </c>
      <c r="G17" s="47" t="s">
        <v>94</v>
      </c>
      <c r="H17" s="60">
        <v>370</v>
      </c>
      <c r="I17" s="2" t="s">
        <v>498</v>
      </c>
      <c r="J17" s="2"/>
    </row>
    <row r="18">
      <c r="A18" s="3"/>
      <c r="B18" s="28" t="s">
        <v>499</v>
      </c>
      <c r="C18" s="1" t="s">
        <v>53</v>
      </c>
      <c r="D18" s="1" t="s">
        <v>53</v>
      </c>
      <c r="E18" s="1" t="s">
        <v>53</v>
      </c>
      <c r="F18" s="1" t="s">
        <v>53</v>
      </c>
      <c r="G18" s="1" t="s">
        <v>53</v>
      </c>
      <c r="H18" s="20">
        <v>2000</v>
      </c>
      <c r="I18" s="2" t="s">
        <v>500</v>
      </c>
      <c r="J18" s="2"/>
    </row>
    <row r="19">
      <c r="A19" s="3"/>
      <c r="B19" s="23" t="s">
        <v>501</v>
      </c>
      <c r="C19" s="37">
        <f>-'Cash Flow Statement'!C29</f>
        <v>0</v>
      </c>
      <c r="D19" s="37">
        <f>-'Cash Flow Statement'!D29</f>
        <v>0</v>
      </c>
      <c r="E19" s="37">
        <f>-'Cash Flow Statement'!E29</f>
        <v>5545</v>
      </c>
      <c r="F19" s="37">
        <f>-'Cash Flow Statement'!F29</f>
        <v>0</v>
      </c>
      <c r="G19" s="37">
        <f>-'Cash Flow Statement'!G29</f>
        <v>1646</v>
      </c>
      <c r="H19" s="29">
        <f>H18+H12*H17</f>
        <v>2814</v>
      </c>
      <c r="I19" s="2" t="s">
        <v>502</v>
      </c>
      <c r="J19" s="2"/>
    </row>
    <row r="20">
      <c r="A20" s="3"/>
      <c r="B20" s="3"/>
      <c r="C20" s="3"/>
      <c r="D20" s="3"/>
      <c r="E20" s="3"/>
      <c r="F20" s="3"/>
      <c r="G20" s="3"/>
      <c r="H20" s="13"/>
      <c r="I20" s="2"/>
      <c r="J20" s="2"/>
    </row>
    <row r="21">
      <c r="A21" s="3"/>
      <c r="B21" s="23" t="s">
        <v>503</v>
      </c>
      <c r="C21" s="3"/>
      <c r="D21" s="3"/>
      <c r="E21" s="3"/>
      <c r="F21" s="3"/>
      <c r="G21" s="3"/>
      <c r="H21" s="13"/>
      <c r="I21" s="2"/>
      <c r="J21" s="2"/>
    </row>
    <row r="22">
      <c r="A22" s="3"/>
      <c r="B22" s="23" t="s">
        <v>504</v>
      </c>
      <c r="C22" s="57">
        <v>906</v>
      </c>
      <c r="D22" s="8" t="s">
        <v>94</v>
      </c>
      <c r="E22" s="57">
        <v>908</v>
      </c>
      <c r="F22" s="57">
        <v>908</v>
      </c>
      <c r="G22" s="57">
        <v>902</v>
      </c>
      <c r="H22" s="29">
        <f>AVERAGE(H10-H11,H14)</f>
        <v>897.8</v>
      </c>
      <c r="I22" s="2" t="s">
        <v>505</v>
      </c>
      <c r="J22" s="2"/>
    </row>
    <row r="23">
      <c r="A23" s="3"/>
      <c r="B23" s="28" t="s">
        <v>109</v>
      </c>
      <c r="C23" s="1" t="s">
        <v>53</v>
      </c>
      <c r="D23" s="1" t="str">
        <f>IFERROR(D22-C22,"n/a")</f>
        <v>n/a</v>
      </c>
      <c r="E23" s="1" t="s">
        <v>53</v>
      </c>
      <c r="F23" s="1" t="str">
        <f>IFERROR(F22-D22,"n/a")</f>
        <v>n/a</v>
      </c>
      <c r="G23" s="1">
        <f>IFERROR(G22-F22,"n/a")</f>
        <v>-6</v>
      </c>
      <c r="H23" s="27">
        <f>IFERROR(H22-G22,"n/a")</f>
        <v>-4.2000000000000455</v>
      </c>
      <c r="I23" s="2"/>
      <c r="J23" s="2"/>
    </row>
    <row r="24">
      <c r="A24" s="3"/>
      <c r="B24" s="45" t="s">
        <v>134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50">
        <f>H22/C22-1</f>
        <v>-0.009050772626931658</v>
      </c>
      <c r="I24" s="2"/>
      <c r="J24" s="2"/>
    </row>
    <row r="25">
      <c r="A25" s="3"/>
      <c r="B25" s="25" t="s">
        <v>506</v>
      </c>
      <c r="C25" s="31">
        <v>2</v>
      </c>
      <c r="D25" s="1" t="s">
        <v>94</v>
      </c>
      <c r="E25" s="31">
        <v>3</v>
      </c>
      <c r="F25" s="31">
        <v>2</v>
      </c>
      <c r="G25" s="31">
        <v>4</v>
      </c>
      <c r="H25" s="20">
        <v>3</v>
      </c>
      <c r="I25" s="2" t="s">
        <v>507</v>
      </c>
      <c r="J25" s="2"/>
    </row>
    <row r="26">
      <c r="A26" s="3"/>
      <c r="B26" s="23" t="s">
        <v>508</v>
      </c>
      <c r="C26" s="57">
        <v>908</v>
      </c>
      <c r="D26" s="57">
        <v>910</v>
      </c>
      <c r="E26" s="57">
        <v>911</v>
      </c>
      <c r="F26" s="57">
        <v>910</v>
      </c>
      <c r="G26" s="57">
        <v>906</v>
      </c>
      <c r="H26" s="29">
        <f>H22+H25</f>
        <v>900.8</v>
      </c>
      <c r="I26" s="2" t="s">
        <v>509</v>
      </c>
      <c r="J26" s="2"/>
    </row>
    <row r="27">
      <c r="A27" s="3"/>
      <c r="B27" s="28" t="s">
        <v>109</v>
      </c>
      <c r="C27" s="1" t="s">
        <v>53</v>
      </c>
      <c r="D27" s="1">
        <f>IFERROR(D26-C26,"n/a")</f>
        <v>2</v>
      </c>
      <c r="E27" s="1" t="s">
        <v>53</v>
      </c>
      <c r="F27" s="1">
        <f>IFERROR(F26-D26,"n/a")</f>
        <v>0</v>
      </c>
      <c r="G27" s="1">
        <f>IFERROR(G26-F26,"n/a")</f>
        <v>-4</v>
      </c>
      <c r="H27" s="27">
        <f>IFERROR(H26-G26,"n/a")</f>
        <v>-5.2000000000000455</v>
      </c>
      <c r="I27" s="2"/>
      <c r="J27" s="2"/>
    </row>
    <row r="28">
      <c r="A28" s="3"/>
      <c r="B28" s="45" t="s">
        <v>134</v>
      </c>
      <c r="C28" s="6" t="s">
        <v>53</v>
      </c>
      <c r="D28" s="6" t="s">
        <v>53</v>
      </c>
      <c r="E28" s="6" t="s">
        <v>53</v>
      </c>
      <c r="F28" s="6" t="s">
        <v>53</v>
      </c>
      <c r="G28" s="6" t="s">
        <v>53</v>
      </c>
      <c r="H28" s="50">
        <f>H26/C26-1</f>
        <v>-0.007929515418502286</v>
      </c>
      <c r="I28" s="2"/>
      <c r="J28" s="2"/>
    </row>
    <row r="29">
      <c r="A29" s="3"/>
      <c r="B29" s="3"/>
      <c r="C29" s="3"/>
      <c r="D29" s="3"/>
      <c r="E29" s="3"/>
      <c r="F29" s="3"/>
      <c r="G29" s="3"/>
      <c r="H29" s="13"/>
      <c r="I29" s="2"/>
      <c r="J29" s="2"/>
    </row>
    <row r="30">
      <c r="A30" s="3"/>
      <c r="B30" s="23" t="s">
        <v>510</v>
      </c>
      <c r="C30" s="3"/>
      <c r="D30" s="3"/>
      <c r="E30" s="3"/>
      <c r="F30" s="3"/>
      <c r="G30" s="3"/>
      <c r="H30" s="13"/>
      <c r="I30" s="2"/>
      <c r="J30" s="2"/>
    </row>
    <row r="31">
      <c r="A31" s="3"/>
      <c r="B31" s="25" t="s">
        <v>511</v>
      </c>
      <c r="C31" s="46">
        <v>2.21</v>
      </c>
      <c r="D31" s="46">
        <v>2.21</v>
      </c>
      <c r="E31" s="46">
        <v>8.73</v>
      </c>
      <c r="F31" s="46">
        <v>2.21</v>
      </c>
      <c r="G31" s="46">
        <v>2.32</v>
      </c>
      <c r="H31" s="76">
        <v>2.32</v>
      </c>
      <c r="I31" s="2" t="s">
        <v>512</v>
      </c>
      <c r="J31" s="2"/>
    </row>
    <row r="32">
      <c r="A32" s="3"/>
      <c r="B32" s="45" t="s">
        <v>134</v>
      </c>
      <c r="C32" s="6" t="s">
        <v>53</v>
      </c>
      <c r="D32" s="6" t="s">
        <v>53</v>
      </c>
      <c r="E32" s="6" t="s">
        <v>53</v>
      </c>
      <c r="F32" s="6" t="s">
        <v>53</v>
      </c>
      <c r="G32" s="6" t="s">
        <v>53</v>
      </c>
      <c r="H32" s="50">
        <f>H31/C31-1</f>
        <v>0.04977375565610864</v>
      </c>
      <c r="I32" s="2"/>
      <c r="J32" s="2"/>
    </row>
    <row r="33">
      <c r="A33" s="3"/>
      <c r="B33" s="28" t="s">
        <v>109</v>
      </c>
      <c r="C33" s="30" t="s">
        <v>53</v>
      </c>
      <c r="D33" s="30">
        <f>IFERROR(D31-C31,"n/a")</f>
        <v>0</v>
      </c>
      <c r="E33" s="30" t="s">
        <v>53</v>
      </c>
      <c r="F33" s="30">
        <f>IFERROR(F31-D31,"n/a")</f>
        <v>0</v>
      </c>
      <c r="G33" s="30">
        <f>IFERROR(G31-F31,"n/a")</f>
        <v>0.10999999999999988</v>
      </c>
      <c r="H33" s="61">
        <f>IFERROR(H31-G31,"n/a")</f>
        <v>0</v>
      </c>
      <c r="I33" s="2"/>
      <c r="J33" s="2"/>
    </row>
    <row r="34">
      <c r="A34" s="3"/>
      <c r="B34" s="23" t="s">
        <v>513</v>
      </c>
      <c r="C34" s="37">
        <f>-'Cash Flow Statement'!C30</f>
        <v>2002</v>
      </c>
      <c r="D34" s="37">
        <f>-'Cash Flow Statement'!D30</f>
        <v>2002</v>
      </c>
      <c r="E34" s="37">
        <f>-'Cash Flow Statement'!E30</f>
        <v>7916</v>
      </c>
      <c r="F34" s="37">
        <f>-'Cash Flow Statement'!F30</f>
        <v>2005</v>
      </c>
      <c r="G34" s="37">
        <f>-'Cash Flow Statement'!G30</f>
        <v>2087</v>
      </c>
      <c r="H34" s="29">
        <f>H31*H22</f>
        <v>2082.8959999999997</v>
      </c>
      <c r="I34" s="2"/>
      <c r="J34" s="2"/>
    </row>
    <row r="35">
      <c r="A35" s="3"/>
      <c r="B35" s="3"/>
      <c r="C35" s="3"/>
      <c r="D35" s="3"/>
      <c r="E35" s="3"/>
      <c r="F35" s="3"/>
      <c r="G35" s="3"/>
      <c r="H35" s="13"/>
      <c r="I35" s="2"/>
      <c r="J35" s="2"/>
    </row>
    <row r="36">
      <c r="A36" s="3"/>
      <c r="B36" s="3"/>
      <c r="C36" s="3"/>
      <c r="D36" s="3"/>
      <c r="E36" s="3"/>
      <c r="F36" s="3"/>
      <c r="G36" s="3"/>
      <c r="H36" s="13"/>
      <c r="I36" s="2"/>
      <c r="J36" s="2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7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41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514</v>
      </c>
      <c r="C5" s="35"/>
      <c r="D5" s="35"/>
      <c r="E5" s="35"/>
      <c r="F5" s="35"/>
      <c r="G5" s="35"/>
      <c r="H5" s="99"/>
      <c r="I5" s="5"/>
      <c r="J5" s="3"/>
    </row>
    <row r="6">
      <c r="A6" s="3"/>
      <c r="B6" s="34"/>
      <c r="C6" s="9"/>
      <c r="D6" s="9"/>
      <c r="E6" s="9"/>
      <c r="F6" s="9"/>
      <c r="G6" s="9"/>
      <c r="H6" s="98"/>
      <c r="I6" s="34"/>
      <c r="J6" s="3"/>
    </row>
    <row r="7">
      <c r="A7" s="3"/>
      <c r="B7" s="39"/>
      <c r="C7" s="33"/>
      <c r="D7" s="33"/>
      <c r="E7" s="33"/>
      <c r="F7" s="33"/>
      <c r="G7" s="33"/>
      <c r="H7" s="103"/>
      <c r="I7" s="39"/>
      <c r="J7" s="3"/>
    </row>
    <row r="8">
      <c r="A8" s="3"/>
      <c r="B8" s="3"/>
      <c r="C8" s="3"/>
      <c r="D8" s="3"/>
      <c r="E8" s="3"/>
      <c r="F8" s="3"/>
      <c r="G8" s="3"/>
      <c r="H8" s="3"/>
      <c r="I8" s="2"/>
      <c r="J8" s="2"/>
    </row>
    <row r="9">
      <c r="A9" s="3"/>
      <c r="B9" s="36" t="s">
        <v>515</v>
      </c>
      <c r="C9" s="22" t="s">
        <v>516</v>
      </c>
      <c r="D9" s="22" t="s">
        <v>3</v>
      </c>
      <c r="E9" s="22" t="s">
        <v>517</v>
      </c>
      <c r="F9" s="22" t="s">
        <v>518</v>
      </c>
      <c r="G9" s="22" t="s">
        <v>519</v>
      </c>
      <c r="H9" s="22" t="s">
        <v>520</v>
      </c>
      <c r="I9" s="48" t="s">
        <v>521</v>
      </c>
      <c r="J9" s="48"/>
    </row>
    <row r="10">
      <c r="A10" s="3"/>
      <c r="B10" s="11" t="s">
        <v>522</v>
      </c>
      <c r="C10" s="51">
        <v>45958</v>
      </c>
      <c r="D10" s="93" t="s">
        <v>523</v>
      </c>
      <c r="E10" s="46">
        <v>16.25</v>
      </c>
      <c r="F10" s="30" t="s">
        <v>524</v>
      </c>
      <c r="G10" s="30">
        <f>IF(ISNUMBER(F10),AVERAGE(E10,F10),E10)</f>
        <v>16.25</v>
      </c>
      <c r="H10" s="53">
        <f>'Income Statement'!E134</f>
        <v>16.35</v>
      </c>
      <c r="I10" s="2" t="str">
        <f>IF(ISNUMBER(H10),IF(H10&gt;G10,"Beat",IF(H10&lt;G10,"Miss","In line")),"Pending")</f>
        <v>Beat</v>
      </c>
      <c r="J10" s="2"/>
    </row>
    <row r="11">
      <c r="A11" s="3"/>
      <c r="B11" s="11" t="s">
        <v>50</v>
      </c>
      <c r="C11" s="51">
        <v>45958</v>
      </c>
      <c r="D11" s="93" t="s">
        <v>523</v>
      </c>
      <c r="E11" s="46">
        <v>14.9</v>
      </c>
      <c r="F11" s="30" t="s">
        <v>524</v>
      </c>
      <c r="G11" s="30">
        <f>IF(ISNUMBER(F11),AVERAGE(E11,F11),E11)</f>
        <v>14.9</v>
      </c>
      <c r="H11" s="53">
        <f>'Income Statement'!E112</f>
        <v>13.23</v>
      </c>
      <c r="I11" s="2" t="str">
        <f>IF(ISNUMBER(H11),IF(H11&gt;G11,"Beat",IF(H11&lt;G11,"Miss","In line")),"Pending")</f>
        <v>Miss</v>
      </c>
      <c r="J11" s="2"/>
    </row>
    <row r="12">
      <c r="A12" s="3"/>
      <c r="B12" s="11" t="s">
        <v>525</v>
      </c>
      <c r="C12" s="51">
        <v>45958</v>
      </c>
      <c r="D12" s="93" t="s">
        <v>523</v>
      </c>
      <c r="E12" s="31">
        <v>13600</v>
      </c>
      <c r="F12" s="1" t="s">
        <v>524</v>
      </c>
      <c r="G12" s="1">
        <f>IF(ISNUMBER(F12),AVERAGE(E12,F12),E12)</f>
        <v>13600</v>
      </c>
      <c r="H12" s="10">
        <f>'Income Statement'!E99</f>
        <v>12056</v>
      </c>
      <c r="I12" s="79" t="str">
        <f>IF(ISNUMBER(H12),IF(H12&gt;G12,"Beat",IF(H12&lt;G12,"Miss","In line")),"Pending")</f>
        <v>Miss</v>
      </c>
      <c r="J12" s="2"/>
    </row>
    <row r="13">
      <c r="A13" s="3"/>
      <c r="B13" s="11" t="s">
        <v>522</v>
      </c>
      <c r="C13" s="51">
        <v>46049</v>
      </c>
      <c r="D13" s="93" t="s">
        <v>526</v>
      </c>
      <c r="E13" s="46">
        <v>17.75</v>
      </c>
      <c r="F13" s="30" t="s">
        <v>524</v>
      </c>
      <c r="G13" s="30">
        <f>IF(ISNUMBER(F13),AVERAGE(E13,F13),E13)</f>
        <v>17.75</v>
      </c>
      <c r="H13" s="30" t="s">
        <v>527</v>
      </c>
      <c r="I13" s="2" t="str">
        <f>IF(ISNUMBER(H13),IF(H13&gt;G13,"Beat",IF(H13&lt;G13,"Miss","In line")),"Pending")</f>
        <v>Pending</v>
      </c>
      <c r="J13" s="2"/>
    </row>
    <row r="14">
      <c r="A14" s="3"/>
      <c r="B14" s="11" t="s">
        <v>50</v>
      </c>
      <c r="C14" s="51">
        <v>46049</v>
      </c>
      <c r="D14" s="93" t="s">
        <v>526</v>
      </c>
      <c r="E14" s="46">
        <v>17.1</v>
      </c>
      <c r="F14" s="30" t="s">
        <v>524</v>
      </c>
      <c r="G14" s="30">
        <f>IF(ISNUMBER(F14),AVERAGE(E14,F14),E14)</f>
        <v>17.1</v>
      </c>
      <c r="H14" s="30" t="s">
        <v>527</v>
      </c>
      <c r="I14" s="2" t="str">
        <f>IF(ISNUMBER(H14),IF(H14&gt;G14,"Beat",IF(H14&lt;G14,"Miss","In line")),"Pending")</f>
        <v>Pending</v>
      </c>
      <c r="J14" s="2"/>
    </row>
    <row r="15">
      <c r="A15" s="3"/>
      <c r="B15" s="11" t="s">
        <v>528</v>
      </c>
      <c r="C15" s="51">
        <v>46049</v>
      </c>
      <c r="D15" s="93" t="s">
        <v>526</v>
      </c>
      <c r="E15" s="31">
        <v>439000</v>
      </c>
      <c r="F15" s="1" t="s">
        <v>524</v>
      </c>
      <c r="G15" s="1">
        <f>IF(ISNUMBER(F15),AVERAGE(E15,F15),E15)</f>
        <v>439000</v>
      </c>
      <c r="H15" s="1" t="s">
        <v>527</v>
      </c>
      <c r="I15" s="2" t="str">
        <f>IF(ISNUMBER(H15),IF(H15&gt;G15,"Beat",IF(H15&lt;G15,"Miss","In line")),"Pending")</f>
        <v>Pending</v>
      </c>
      <c r="J15" s="2"/>
    </row>
    <row r="16">
      <c r="A16" s="3"/>
      <c r="B16" s="11" t="s">
        <v>52</v>
      </c>
      <c r="C16" s="51">
        <v>46049</v>
      </c>
      <c r="D16" s="93" t="s">
        <v>526</v>
      </c>
      <c r="E16" s="31">
        <v>24000</v>
      </c>
      <c r="F16" s="1" t="s">
        <v>524</v>
      </c>
      <c r="G16" s="1">
        <f>IF(ISNUMBER(F16),AVERAGE(E16,F16),E16)</f>
        <v>24000</v>
      </c>
      <c r="H16" s="1" t="s">
        <v>527</v>
      </c>
      <c r="I16" s="2" t="str">
        <f>IF(ISNUMBER(H16),IF(H16&gt;G16,"Beat",IF(H16&lt;G16,"Miss","In line")),"Pending")</f>
        <v>Pending</v>
      </c>
      <c r="J16" s="2"/>
    </row>
    <row r="17">
      <c r="A17" s="3"/>
      <c r="B17" s="11" t="s">
        <v>525</v>
      </c>
      <c r="C17" s="51">
        <v>46049</v>
      </c>
      <c r="D17" s="93" t="s">
        <v>526</v>
      </c>
      <c r="E17" s="31">
        <v>15600</v>
      </c>
      <c r="F17" s="1" t="s">
        <v>524</v>
      </c>
      <c r="G17" s="1">
        <f>IF(ISNUMBER(F17),AVERAGE(E17,F17),E17)</f>
        <v>15600</v>
      </c>
      <c r="H17" s="1" t="s">
        <v>527</v>
      </c>
      <c r="I17" s="2" t="str">
        <f>IF(ISNUMBER(H17),IF(H17&gt;G17,"Beat",IF(H17&lt;G17,"Miss","In line")),"Pending")</f>
        <v>Pending</v>
      </c>
      <c r="J17" s="2"/>
    </row>
    <row r="18">
      <c r="A18" s="3"/>
      <c r="B18" s="11" t="s">
        <v>529</v>
      </c>
      <c r="C18" s="51">
        <v>46049</v>
      </c>
      <c r="D18" s="93" t="s">
        <v>526</v>
      </c>
      <c r="E18" s="73">
        <v>0.883</v>
      </c>
      <c r="F18" s="73">
        <v>0.893</v>
      </c>
      <c r="G18" s="15">
        <f>IF(ISNUMBER(F18),AVERAGE(E18,F18),E18)</f>
        <v>0.888</v>
      </c>
      <c r="H18" s="15" t="s">
        <v>527</v>
      </c>
      <c r="I18" s="2" t="str">
        <f>IF(ISNUMBER(H18),IF(H18&gt;G18,"Beat",IF(H18&lt;G18,"Miss","In line")),"Pending")</f>
        <v>Pending</v>
      </c>
      <c r="J18" s="2"/>
    </row>
    <row r="19">
      <c r="A19" s="3"/>
      <c r="B19" s="11" t="s">
        <v>319</v>
      </c>
      <c r="C19" s="51">
        <v>46049</v>
      </c>
      <c r="D19" s="93" t="s">
        <v>526</v>
      </c>
      <c r="E19" s="73">
        <v>0.123</v>
      </c>
      <c r="F19" s="73">
        <v>0.133</v>
      </c>
      <c r="G19" s="15">
        <f>IF(ISNUMBER(F19),AVERAGE(E19,F19),E19)</f>
        <v>0.128</v>
      </c>
      <c r="H19" s="15" t="s">
        <v>527</v>
      </c>
      <c r="I19" s="2" t="str">
        <f>IF(ISNUMBER(H19),IF(H19&gt;G19,"Beat",IF(H19&lt;G19,"Miss","In line")),"Pending")</f>
        <v>Pending</v>
      </c>
      <c r="J19" s="2"/>
    </row>
    <row r="20">
      <c r="A20" s="3"/>
      <c r="B20" s="11" t="s">
        <v>530</v>
      </c>
      <c r="C20" s="51">
        <v>46049</v>
      </c>
      <c r="D20" s="93" t="s">
        <v>526</v>
      </c>
      <c r="E20" s="73">
        <v>0.1925</v>
      </c>
      <c r="F20" s="73">
        <v>0.1925</v>
      </c>
      <c r="G20" s="15">
        <f>IF(ISNUMBER(F20),AVERAGE(E20,F20),E20)</f>
        <v>0.1925</v>
      </c>
      <c r="H20" s="15" t="s">
        <v>527</v>
      </c>
      <c r="I20" s="2" t="str">
        <f>IF(ISNUMBER(H20),IF(H20&gt;G20,"Beat",IF(H20&lt;G20,"Miss","In line")),"Pending")</f>
        <v>Pending</v>
      </c>
      <c r="J20" s="2"/>
    </row>
    <row r="21">
      <c r="A21" s="3"/>
      <c r="B21" s="11" t="s">
        <v>531</v>
      </c>
      <c r="C21" s="51">
        <v>46049</v>
      </c>
      <c r="D21" s="93" t="s">
        <v>526</v>
      </c>
      <c r="E21" s="31">
        <v>18000</v>
      </c>
      <c r="F21" s="1" t="s">
        <v>524</v>
      </c>
      <c r="G21" s="1">
        <f>IF(ISNUMBER(F21),AVERAGE(E21,F21),E21)</f>
        <v>18000</v>
      </c>
      <c r="H21" s="1" t="s">
        <v>527</v>
      </c>
      <c r="I21" s="2" t="str">
        <f>IF(ISNUMBER(H21),IF(H21&gt;G21,"Beat",IF(H21&lt;G21,"Miss","In line")),"Pending")</f>
        <v>Pending</v>
      </c>
      <c r="J21" s="2"/>
    </row>
    <row r="22">
      <c r="A22" s="3"/>
      <c r="B22" s="11" t="s">
        <v>532</v>
      </c>
      <c r="C22" s="51">
        <v>46049</v>
      </c>
      <c r="D22" s="93" t="s">
        <v>526</v>
      </c>
      <c r="E22" s="31">
        <v>2500</v>
      </c>
      <c r="F22" s="31">
        <v>2500</v>
      </c>
      <c r="G22" s="1">
        <f>IF(ISNUMBER(F22),AVERAGE(E22,F22),E22)</f>
        <v>2500</v>
      </c>
      <c r="H22" s="1" t="s">
        <v>527</v>
      </c>
      <c r="I22" s="2" t="str">
        <f>IF(ISNUMBER(H22),IF(H22&gt;G22,"Beat",IF(H22&lt;G22,"Miss","In line")),"Pending")</f>
        <v>Pending</v>
      </c>
      <c r="J22" s="2"/>
    </row>
    <row r="23">
      <c r="A23" s="3"/>
      <c r="B23" s="11" t="s">
        <v>533</v>
      </c>
      <c r="C23" s="51">
        <v>46049</v>
      </c>
      <c r="D23" s="93" t="s">
        <v>526</v>
      </c>
      <c r="E23" s="31">
        <v>3800</v>
      </c>
      <c r="F23" s="31">
        <v>3800</v>
      </c>
      <c r="G23" s="1">
        <f>IF(ISNUMBER(F23),AVERAGE(E23,F23),E23)</f>
        <v>3800</v>
      </c>
      <c r="H23" s="1" t="s">
        <v>527</v>
      </c>
      <c r="I23" s="2" t="str">
        <f>IF(ISNUMBER(H23),IF(H23&gt;G23,"Beat",IF(H23&lt;G23,"Miss","In line")),"Pending")</f>
        <v>Pending</v>
      </c>
      <c r="J23" s="2"/>
    </row>
    <row r="24">
      <c r="A24" s="3"/>
      <c r="B24" s="11" t="s">
        <v>534</v>
      </c>
      <c r="C24" s="51">
        <v>46049</v>
      </c>
      <c r="D24" s="93" t="s">
        <v>526</v>
      </c>
      <c r="E24" s="31">
        <v>4400</v>
      </c>
      <c r="F24" s="31">
        <v>4400</v>
      </c>
      <c r="G24" s="1">
        <f>IF(ISNUMBER(F24),AVERAGE(E24,F24),E24)</f>
        <v>4400</v>
      </c>
      <c r="H24" s="1" t="s">
        <v>527</v>
      </c>
      <c r="I24" s="2" t="str">
        <f>IF(ISNUMBER(H24),IF(H24&gt;G24,"Beat",IF(H24&lt;G24,"Miss","In line")),"Pending")</f>
        <v>Pending</v>
      </c>
      <c r="J24" s="2"/>
    </row>
    <row r="25">
      <c r="A25" s="3"/>
      <c r="B25" s="11" t="s">
        <v>535</v>
      </c>
      <c r="C25" s="51">
        <v>46049</v>
      </c>
      <c r="D25" s="93" t="s">
        <v>526</v>
      </c>
      <c r="E25" s="31">
        <v>3700</v>
      </c>
      <c r="F25" s="31">
        <v>3700</v>
      </c>
      <c r="G25" s="1">
        <f>IF(ISNUMBER(F25),AVERAGE(E25,F25),E25)</f>
        <v>3700</v>
      </c>
      <c r="H25" s="1" t="s">
        <v>527</v>
      </c>
      <c r="I25" s="2" t="str">
        <f>IF(ISNUMBER(H25),IF(H25&gt;G25,"Beat",IF(H25&lt;G25,"Miss","In line")),"Pending")</f>
        <v>Pending</v>
      </c>
      <c r="J25" s="2"/>
    </row>
    <row r="26">
      <c r="A26" s="3"/>
      <c r="B26" s="11" t="s">
        <v>536</v>
      </c>
      <c r="C26" s="51">
        <v>46049</v>
      </c>
      <c r="D26" s="93" t="s">
        <v>526</v>
      </c>
      <c r="E26" s="31">
        <v>3900</v>
      </c>
      <c r="F26" s="31">
        <v>3900</v>
      </c>
      <c r="G26" s="1">
        <f>IF(ISNUMBER(F26),AVERAGE(E26,F26),E26)</f>
        <v>3900</v>
      </c>
      <c r="H26" s="1" t="s">
        <v>527</v>
      </c>
      <c r="I26" s="2" t="str">
        <f>IF(ISNUMBER(H26),IF(H26&gt;G26,"Beat",IF(H26&lt;G26,"Miss","In line")),"Pending")</f>
        <v>Pending</v>
      </c>
      <c r="J26" s="2"/>
    </row>
    <row r="27">
      <c r="A27" s="3"/>
      <c r="B27" s="11" t="s">
        <v>537</v>
      </c>
      <c r="C27" s="51">
        <v>46049</v>
      </c>
      <c r="D27" s="93" t="s">
        <v>526</v>
      </c>
      <c r="E27" s="31">
        <v>910</v>
      </c>
      <c r="F27" s="31">
        <v>915</v>
      </c>
      <c r="G27" s="1">
        <f>IF(ISNUMBER(F27),AVERAGE(E27,F27),E27)</f>
        <v>912.5</v>
      </c>
      <c r="H27" s="1" t="s">
        <v>527</v>
      </c>
      <c r="I27" s="2" t="str">
        <f>IF(ISNUMBER(H27),IF(H27&gt;G27,"Beat",IF(H27&lt;G27,"Miss","In line")),"Pending")</f>
        <v>Pending</v>
      </c>
      <c r="J27" s="2"/>
    </row>
    <row r="28">
      <c r="A28" s="3"/>
      <c r="B28" s="11" t="s">
        <v>538</v>
      </c>
      <c r="C28" s="51">
        <v>46049</v>
      </c>
      <c r="D28" s="93" t="s">
        <v>526</v>
      </c>
      <c r="E28" s="31">
        <v>335000</v>
      </c>
      <c r="F28" s="1" t="s">
        <v>524</v>
      </c>
      <c r="G28" s="1">
        <f>IF(ISNUMBER(F28),AVERAGE(E28,F28),E28)</f>
        <v>335000</v>
      </c>
      <c r="H28" s="1" t="s">
        <v>527</v>
      </c>
      <c r="I28" s="2" t="str">
        <f>IF(ISNUMBER(H28),IF(H28&gt;G28,"Beat",IF(H28&lt;G28,"Miss","In line")),"Pending")</f>
        <v>Pending</v>
      </c>
      <c r="J28" s="2"/>
    </row>
    <row r="29">
      <c r="A29" s="3"/>
      <c r="B29" s="11" t="s">
        <v>539</v>
      </c>
      <c r="C29" s="51">
        <v>46049</v>
      </c>
      <c r="D29" s="93" t="s">
        <v>526</v>
      </c>
      <c r="E29" s="31">
        <v>257500</v>
      </c>
      <c r="F29" s="1" t="s">
        <v>524</v>
      </c>
      <c r="G29" s="1">
        <f>IF(ISNUMBER(F29),AVERAGE(E29,F29),E29)</f>
        <v>257500</v>
      </c>
      <c r="H29" s="1" t="s">
        <v>527</v>
      </c>
      <c r="I29" s="2" t="str">
        <f>IF(ISNUMBER(H29),IF(H29&gt;G29,"Beat",IF(H29&lt;G29,"Miss","In line")),"Pending")</f>
        <v>Pending</v>
      </c>
      <c r="J29" s="2"/>
    </row>
    <row r="30">
      <c r="A30" s="3"/>
      <c r="B30" s="11" t="s">
        <v>540</v>
      </c>
      <c r="C30" s="51">
        <v>46049</v>
      </c>
      <c r="D30" s="93" t="s">
        <v>526</v>
      </c>
      <c r="E30" s="31">
        <v>10800</v>
      </c>
      <c r="F30" s="1" t="s">
        <v>524</v>
      </c>
      <c r="G30" s="1">
        <f>IF(ISNUMBER(F30),AVERAGE(E30,F30),E30)</f>
        <v>10800</v>
      </c>
      <c r="H30" s="1" t="s">
        <v>527</v>
      </c>
      <c r="I30" s="2" t="str">
        <f>IF(ISNUMBER(H30),IF(H30&gt;G30,"Beat",IF(H30&lt;G30,"Miss","In line")),"Pending")</f>
        <v>Pending</v>
      </c>
      <c r="J30" s="2"/>
    </row>
    <row r="31">
      <c r="A31" s="3"/>
      <c r="B31" s="11" t="s">
        <v>541</v>
      </c>
      <c r="C31" s="51">
        <v>46049</v>
      </c>
      <c r="D31" s="93" t="s">
        <v>526</v>
      </c>
      <c r="E31" s="31">
        <v>2200</v>
      </c>
      <c r="F31" s="1" t="s">
        <v>524</v>
      </c>
      <c r="G31" s="1">
        <f>IF(ISNUMBER(F31),AVERAGE(E31,F31),E31)</f>
        <v>2200</v>
      </c>
      <c r="H31" s="1" t="s">
        <v>527</v>
      </c>
      <c r="I31" s="2" t="str">
        <f>IF(ISNUMBER(H31),IF(H31&gt;G31,"Beat",IF(H31&lt;G31,"Miss","In line")),"Pending")</f>
        <v>Pending</v>
      </c>
      <c r="J31" s="2"/>
    </row>
    <row r="32">
      <c r="A32" s="3"/>
      <c r="B32" s="11" t="s">
        <v>542</v>
      </c>
      <c r="C32" s="51">
        <v>46049</v>
      </c>
      <c r="D32" s="93" t="s">
        <v>526</v>
      </c>
      <c r="E32" s="31">
        <v>4750</v>
      </c>
      <c r="F32" s="1" t="s">
        <v>524</v>
      </c>
      <c r="G32" s="1">
        <f>IF(ISNUMBER(F32),AVERAGE(E32,F32),E32)</f>
        <v>4750</v>
      </c>
      <c r="H32" s="1" t="s">
        <v>527</v>
      </c>
      <c r="I32" s="2" t="str">
        <f>IF(ISNUMBER(H32),IF(H32&gt;G32,"Beat",IF(H32&lt;G32,"Miss","In line")),"Pending")</f>
        <v>Pending</v>
      </c>
      <c r="J32" s="2"/>
    </row>
    <row r="33">
      <c r="A33" s="3"/>
      <c r="B33" s="11" t="s">
        <v>543</v>
      </c>
      <c r="C33" s="51">
        <v>46049</v>
      </c>
      <c r="D33" s="93" t="s">
        <v>526</v>
      </c>
      <c r="E33" s="31">
        <v>6250</v>
      </c>
      <c r="F33" s="1" t="s">
        <v>524</v>
      </c>
      <c r="G33" s="1">
        <f>IF(ISNUMBER(F33),AVERAGE(E33,F33),E33)</f>
        <v>6250</v>
      </c>
      <c r="H33" s="1" t="s">
        <v>527</v>
      </c>
      <c r="I33" s="2" t="str">
        <f>IF(ISNUMBER(H33),IF(H33&gt;G33,"Beat",IF(H33&lt;G33,"Miss","In line")),"Pending")</f>
        <v>Pending</v>
      </c>
      <c r="J33" s="2"/>
    </row>
    <row r="34">
      <c r="A34" s="3"/>
      <c r="B34" s="11" t="s">
        <v>544</v>
      </c>
      <c r="C34" s="51">
        <v>46049</v>
      </c>
      <c r="D34" s="93" t="s">
        <v>526</v>
      </c>
      <c r="E34" s="31">
        <v>46945</v>
      </c>
      <c r="F34" s="31">
        <v>47495</v>
      </c>
      <c r="G34" s="1">
        <f>IF(ISNUMBER(F34),AVERAGE(E34,F34),E34)</f>
        <v>47220</v>
      </c>
      <c r="H34" s="1" t="s">
        <v>527</v>
      </c>
      <c r="I34" s="2" t="str">
        <f>IF(ISNUMBER(H34),IF(H34&gt;G34,"Beat",IF(H34&lt;G34,"Miss","In line")),"Pending")</f>
        <v>Pending</v>
      </c>
      <c r="J34" s="2"/>
    </row>
    <row r="35">
      <c r="A35" s="3"/>
      <c r="B35" s="11" t="s">
        <v>522</v>
      </c>
      <c r="C35" s="51">
        <v>46133</v>
      </c>
      <c r="D35" s="93" t="s">
        <v>526</v>
      </c>
      <c r="E35" s="46">
        <v>18.25</v>
      </c>
      <c r="F35" s="30" t="s">
        <v>524</v>
      </c>
      <c r="G35" s="30">
        <f>IF(ISNUMBER(F35),AVERAGE(E35,F35),E35)</f>
        <v>18.25</v>
      </c>
      <c r="H35" s="30" t="s">
        <v>527</v>
      </c>
      <c r="I35" s="2" t="str">
        <f>IF(ISNUMBER(H35),IF(H35&gt;G35,"Beat",IF(H35&lt;G35,"Miss","In line")),"Pending")</f>
        <v>Pending</v>
      </c>
      <c r="J35" s="2"/>
    </row>
    <row r="36">
      <c r="A36" s="3"/>
      <c r="B36" s="11" t="s">
        <v>50</v>
      </c>
      <c r="C36" s="51">
        <v>46133</v>
      </c>
      <c r="D36" s="93" t="s">
        <v>526</v>
      </c>
      <c r="E36" s="46">
        <v>17.35</v>
      </c>
      <c r="F36" s="30" t="s">
        <v>524</v>
      </c>
      <c r="G36" s="30">
        <f>IF(ISNUMBER(F36),AVERAGE(E36,F36),E36)</f>
        <v>17.35</v>
      </c>
      <c r="H36" s="30" t="s">
        <v>527</v>
      </c>
      <c r="I36" s="2" t="str">
        <f>IF(ISNUMBER(H36),IF(H36&gt;G36,"Beat",IF(H36&lt;G36,"Miss","In line")),"Pending")</f>
        <v>Pending</v>
      </c>
      <c r="J36" s="2"/>
    </row>
    <row r="37">
      <c r="A37" s="3"/>
      <c r="B37" s="11" t="s">
        <v>525</v>
      </c>
      <c r="C37" s="51">
        <v>46133</v>
      </c>
      <c r="D37" s="93" t="s">
        <v>526</v>
      </c>
      <c r="E37" s="31">
        <v>15800</v>
      </c>
      <c r="F37" s="1" t="s">
        <v>524</v>
      </c>
      <c r="G37" s="1">
        <f>IF(ISNUMBER(F37),AVERAGE(E37,F37),E37)</f>
        <v>15800</v>
      </c>
      <c r="H37" s="1" t="s">
        <v>527</v>
      </c>
      <c r="I37" s="2" t="str">
        <f>IF(ISNUMBER(H37),IF(H37&gt;G37,"Beat",IF(H37&lt;G37,"Miss","In line")),"Pending")</f>
        <v>Pending</v>
      </c>
      <c r="J37" s="2"/>
    </row>
    <row r="38">
      <c r="A38" s="3"/>
      <c r="B38" s="11" t="s">
        <v>522</v>
      </c>
      <c r="C38" s="51">
        <v>46219</v>
      </c>
      <c r="D38" s="93" t="s">
        <v>526</v>
      </c>
      <c r="E38" s="46">
        <v>19.5</v>
      </c>
      <c r="F38" s="46">
        <v>20</v>
      </c>
      <c r="G38" s="30">
        <f>IF(ISNUMBER(F38),AVERAGE(E38,F38),E38)</f>
        <v>19.75</v>
      </c>
      <c r="H38" s="30" t="s">
        <v>527</v>
      </c>
      <c r="I38" s="2" t="str">
        <f>IF(ISNUMBER(H38),IF(H38&gt;G38,"Beat",IF(H38&lt;G38,"Miss","In line")),"Pending")</f>
        <v>Pending</v>
      </c>
      <c r="J38" s="2"/>
    </row>
    <row r="39">
      <c r="A39" s="3"/>
      <c r="B39" s="11" t="s">
        <v>50</v>
      </c>
      <c r="C39" s="51">
        <v>46219</v>
      </c>
      <c r="D39" s="93" t="s">
        <v>526</v>
      </c>
      <c r="E39" s="46">
        <v>18.45</v>
      </c>
      <c r="F39" s="46">
        <v>18.95</v>
      </c>
      <c r="G39" s="30">
        <f>IF(ISNUMBER(F39),AVERAGE(E39,F39),E39)</f>
        <v>18.7</v>
      </c>
      <c r="H39" s="30" t="s">
        <v>527</v>
      </c>
      <c r="I39" s="2" t="str">
        <f>IF(ISNUMBER(H39),IF(H39&gt;G39,"Beat",IF(H39&lt;G39,"Miss","In line")),"Pending")</f>
        <v>Pending</v>
      </c>
      <c r="J39" s="2"/>
    </row>
    <row r="40">
      <c r="A40" s="3"/>
      <c r="B40" s="11" t="s">
        <v>525</v>
      </c>
      <c r="C40" s="51">
        <v>46219</v>
      </c>
      <c r="D40" s="93" t="s">
        <v>526</v>
      </c>
      <c r="E40" s="31">
        <v>16750</v>
      </c>
      <c r="F40" s="1" t="s">
        <v>524</v>
      </c>
      <c r="G40" s="1">
        <f>IF(ISNUMBER(F40),AVERAGE(E40,F40),E40)</f>
        <v>16750</v>
      </c>
      <c r="H40" s="1" t="s">
        <v>527</v>
      </c>
      <c r="I40" s="2" t="str">
        <f>IF(ISNUMBER(H40),IF(H40&gt;G40,"Beat",IF(H40&lt;G40,"Miss","In line")),"Pending")</f>
        <v>Pending</v>
      </c>
      <c r="J40" s="2"/>
    </row>
    <row r="41">
      <c r="A41" s="3"/>
      <c r="B41" s="11" t="s">
        <v>545</v>
      </c>
      <c r="C41" s="51">
        <v>46219</v>
      </c>
      <c r="D41" s="93" t="s">
        <v>526</v>
      </c>
      <c r="E41" s="31">
        <v>17725</v>
      </c>
      <c r="F41" s="1" t="s">
        <v>524</v>
      </c>
      <c r="G41" s="1">
        <f>IF(ISNUMBER(F41),AVERAGE(E41,F41),E41)</f>
        <v>17725</v>
      </c>
      <c r="H41" s="1" t="s">
        <v>527</v>
      </c>
      <c r="I41" s="2" t="str">
        <f>IF(ISNUMBER(H41),IF(H41&gt;G41,"Beat",IF(H41&lt;G41,"Miss","In line")),"Pending")</f>
        <v>Pending</v>
      </c>
      <c r="J41" s="2"/>
    </row>
    <row r="42">
      <c r="A42" s="3"/>
      <c r="B42" s="11" t="s">
        <v>52</v>
      </c>
      <c r="C42" s="51">
        <v>46219</v>
      </c>
      <c r="D42" s="93" t="s">
        <v>526</v>
      </c>
      <c r="E42" s="31">
        <v>25450</v>
      </c>
      <c r="F42" s="1" t="s">
        <v>524</v>
      </c>
      <c r="G42" s="1">
        <f>IF(ISNUMBER(F42),AVERAGE(E42,F42),E42)</f>
        <v>25450</v>
      </c>
      <c r="H42" s="1" t="s">
        <v>527</v>
      </c>
      <c r="I42" s="2" t="str">
        <f>IF(ISNUMBER(H42),IF(H42&gt;G42,"Beat",IF(H42&lt;G42,"Miss","In line")),"Pending")</f>
        <v>Pending</v>
      </c>
      <c r="J42" s="2"/>
    </row>
    <row r="43">
      <c r="A43" s="3"/>
      <c r="B43" s="11" t="s">
        <v>529</v>
      </c>
      <c r="C43" s="51">
        <v>46219</v>
      </c>
      <c r="D43" s="93" t="s">
        <v>526</v>
      </c>
      <c r="E43" s="73">
        <v>0.8785</v>
      </c>
      <c r="F43" s="73">
        <v>0.8835</v>
      </c>
      <c r="G43" s="15">
        <f>IF(ISNUMBER(F43),AVERAGE(E43,F43),E43)</f>
        <v>0.881</v>
      </c>
      <c r="H43" s="15" t="s">
        <v>527</v>
      </c>
      <c r="I43" s="2" t="str">
        <f>IF(ISNUMBER(H43),IF(H43&gt;G43,"Beat",IF(H43&lt;G43,"Miss","In line")),"Pending")</f>
        <v>Pending</v>
      </c>
      <c r="J43" s="2"/>
    </row>
    <row r="44">
      <c r="A44" s="3"/>
      <c r="B44" s="11" t="s">
        <v>530</v>
      </c>
      <c r="C44" s="51">
        <v>46219</v>
      </c>
      <c r="D44" s="93" t="s">
        <v>526</v>
      </c>
      <c r="E44" s="73">
        <v>0.185</v>
      </c>
      <c r="F44" s="73">
        <v>0.185</v>
      </c>
      <c r="G44" s="15">
        <f>IF(ISNUMBER(F44),AVERAGE(E44,F44),E44)</f>
        <v>0.185</v>
      </c>
      <c r="H44" s="15" t="s">
        <v>527</v>
      </c>
      <c r="I44" s="2" t="str">
        <f>IF(ISNUMBER(H44),IF(H44&gt;G44,"Beat",IF(H44&lt;G44,"Miss","In line")),"Pending")</f>
        <v>Pending</v>
      </c>
      <c r="J44" s="2"/>
    </row>
    <row r="45">
      <c r="A45" s="3"/>
      <c r="B45" s="11" t="s">
        <v>531</v>
      </c>
      <c r="C45" s="51">
        <v>46219</v>
      </c>
      <c r="D45" s="93" t="s">
        <v>526</v>
      </c>
      <c r="E45" s="31">
        <v>24000</v>
      </c>
      <c r="F45" s="31">
        <v>24000</v>
      </c>
      <c r="G45" s="1">
        <f>IF(ISNUMBER(F45),AVERAGE(E45,F45),E45)</f>
        <v>24000</v>
      </c>
      <c r="H45" s="1" t="s">
        <v>527</v>
      </c>
      <c r="I45" s="2" t="str">
        <f>IF(ISNUMBER(H45),IF(H45&gt;G45,"Beat",IF(H45&lt;G45,"Miss","In line")),"Pending")</f>
        <v>Pending</v>
      </c>
      <c r="J45" s="2"/>
    </row>
    <row r="46">
      <c r="A46" s="3"/>
      <c r="B46" s="11" t="s">
        <v>532</v>
      </c>
      <c r="C46" s="51">
        <v>46219</v>
      </c>
      <c r="D46" s="93" t="s">
        <v>526</v>
      </c>
      <c r="E46" s="31">
        <v>5000</v>
      </c>
      <c r="F46" s="1" t="s">
        <v>524</v>
      </c>
      <c r="G46" s="1">
        <f>IF(ISNUMBER(F46),AVERAGE(E46,F46),E46)</f>
        <v>5000</v>
      </c>
      <c r="H46" s="1" t="s">
        <v>527</v>
      </c>
      <c r="I46" s="2" t="str">
        <f>IF(ISNUMBER(H46),IF(H46&gt;G46,"Beat",IF(H46&lt;G46,"Miss","In line")),"Pending")</f>
        <v>Pending</v>
      </c>
      <c r="J46" s="2"/>
    </row>
    <row r="47">
      <c r="A47" s="3"/>
      <c r="B47" s="11" t="s">
        <v>546</v>
      </c>
      <c r="C47" s="51">
        <v>46219</v>
      </c>
      <c r="D47" s="93" t="s">
        <v>526</v>
      </c>
      <c r="E47" s="31">
        <v>1345</v>
      </c>
      <c r="F47" s="31">
        <v>1345</v>
      </c>
      <c r="G47" s="1">
        <f>IF(ISNUMBER(F47),AVERAGE(E47,F47),E47)</f>
        <v>1345</v>
      </c>
      <c r="H47" s="1" t="s">
        <v>527</v>
      </c>
      <c r="I47" s="2" t="str">
        <f>IF(ISNUMBER(H47),IF(H47&gt;G47,"Beat",IF(H47&lt;G47,"Miss","In line")),"Pending")</f>
        <v>Pending</v>
      </c>
      <c r="J47" s="2"/>
    </row>
    <row r="48">
      <c r="A48" s="3"/>
      <c r="B48" s="11" t="s">
        <v>540</v>
      </c>
      <c r="C48" s="51">
        <v>46219</v>
      </c>
      <c r="D48" s="93" t="s">
        <v>526</v>
      </c>
      <c r="E48" s="31">
        <v>12000</v>
      </c>
      <c r="F48" s="1" t="s">
        <v>524</v>
      </c>
      <c r="G48" s="1">
        <f>IF(ISNUMBER(F48),AVERAGE(E48,F48),E48)</f>
        <v>12000</v>
      </c>
      <c r="H48" s="1" t="s">
        <v>527</v>
      </c>
      <c r="I48" s="2" t="str">
        <f>IF(ISNUMBER(H48),IF(H48&gt;G48,"Beat",IF(H48&lt;G48,"Miss","In line")),"Pending")</f>
        <v>Pending</v>
      </c>
      <c r="J48" s="2"/>
    </row>
    <row r="49">
      <c r="A49" s="3"/>
      <c r="B49" s="11" t="s">
        <v>541</v>
      </c>
      <c r="C49" s="51">
        <v>46219</v>
      </c>
      <c r="D49" s="93" t="s">
        <v>526</v>
      </c>
      <c r="E49" s="31">
        <v>2275</v>
      </c>
      <c r="F49" s="1" t="s">
        <v>524</v>
      </c>
      <c r="G49" s="1">
        <f>IF(ISNUMBER(F49),AVERAGE(E49,F49),E49)</f>
        <v>2275</v>
      </c>
      <c r="H49" s="1" t="s">
        <v>527</v>
      </c>
      <c r="I49" s="2" t="str">
        <f>IF(ISNUMBER(H49),IF(H49&gt;G49,"Beat",IF(H49&lt;G49,"Miss","In line")),"Pending")</f>
        <v>Pending</v>
      </c>
      <c r="J49" s="2"/>
    </row>
    <row r="50">
      <c r="A50" s="3"/>
      <c r="B50" s="11" t="s">
        <v>542</v>
      </c>
      <c r="C50" s="51">
        <v>46219</v>
      </c>
      <c r="D50" s="93" t="s">
        <v>526</v>
      </c>
      <c r="E50" s="31">
        <v>4925</v>
      </c>
      <c r="F50" s="1" t="s">
        <v>524</v>
      </c>
      <c r="G50" s="1">
        <f>IF(ISNUMBER(F50),AVERAGE(E50,F50),E50)</f>
        <v>4925</v>
      </c>
      <c r="H50" s="1" t="s">
        <v>527</v>
      </c>
      <c r="I50" s="2" t="str">
        <f>IF(ISNUMBER(H50),IF(H50&gt;G50,"Beat",IF(H50&lt;G50,"Miss","In line")),"Pending")</f>
        <v>Pending</v>
      </c>
      <c r="J50" s="2"/>
    </row>
    <row r="51">
      <c r="A51" s="3"/>
      <c r="B51" s="11" t="s">
        <v>543</v>
      </c>
      <c r="C51" s="51">
        <v>46219</v>
      </c>
      <c r="D51" s="93" t="s">
        <v>526</v>
      </c>
      <c r="E51" s="31">
        <v>6250</v>
      </c>
      <c r="F51" s="1" t="s">
        <v>524</v>
      </c>
      <c r="G51" s="1">
        <f>IF(ISNUMBER(F51),AVERAGE(E51,F51),E51)</f>
        <v>6250</v>
      </c>
      <c r="H51" s="1" t="s">
        <v>527</v>
      </c>
      <c r="I51" s="2" t="str">
        <f>IF(ISNUMBER(H51),IF(H51&gt;G51,"Beat",IF(H51&lt;G51,"Miss","In line")),"Pending")</f>
        <v>Pending</v>
      </c>
      <c r="J51" s="2"/>
    </row>
    <row r="52">
      <c r="A52" s="3"/>
      <c r="B52" s="3"/>
      <c r="C52" s="3"/>
      <c r="D52" s="3"/>
      <c r="E52" s="3"/>
      <c r="F52" s="3"/>
      <c r="G52" s="3"/>
      <c r="H52" s="3"/>
      <c r="I52" s="2"/>
      <c r="J52" s="2"/>
    </row>
    <row r="53">
      <c r="A53" s="3"/>
      <c r="B53" s="23" t="s">
        <v>547</v>
      </c>
      <c r="C53" s="3"/>
      <c r="D53" s="3"/>
      <c r="E53" s="3"/>
      <c r="F53" s="3"/>
      <c r="G53" s="3"/>
      <c r="H53" s="3"/>
      <c r="I53" s="2"/>
      <c r="J53" s="2"/>
    </row>
    <row r="54">
      <c r="A54" s="3"/>
      <c r="B54" s="25" t="s">
        <v>548</v>
      </c>
      <c r="C54" s="7" t="str">
        <f>IF(H10&gt;G10,"Beat",IF(H10&lt;G10,"Miss","In line"))</f>
        <v>Beat</v>
      </c>
      <c r="D54" s="7"/>
      <c r="E54" s="7"/>
      <c r="F54" s="7"/>
      <c r="G54" s="7"/>
      <c r="H54" s="7"/>
      <c r="I54" s="2"/>
      <c r="J54" s="2"/>
    </row>
    <row r="55">
      <c r="A55" s="3"/>
      <c r="B55" s="25" t="s">
        <v>549</v>
      </c>
      <c r="C55" s="7" t="str">
        <f>IF(H11&gt;G11,"Beat",IF(H11&lt;G11,"Miss","In line"))</f>
        <v>Miss</v>
      </c>
      <c r="D55" s="7"/>
      <c r="E55" s="7"/>
      <c r="F55" s="7"/>
      <c r="G55" s="7"/>
      <c r="H55" s="7"/>
      <c r="I55" s="2"/>
      <c r="J55" s="2"/>
    </row>
    <row r="56">
      <c r="A56" s="3"/>
      <c r="B56" s="25" t="s">
        <v>550</v>
      </c>
      <c r="C56" s="7" t="str">
        <f>IF(H12&gt;G12,"Beat",IF(H12&lt;G12,"Miss","In line"))</f>
        <v>Miss</v>
      </c>
      <c r="D56" s="7"/>
      <c r="E56" s="7"/>
      <c r="F56" s="7"/>
      <c r="G56" s="7"/>
      <c r="H56" s="7"/>
      <c r="I56" s="2"/>
      <c r="J56" s="2"/>
    </row>
    <row r="57">
      <c r="A57" s="3"/>
      <c r="B57" s="23" t="s">
        <v>551</v>
      </c>
      <c r="C57" s="3"/>
      <c r="D57" s="3"/>
      <c r="E57" s="3"/>
      <c r="F57" s="3"/>
      <c r="G57" s="3"/>
      <c r="H57" s="3"/>
      <c r="I57" s="2"/>
      <c r="J57" s="2"/>
    </row>
    <row r="58">
      <c r="A58" s="3"/>
      <c r="B58" s="3"/>
      <c r="C58" s="3"/>
      <c r="D58" s="3"/>
      <c r="E58" s="3"/>
      <c r="F58" s="3"/>
      <c r="G58" s="3"/>
      <c r="H58" s="3"/>
      <c r="I58" s="2"/>
      <c r="J58" s="2"/>
    </row>
    <row r="59">
      <c r="A59" s="3"/>
      <c r="B59" s="23" t="s">
        <v>552</v>
      </c>
      <c r="C59" s="3"/>
      <c r="D59" s="3"/>
      <c r="E59" s="3"/>
      <c r="F59" s="3"/>
      <c r="G59" s="3"/>
      <c r="H59" s="3"/>
      <c r="I59" s="2"/>
      <c r="J59" s="2"/>
    </row>
    <row r="60">
      <c r="A60" s="3"/>
      <c r="B60" s="41" t="s">
        <v>553</v>
      </c>
      <c r="C60" s="68">
        <v>0.55</v>
      </c>
      <c r="D60" s="6"/>
      <c r="E60" s="6"/>
      <c r="F60" s="6"/>
      <c r="G60" s="6"/>
      <c r="H60" s="6"/>
      <c r="I60" s="2" t="s">
        <v>554</v>
      </c>
      <c r="J60" s="2"/>
    </row>
    <row r="61">
      <c r="A61" s="3"/>
      <c r="B61" s="41" t="s">
        <v>555</v>
      </c>
      <c r="C61" s="68">
        <v>0.7</v>
      </c>
      <c r="D61" s="6"/>
      <c r="E61" s="6"/>
      <c r="F61" s="6"/>
      <c r="G61" s="6"/>
      <c r="H61" s="6"/>
      <c r="I61" s="2"/>
      <c r="J61" s="2"/>
    </row>
    <row r="62">
      <c r="A62" s="3"/>
      <c r="B62" s="11" t="s">
        <v>556</v>
      </c>
      <c r="C62" s="46">
        <v>13.61</v>
      </c>
      <c r="D62" s="30"/>
      <c r="E62" s="30"/>
      <c r="F62" s="30"/>
      <c r="G62" s="30"/>
      <c r="H62" s="30"/>
      <c r="I62" s="2" t="s">
        <v>557</v>
      </c>
      <c r="J62" s="2"/>
    </row>
    <row r="63">
      <c r="A63" s="3"/>
      <c r="B63" s="11" t="s">
        <v>558</v>
      </c>
      <c r="C63" s="46">
        <v>12.94</v>
      </c>
      <c r="D63" s="30"/>
      <c r="E63" s="30"/>
      <c r="F63" s="30"/>
      <c r="G63" s="30"/>
      <c r="H63" s="30"/>
      <c r="I63" s="2" t="s">
        <v>559</v>
      </c>
      <c r="J63" s="2"/>
    </row>
    <row r="64">
      <c r="A64" s="3"/>
      <c r="B64" s="11" t="s">
        <v>560</v>
      </c>
      <c r="C64" s="10">
        <f>'Income Statement'!F99+'Income Statement'!G99</f>
        <v>11764</v>
      </c>
      <c r="D64" s="1"/>
      <c r="E64" s="1"/>
      <c r="F64" s="1"/>
      <c r="G64" s="1"/>
      <c r="H64" s="1"/>
      <c r="I64" s="2"/>
      <c r="J64" s="2"/>
    </row>
    <row r="65">
      <c r="A65" s="3"/>
      <c r="B65" s="11" t="s">
        <v>561</v>
      </c>
      <c r="C65" s="10">
        <f>'Income Statement'!F130+'Income Statement'!G130</f>
        <v>12370</v>
      </c>
      <c r="D65" s="1"/>
      <c r="E65" s="1"/>
      <c r="F65" s="1"/>
      <c r="G65" s="1"/>
      <c r="H65" s="1"/>
      <c r="I65" s="2"/>
      <c r="J65" s="2"/>
    </row>
    <row r="66">
      <c r="A66" s="3"/>
      <c r="B66" s="11" t="s">
        <v>562</v>
      </c>
      <c r="C66" s="10">
        <f>'Income Statement'!F48+'Income Statement'!G48</f>
        <v>223753</v>
      </c>
      <c r="D66" s="1"/>
      <c r="E66" s="1"/>
      <c r="F66" s="1"/>
      <c r="G66" s="1"/>
      <c r="H66" s="1"/>
      <c r="I66" s="2"/>
      <c r="J66" s="2"/>
    </row>
    <row r="67">
      <c r="A67" s="3"/>
      <c r="B67" s="23" t="s">
        <v>563</v>
      </c>
      <c r="C67" s="49">
        <f>(G38-C62)*C60</f>
        <v>3.3770000000000007</v>
      </c>
      <c r="D67" s="96">
        <f>C71/'Share Count'!H26</f>
        <v>3.269593694493784</v>
      </c>
      <c r="E67" s="49"/>
      <c r="F67" s="49"/>
      <c r="G67" s="49"/>
      <c r="H67" s="49"/>
      <c r="I67" s="2" t="s">
        <v>564</v>
      </c>
      <c r="J67" s="2"/>
    </row>
    <row r="68">
      <c r="A68" s="3"/>
      <c r="B68" s="25" t="s">
        <v>565</v>
      </c>
      <c r="C68" s="30">
        <f>(G38-C62)*C61</f>
        <v>4.298</v>
      </c>
      <c r="D68" s="94">
        <f>(G41-C65)*C61/'Share Count'!H26</f>
        <v>4.1613010657193605</v>
      </c>
      <c r="E68" s="30"/>
      <c r="F68" s="30"/>
      <c r="G68" s="30"/>
      <c r="H68" s="30"/>
      <c r="I68" s="2" t="s">
        <v>566</v>
      </c>
      <c r="J68" s="2"/>
    </row>
    <row r="69">
      <c r="A69" s="3"/>
      <c r="B69" s="23" t="s">
        <v>567</v>
      </c>
      <c r="C69" s="49">
        <f>(G39-C63)*C60</f>
        <v>3.168</v>
      </c>
      <c r="D69" s="96">
        <f>C70/'Share Count'!H26</f>
        <v>3.044293960923624</v>
      </c>
      <c r="E69" s="49"/>
      <c r="F69" s="49"/>
      <c r="G69" s="49"/>
      <c r="H69" s="49"/>
      <c r="I69" s="2" t="s">
        <v>568</v>
      </c>
      <c r="J69" s="2"/>
    </row>
    <row r="70">
      <c r="A70" s="3"/>
      <c r="B70" s="23" t="s">
        <v>569</v>
      </c>
      <c r="C70" s="8">
        <f>(G40-C64)*C60</f>
        <v>2742.3</v>
      </c>
      <c r="D70" s="8"/>
      <c r="E70" s="8"/>
      <c r="F70" s="8"/>
      <c r="G70" s="8"/>
      <c r="H70" s="8"/>
      <c r="I70" s="2"/>
      <c r="J70" s="2"/>
    </row>
    <row r="71">
      <c r="A71" s="3"/>
      <c r="B71" s="23" t="s">
        <v>570</v>
      </c>
      <c r="C71" s="8">
        <f>(G41-C65)*C60</f>
        <v>2945.2500000000005</v>
      </c>
      <c r="D71" s="8"/>
      <c r="E71" s="8"/>
      <c r="F71" s="8"/>
      <c r="G71" s="8"/>
      <c r="H71" s="8"/>
      <c r="I71" s="2"/>
      <c r="J71" s="2"/>
    </row>
    <row r="72">
      <c r="A72" s="3"/>
      <c r="B72" s="41" t="s">
        <v>571</v>
      </c>
      <c r="C72" s="68">
        <v>0.5</v>
      </c>
      <c r="D72" s="6"/>
      <c r="E72" s="6"/>
      <c r="F72" s="6"/>
      <c r="G72" s="6"/>
      <c r="H72" s="6"/>
      <c r="I72" s="2"/>
      <c r="J72" s="2"/>
    </row>
    <row r="73">
      <c r="A73" s="3"/>
      <c r="B73" s="23" t="s">
        <v>572</v>
      </c>
      <c r="C73" s="8">
        <f>(G15-C66)*C72</f>
        <v>107623.5</v>
      </c>
      <c r="D73" s="8"/>
      <c r="E73" s="8"/>
      <c r="F73" s="8"/>
      <c r="G73" s="8"/>
      <c r="H73" s="8"/>
      <c r="I73" s="2" t="s">
        <v>573</v>
      </c>
      <c r="J73" s="2"/>
    </row>
    <row r="74">
      <c r="A74" s="3"/>
      <c r="B74" s="3"/>
      <c r="C74" s="3"/>
      <c r="D74" s="3"/>
      <c r="E74" s="3"/>
      <c r="F74" s="3"/>
      <c r="G74" s="3"/>
      <c r="H74" s="3"/>
      <c r="I74" s="2"/>
      <c r="J74" s="2"/>
    </row>
    <row r="75">
      <c r="A75" s="3"/>
      <c r="B75" s="3"/>
      <c r="C75" s="3"/>
      <c r="D75" s="3"/>
      <c r="E75" s="3"/>
      <c r="F75" s="3"/>
      <c r="G75" s="3"/>
      <c r="H75" s="3"/>
      <c r="I75" s="2"/>
      <c r="J75" s="2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4" width="12" customWidth="1"/>
    <col min="5" max="5" width="34" customWidth="1"/>
    <col min="6" max="8" width="12" customWidth="1"/>
    <col min="9" max="9" width="60" customWidth="1"/>
    <col min="10" max="10" width="8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574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514</v>
      </c>
      <c r="C5" s="35"/>
      <c r="D5" s="35"/>
      <c r="E5" s="35"/>
      <c r="F5" s="35"/>
      <c r="G5" s="35"/>
      <c r="H5" s="99"/>
      <c r="I5" s="5"/>
      <c r="J5" s="3"/>
    </row>
    <row r="6">
      <c r="A6" s="3"/>
      <c r="B6" s="34"/>
      <c r="C6" s="9"/>
      <c r="D6" s="9"/>
      <c r="E6" s="9"/>
      <c r="F6" s="9"/>
      <c r="G6" s="9"/>
      <c r="H6" s="98"/>
      <c r="I6" s="34"/>
      <c r="J6" s="3"/>
    </row>
    <row r="7">
      <c r="A7" s="3"/>
      <c r="B7" s="39"/>
      <c r="C7" s="33"/>
      <c r="D7" s="33"/>
      <c r="E7" s="33"/>
      <c r="F7" s="33"/>
      <c r="G7" s="33"/>
      <c r="H7" s="103"/>
      <c r="I7" s="39"/>
      <c r="J7" s="3"/>
    </row>
    <row r="8">
      <c r="A8" s="3"/>
      <c r="B8" s="3"/>
      <c r="C8" s="3"/>
      <c r="D8" s="3"/>
      <c r="E8" s="3"/>
      <c r="F8" s="3"/>
      <c r="G8" s="3"/>
      <c r="H8" s="3"/>
      <c r="I8" s="2"/>
      <c r="J8" s="2"/>
    </row>
    <row r="9">
      <c r="A9" s="3"/>
      <c r="B9" s="36" t="s">
        <v>575</v>
      </c>
      <c r="C9" s="92" t="s">
        <v>576</v>
      </c>
      <c r="D9" s="22" t="s">
        <v>577</v>
      </c>
      <c r="E9" s="92" t="s">
        <v>578</v>
      </c>
      <c r="F9" s="22"/>
      <c r="G9" s="22"/>
      <c r="H9" s="22"/>
      <c r="I9" s="48" t="s">
        <v>579</v>
      </c>
      <c r="J9" s="48" t="s">
        <v>580</v>
      </c>
    </row>
    <row r="10" ht="23.25">
      <c r="A10" s="3"/>
      <c r="B10" s="56" t="s">
        <v>581</v>
      </c>
      <c r="C10" s="7" t="s">
        <v>582</v>
      </c>
      <c r="D10" s="51">
        <v>46306</v>
      </c>
      <c r="E10" s="52" t="s">
        <v>583</v>
      </c>
      <c r="F10" s="7"/>
      <c r="G10" s="7"/>
      <c r="H10" s="7"/>
      <c r="I10" s="55" t="s">
        <v>584</v>
      </c>
      <c r="J10" s="2" t="s">
        <v>585</v>
      </c>
    </row>
    <row r="11" ht="23.25">
      <c r="A11" s="3"/>
      <c r="B11" s="56" t="s">
        <v>586</v>
      </c>
      <c r="C11" s="7" t="s">
        <v>587</v>
      </c>
      <c r="D11" s="51">
        <v>46306</v>
      </c>
      <c r="E11" s="52" t="s">
        <v>583</v>
      </c>
      <c r="F11" s="7"/>
      <c r="G11" s="7"/>
      <c r="H11" s="7"/>
      <c r="I11" s="55" t="s">
        <v>588</v>
      </c>
      <c r="J11" s="2" t="s">
        <v>589</v>
      </c>
    </row>
    <row r="12" ht="23.25">
      <c r="A12" s="3"/>
      <c r="B12" s="56" t="s">
        <v>590</v>
      </c>
      <c r="C12" s="7" t="s">
        <v>591</v>
      </c>
      <c r="D12" s="51">
        <v>45958</v>
      </c>
      <c r="E12" s="52" t="s">
        <v>592</v>
      </c>
      <c r="F12" s="7"/>
      <c r="G12" s="7"/>
      <c r="H12" s="7"/>
      <c r="I12" s="55" t="s">
        <v>593</v>
      </c>
      <c r="J12" s="2" t="s">
        <v>594</v>
      </c>
    </row>
    <row r="13" ht="23.25">
      <c r="A13" s="3"/>
      <c r="B13" s="56" t="s">
        <v>595</v>
      </c>
      <c r="C13" s="7" t="s">
        <v>596</v>
      </c>
      <c r="D13" s="51">
        <v>45958</v>
      </c>
      <c r="E13" s="52" t="s">
        <v>597</v>
      </c>
      <c r="F13" s="7"/>
      <c r="G13" s="7"/>
      <c r="H13" s="7"/>
      <c r="I13" s="55" t="s">
        <v>598</v>
      </c>
      <c r="J13" s="2" t="s">
        <v>599</v>
      </c>
    </row>
    <row r="14" ht="23.25">
      <c r="A14" s="3"/>
      <c r="B14" s="56" t="s">
        <v>600</v>
      </c>
      <c r="C14" s="7" t="s">
        <v>601</v>
      </c>
      <c r="D14" s="51">
        <v>46049</v>
      </c>
      <c r="E14" s="52" t="s">
        <v>592</v>
      </c>
      <c r="F14" s="7"/>
      <c r="G14" s="7"/>
      <c r="H14" s="7"/>
      <c r="I14" s="55" t="s">
        <v>602</v>
      </c>
      <c r="J14" s="2" t="s">
        <v>603</v>
      </c>
    </row>
    <row r="15" ht="23.25">
      <c r="A15" s="3"/>
      <c r="B15" s="56" t="s">
        <v>604</v>
      </c>
      <c r="C15" s="7" t="s">
        <v>605</v>
      </c>
      <c r="D15" s="51">
        <v>46083</v>
      </c>
      <c r="E15" s="52" t="s">
        <v>606</v>
      </c>
      <c r="F15" s="7"/>
      <c r="G15" s="7"/>
      <c r="H15" s="7"/>
      <c r="I15" s="55" t="s">
        <v>607</v>
      </c>
      <c r="J15" s="2" t="s">
        <v>608</v>
      </c>
    </row>
    <row r="16" ht="23.25">
      <c r="A16" s="3"/>
      <c r="B16" s="56" t="s">
        <v>609</v>
      </c>
      <c r="C16" s="7" t="s">
        <v>610</v>
      </c>
      <c r="D16" s="51">
        <v>46133</v>
      </c>
      <c r="E16" s="52" t="s">
        <v>592</v>
      </c>
      <c r="F16" s="7"/>
      <c r="G16" s="7"/>
      <c r="H16" s="7"/>
      <c r="I16" s="55" t="s">
        <v>611</v>
      </c>
      <c r="J16" s="2" t="s">
        <v>612</v>
      </c>
    </row>
    <row r="17" ht="23.25">
      <c r="A17" s="3"/>
      <c r="B17" s="56" t="s">
        <v>613</v>
      </c>
      <c r="C17" s="7" t="s">
        <v>614</v>
      </c>
      <c r="D17" s="51">
        <v>46147</v>
      </c>
      <c r="E17" s="52" t="s">
        <v>597</v>
      </c>
      <c r="F17" s="7"/>
      <c r="G17" s="7"/>
      <c r="H17" s="7"/>
      <c r="I17" s="55" t="s">
        <v>615</v>
      </c>
      <c r="J17" s="2" t="s">
        <v>616</v>
      </c>
    </row>
    <row r="18" ht="23.25">
      <c r="A18" s="3"/>
      <c r="B18" s="56" t="s">
        <v>617</v>
      </c>
      <c r="C18" s="7" t="s">
        <v>559</v>
      </c>
      <c r="D18" s="51">
        <v>46219</v>
      </c>
      <c r="E18" s="52" t="s">
        <v>592</v>
      </c>
      <c r="F18" s="7"/>
      <c r="G18" s="7"/>
      <c r="H18" s="7"/>
      <c r="I18" s="55" t="s">
        <v>618</v>
      </c>
      <c r="J18" s="2" t="s">
        <v>619</v>
      </c>
    </row>
    <row r="19" ht="23.25">
      <c r="A19" s="3"/>
      <c r="B19" s="56" t="s">
        <v>620</v>
      </c>
      <c r="C19" s="7" t="s">
        <v>621</v>
      </c>
      <c r="D19" s="51">
        <v>46244</v>
      </c>
      <c r="E19" s="52" t="s">
        <v>597</v>
      </c>
      <c r="F19" s="7"/>
      <c r="G19" s="7"/>
      <c r="H19" s="7"/>
      <c r="I19" s="55" t="s">
        <v>622</v>
      </c>
      <c r="J19" s="2" t="s">
        <v>623</v>
      </c>
    </row>
    <row r="20" ht="14.625">
      <c r="A20" s="3"/>
      <c r="B20" s="56" t="s">
        <v>624</v>
      </c>
      <c r="C20" s="7" t="s">
        <v>625</v>
      </c>
      <c r="D20" s="51">
        <v>46219</v>
      </c>
      <c r="E20" s="52" t="s">
        <v>626</v>
      </c>
      <c r="F20" s="7"/>
      <c r="G20" s="7"/>
      <c r="H20" s="7"/>
      <c r="I20" s="55" t="s">
        <v>627</v>
      </c>
      <c r="J20" s="2" t="s">
        <v>628</v>
      </c>
    </row>
    <row r="21" ht="14.625">
      <c r="A21" s="3"/>
      <c r="B21" s="56" t="s">
        <v>629</v>
      </c>
      <c r="C21" s="7" t="s">
        <v>630</v>
      </c>
      <c r="D21" s="51">
        <v>46220</v>
      </c>
      <c r="E21" s="52" t="s">
        <v>631</v>
      </c>
      <c r="F21" s="7"/>
      <c r="G21" s="7"/>
      <c r="H21" s="7"/>
      <c r="I21" s="55" t="s">
        <v>632</v>
      </c>
      <c r="J21" s="2" t="s">
        <v>633</v>
      </c>
    </row>
    <row r="22" ht="23.25">
      <c r="A22" s="3"/>
      <c r="B22" s="56" t="s">
        <v>634</v>
      </c>
      <c r="C22" s="7" t="s">
        <v>635</v>
      </c>
      <c r="D22" s="51">
        <v>46280</v>
      </c>
      <c r="E22" s="52" t="s">
        <v>626</v>
      </c>
      <c r="F22" s="7"/>
      <c r="G22" s="7"/>
      <c r="H22" s="7"/>
      <c r="I22" s="55" t="s">
        <v>636</v>
      </c>
      <c r="J22" s="2" t="s">
        <v>637</v>
      </c>
    </row>
    <row r="23" ht="23.25">
      <c r="A23" s="3"/>
      <c r="B23" s="56" t="s">
        <v>638</v>
      </c>
      <c r="C23" s="7" t="s">
        <v>639</v>
      </c>
      <c r="D23" s="51">
        <v>46274</v>
      </c>
      <c r="E23" s="52" t="s">
        <v>640</v>
      </c>
      <c r="F23" s="7"/>
      <c r="G23" s="7"/>
      <c r="H23" s="7"/>
      <c r="I23" s="55" t="s">
        <v>641</v>
      </c>
      <c r="J23" s="2" t="s">
        <v>642</v>
      </c>
    </row>
    <row r="24" ht="14.625">
      <c r="A24" s="3"/>
      <c r="B24" s="56" t="s">
        <v>643</v>
      </c>
      <c r="C24" s="7" t="s">
        <v>644</v>
      </c>
      <c r="D24" s="51">
        <v>46304</v>
      </c>
      <c r="E24" s="52" t="s">
        <v>645</v>
      </c>
      <c r="F24" s="7"/>
      <c r="G24" s="7"/>
      <c r="H24" s="7"/>
      <c r="I24" s="55" t="s">
        <v>646</v>
      </c>
      <c r="J24" s="2" t="s">
        <v>647</v>
      </c>
    </row>
    <row r="25" ht="14.625">
      <c r="A25" s="3"/>
      <c r="B25" s="56" t="s">
        <v>648</v>
      </c>
      <c r="C25" s="7" t="s">
        <v>649</v>
      </c>
      <c r="D25" s="51">
        <v>46303</v>
      </c>
      <c r="E25" s="52" t="s">
        <v>650</v>
      </c>
      <c r="F25" s="7"/>
      <c r="G25" s="7"/>
      <c r="H25" s="7"/>
      <c r="I25" s="55" t="s">
        <v>651</v>
      </c>
      <c r="J25" s="2" t="s">
        <v>652</v>
      </c>
    </row>
    <row r="26" ht="14.625">
      <c r="A26" s="3"/>
      <c r="B26" s="56" t="s">
        <v>653</v>
      </c>
      <c r="C26" s="7" t="s">
        <v>654</v>
      </c>
      <c r="D26" s="51">
        <v>46300</v>
      </c>
      <c r="E26" s="52" t="s">
        <v>655</v>
      </c>
      <c r="F26" s="7"/>
      <c r="G26" s="7"/>
      <c r="H26" s="7"/>
      <c r="I26" s="55" t="s">
        <v>656</v>
      </c>
      <c r="J26" s="2" t="s">
        <v>657</v>
      </c>
    </row>
    <row r="27" ht="14.625">
      <c r="A27" s="3"/>
      <c r="B27" s="56" t="s">
        <v>658</v>
      </c>
      <c r="C27" s="7" t="s">
        <v>659</v>
      </c>
      <c r="D27" s="51">
        <v>46306</v>
      </c>
      <c r="E27" s="52" t="s">
        <v>660</v>
      </c>
      <c r="F27" s="7"/>
      <c r="G27" s="7"/>
      <c r="H27" s="7"/>
      <c r="I27" s="55" t="s">
        <v>661</v>
      </c>
      <c r="J27" s="2" t="s">
        <v>662</v>
      </c>
    </row>
    <row r="28" ht="14.625">
      <c r="A28" s="3"/>
      <c r="B28" s="56" t="s">
        <v>663</v>
      </c>
      <c r="C28" s="7" t="s">
        <v>664</v>
      </c>
      <c r="D28" s="51">
        <v>46304</v>
      </c>
      <c r="E28" s="52" t="s">
        <v>665</v>
      </c>
      <c r="F28" s="7"/>
      <c r="G28" s="7"/>
      <c r="H28" s="7"/>
      <c r="I28" s="55" t="s">
        <v>666</v>
      </c>
      <c r="J28" s="2" t="s">
        <v>667</v>
      </c>
    </row>
    <row r="29" ht="14.625">
      <c r="A29" s="3"/>
      <c r="B29" s="56" t="s">
        <v>663</v>
      </c>
      <c r="C29" s="7" t="s">
        <v>668</v>
      </c>
      <c r="D29" s="51">
        <v>46305</v>
      </c>
      <c r="E29" s="52" t="s">
        <v>669</v>
      </c>
      <c r="F29" s="7"/>
      <c r="G29" s="7"/>
      <c r="H29" s="7"/>
      <c r="I29" s="55" t="s">
        <v>670</v>
      </c>
      <c r="J29" s="2" t="s">
        <v>671</v>
      </c>
    </row>
    <row r="30" ht="14.625">
      <c r="A30" s="3"/>
      <c r="B30" s="56" t="s">
        <v>672</v>
      </c>
      <c r="C30" s="7" t="s">
        <v>673</v>
      </c>
      <c r="D30" s="51">
        <v>46283</v>
      </c>
      <c r="E30" s="52" t="s">
        <v>674</v>
      </c>
      <c r="F30" s="7"/>
      <c r="G30" s="7"/>
      <c r="H30" s="7"/>
      <c r="I30" s="55" t="s">
        <v>675</v>
      </c>
      <c r="J30" s="2" t="s">
        <v>676</v>
      </c>
    </row>
    <row r="31" ht="14.625">
      <c r="A31" s="3"/>
      <c r="B31" s="56" t="s">
        <v>677</v>
      </c>
      <c r="C31" s="7" t="s">
        <v>678</v>
      </c>
      <c r="D31" s="51">
        <v>46274</v>
      </c>
      <c r="E31" s="52" t="s">
        <v>679</v>
      </c>
      <c r="F31" s="7"/>
      <c r="G31" s="7"/>
      <c r="H31" s="7"/>
      <c r="I31" s="55" t="s">
        <v>680</v>
      </c>
      <c r="J31" s="2" t="s">
        <v>681</v>
      </c>
    </row>
    <row r="32" ht="14.625">
      <c r="A32" s="3"/>
      <c r="B32" s="56" t="s">
        <v>682</v>
      </c>
      <c r="C32" s="7" t="s">
        <v>683</v>
      </c>
      <c r="D32" s="51">
        <v>46275</v>
      </c>
      <c r="E32" s="52" t="s">
        <v>684</v>
      </c>
      <c r="F32" s="7"/>
      <c r="G32" s="7"/>
      <c r="H32" s="7"/>
      <c r="I32" s="55" t="s">
        <v>685</v>
      </c>
      <c r="J32" s="2" t="s">
        <v>686</v>
      </c>
    </row>
    <row r="33" ht="14.625">
      <c r="A33" s="3"/>
      <c r="B33" s="56" t="s">
        <v>653</v>
      </c>
      <c r="C33" s="7" t="s">
        <v>687</v>
      </c>
      <c r="D33" s="51">
        <v>46299</v>
      </c>
      <c r="E33" s="52" t="s">
        <v>688</v>
      </c>
      <c r="F33" s="7"/>
      <c r="G33" s="7"/>
      <c r="H33" s="7"/>
      <c r="I33" s="55" t="s">
        <v>689</v>
      </c>
      <c r="J33" s="2" t="s">
        <v>690</v>
      </c>
    </row>
    <row r="34" ht="14.625">
      <c r="A34" s="3"/>
      <c r="B34" s="56" t="s">
        <v>691</v>
      </c>
      <c r="C34" s="7" t="s">
        <v>692</v>
      </c>
      <c r="D34" s="51">
        <v>46306</v>
      </c>
      <c r="E34" s="52" t="s">
        <v>693</v>
      </c>
      <c r="F34" s="7"/>
      <c r="G34" s="7"/>
      <c r="H34" s="7"/>
      <c r="I34" s="55" t="s">
        <v>694</v>
      </c>
      <c r="J34" s="2" t="s">
        <v>695</v>
      </c>
    </row>
    <row r="35">
      <c r="A35" s="3"/>
      <c r="B35" s="3"/>
      <c r="C35" s="3"/>
      <c r="D35" s="3"/>
      <c r="E35" s="3"/>
      <c r="F35" s="3"/>
      <c r="G35" s="3"/>
      <c r="H35" s="3"/>
      <c r="I35" s="2"/>
      <c r="J35" s="2"/>
    </row>
    <row r="36">
      <c r="A36" s="3"/>
      <c r="B36" s="23" t="s">
        <v>696</v>
      </c>
      <c r="C36" s="3"/>
      <c r="D36" s="3"/>
      <c r="E36" s="3"/>
      <c r="F36" s="3"/>
      <c r="G36" s="3"/>
      <c r="H36" s="3"/>
      <c r="I36" s="2"/>
      <c r="J36" s="2"/>
    </row>
    <row r="37">
      <c r="A37" s="3"/>
      <c r="B37" s="23" t="s">
        <v>697</v>
      </c>
      <c r="C37" s="3"/>
      <c r="D37" s="3"/>
      <c r="E37" s="3"/>
      <c r="F37" s="3"/>
      <c r="G37" s="3"/>
      <c r="H37" s="3"/>
      <c r="I37" s="2"/>
      <c r="J37" s="2"/>
    </row>
    <row r="38">
      <c r="A38" s="3"/>
      <c r="B38" s="3"/>
      <c r="C38" s="3"/>
      <c r="D38" s="3"/>
      <c r="E38" s="3"/>
      <c r="F38" s="3"/>
      <c r="G38" s="3"/>
      <c r="H38" s="3"/>
      <c r="I38" s="2"/>
      <c r="J38" s="2"/>
    </row>
    <row r="39">
      <c r="A39" s="3"/>
      <c r="B39" s="3"/>
      <c r="C39" s="3"/>
      <c r="D39" s="3"/>
      <c r="E39" s="3"/>
      <c r="F39" s="3"/>
      <c r="G39" s="3"/>
      <c r="H39" s="3"/>
      <c r="I39" s="2"/>
      <c r="J39" s="2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  <col min="10" max="10" width="8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</row>
    <row r="2">
      <c r="A2" s="3"/>
      <c r="B2" s="44" t="s">
        <v>0</v>
      </c>
      <c r="C2" s="3"/>
      <c r="D2" s="3"/>
      <c r="E2" s="3"/>
      <c r="F2" s="3"/>
      <c r="G2" s="3"/>
      <c r="H2" s="3"/>
      <c r="I2" s="3"/>
      <c r="J2" s="3"/>
    </row>
    <row r="3">
      <c r="A3" s="3"/>
      <c r="B3" s="17" t="s">
        <v>698</v>
      </c>
      <c r="C3" s="3"/>
      <c r="D3" s="3"/>
      <c r="E3" s="3"/>
      <c r="F3" s="3"/>
      <c r="G3" s="3"/>
      <c r="H3" s="3"/>
      <c r="I3" s="3"/>
      <c r="J3" s="3"/>
    </row>
    <row r="4">
      <c r="A4" s="3"/>
      <c r="B4" s="26" t="s">
        <v>2</v>
      </c>
      <c r="C4" s="3"/>
      <c r="D4" s="3"/>
      <c r="E4" s="3"/>
      <c r="F4" s="3"/>
      <c r="G4" s="3"/>
      <c r="H4" s="3"/>
      <c r="I4" s="3"/>
      <c r="J4" s="3"/>
    </row>
    <row r="5">
      <c r="A5" s="3"/>
      <c r="B5" s="5" t="s">
        <v>514</v>
      </c>
      <c r="C5" s="35"/>
      <c r="D5" s="35"/>
      <c r="E5" s="35"/>
      <c r="F5" s="35"/>
      <c r="G5" s="35"/>
      <c r="H5" s="99"/>
      <c r="I5" s="5" t="s">
        <v>10</v>
      </c>
      <c r="J5" s="3"/>
    </row>
    <row r="6">
      <c r="A6" s="3"/>
      <c r="B6" s="34"/>
      <c r="C6" s="9"/>
      <c r="D6" s="9"/>
      <c r="E6" s="9"/>
      <c r="F6" s="9"/>
      <c r="G6" s="9"/>
      <c r="H6" s="98"/>
      <c r="I6" s="34"/>
      <c r="J6" s="3"/>
    </row>
    <row r="7">
      <c r="A7" s="3"/>
      <c r="B7" s="39"/>
      <c r="C7" s="33"/>
      <c r="D7" s="33"/>
      <c r="E7" s="33"/>
      <c r="F7" s="33"/>
      <c r="G7" s="33"/>
      <c r="H7" s="103"/>
      <c r="I7" s="39"/>
      <c r="J7" s="3"/>
    </row>
    <row r="8">
      <c r="A8" s="3"/>
      <c r="B8" s="3"/>
      <c r="C8" s="3"/>
      <c r="D8" s="3"/>
      <c r="E8" s="3"/>
      <c r="F8" s="3"/>
      <c r="G8" s="3"/>
      <c r="H8" s="3"/>
      <c r="I8" s="2"/>
      <c r="J8" s="2"/>
    </row>
    <row r="9">
      <c r="A9" s="3"/>
      <c r="B9" s="23" t="s">
        <v>699</v>
      </c>
      <c r="C9" s="3"/>
      <c r="D9" s="3"/>
      <c r="E9" s="3"/>
      <c r="F9" s="3"/>
      <c r="G9" s="3"/>
      <c r="H9" s="3"/>
      <c r="I9" s="2"/>
      <c r="J9" s="2"/>
    </row>
    <row r="10">
      <c r="A10" s="3"/>
      <c r="B10" s="36" t="s">
        <v>700</v>
      </c>
      <c r="C10" s="22" t="s">
        <v>701</v>
      </c>
      <c r="D10" s="92" t="s">
        <v>702</v>
      </c>
      <c r="E10" s="22"/>
      <c r="F10" s="22"/>
      <c r="G10" s="22"/>
      <c r="H10" s="22"/>
      <c r="I10" s="48"/>
      <c r="J10" s="48"/>
    </row>
    <row r="11">
      <c r="A11" s="3"/>
      <c r="B11" s="11" t="s">
        <v>703</v>
      </c>
      <c r="C11" s="7" t="s">
        <v>17</v>
      </c>
      <c r="D11" s="7"/>
      <c r="E11" s="7"/>
      <c r="F11" s="7"/>
      <c r="G11" s="7"/>
      <c r="H11" s="7"/>
      <c r="I11" s="2"/>
      <c r="J11" s="2"/>
    </row>
    <row r="12">
      <c r="A12" s="3"/>
      <c r="B12" s="11" t="s">
        <v>704</v>
      </c>
      <c r="C12" s="7" t="s">
        <v>15</v>
      </c>
      <c r="D12" s="7"/>
      <c r="E12" s="7"/>
      <c r="F12" s="7"/>
      <c r="G12" s="7"/>
      <c r="H12" s="7"/>
      <c r="I12" s="2"/>
      <c r="J12" s="2"/>
    </row>
    <row r="13">
      <c r="A13" s="3"/>
      <c r="B13" s="11" t="s">
        <v>705</v>
      </c>
      <c r="C13" s="7" t="s">
        <v>706</v>
      </c>
      <c r="D13" s="7"/>
      <c r="E13" s="7"/>
      <c r="F13" s="7"/>
      <c r="G13" s="7"/>
      <c r="H13" s="7"/>
      <c r="I13" s="2"/>
      <c r="J13" s="2"/>
    </row>
    <row r="14">
      <c r="A14" s="3"/>
      <c r="B14" s="11" t="s">
        <v>707</v>
      </c>
      <c r="C14" s="90">
        <v>104673</v>
      </c>
      <c r="D14" s="7"/>
      <c r="E14" s="7"/>
      <c r="F14" s="7"/>
      <c r="G14" s="7"/>
      <c r="H14" s="7"/>
      <c r="I14" s="2"/>
      <c r="J14" s="2"/>
    </row>
    <row r="15">
      <c r="A15" s="3"/>
      <c r="B15" s="11" t="s">
        <v>708</v>
      </c>
      <c r="C15" s="7" t="s">
        <v>709</v>
      </c>
      <c r="D15" s="7"/>
      <c r="E15" s="7"/>
      <c r="F15" s="7"/>
      <c r="G15" s="7"/>
      <c r="H15" s="7"/>
      <c r="I15" s="2"/>
      <c r="J15" s="2"/>
    </row>
    <row r="16">
      <c r="A16" s="3"/>
      <c r="B16" s="11" t="s">
        <v>710</v>
      </c>
      <c r="C16" s="7"/>
      <c r="D16" s="7" t="s">
        <v>711</v>
      </c>
      <c r="E16" s="7"/>
      <c r="F16" s="7"/>
      <c r="G16" s="7"/>
      <c r="H16" s="7"/>
      <c r="I16" s="2"/>
      <c r="J16" s="2"/>
    </row>
    <row r="17">
      <c r="A17" s="3"/>
      <c r="B17" s="11" t="s">
        <v>712</v>
      </c>
      <c r="C17" s="7" t="s">
        <v>713</v>
      </c>
      <c r="D17" s="7"/>
      <c r="E17" s="7"/>
      <c r="F17" s="7"/>
      <c r="G17" s="7"/>
      <c r="H17" s="7"/>
      <c r="I17" s="2"/>
      <c r="J17" s="2"/>
    </row>
    <row r="18">
      <c r="A18" s="3"/>
      <c r="B18" s="11" t="s">
        <v>714</v>
      </c>
      <c r="C18" s="51">
        <v>46295</v>
      </c>
      <c r="D18" s="7"/>
      <c r="E18" s="7"/>
      <c r="F18" s="7"/>
      <c r="G18" s="7"/>
      <c r="H18" s="7"/>
      <c r="I18" s="2"/>
      <c r="J18" s="2"/>
    </row>
    <row r="19">
      <c r="A19" s="3"/>
      <c r="B19" s="11" t="s">
        <v>715</v>
      </c>
      <c r="C19" s="51">
        <v>46308</v>
      </c>
      <c r="D19" s="7"/>
      <c r="E19" s="7"/>
      <c r="F19" s="7"/>
      <c r="G19" s="7"/>
      <c r="H19" s="7"/>
      <c r="I19" s="2"/>
      <c r="J19" s="2"/>
    </row>
    <row r="20">
      <c r="A20" s="3"/>
      <c r="B20" s="11" t="s">
        <v>716</v>
      </c>
      <c r="C20" s="7" t="s">
        <v>717</v>
      </c>
      <c r="D20" s="7"/>
      <c r="E20" s="7"/>
      <c r="F20" s="7"/>
      <c r="G20" s="7"/>
      <c r="H20" s="7"/>
      <c r="I20" s="2"/>
      <c r="J20" s="2"/>
    </row>
    <row r="21">
      <c r="A21" s="3"/>
      <c r="B21" s="11" t="s">
        <v>718</v>
      </c>
      <c r="C21" s="85">
        <v>26</v>
      </c>
      <c r="D21" s="82"/>
      <c r="E21" s="82"/>
      <c r="F21" s="82"/>
      <c r="G21" s="82"/>
      <c r="H21" s="82"/>
      <c r="I21" s="2"/>
      <c r="J21" s="2"/>
    </row>
    <row r="22">
      <c r="A22" s="3"/>
      <c r="B22" s="11" t="s">
        <v>719</v>
      </c>
      <c r="C22" s="46">
        <v>4.15</v>
      </c>
      <c r="D22" s="30"/>
      <c r="E22" s="30"/>
      <c r="F22" s="30"/>
      <c r="G22" s="30"/>
      <c r="H22" s="30"/>
      <c r="I22" s="2"/>
      <c r="J22" s="2"/>
    </row>
    <row r="23">
      <c r="A23" s="3"/>
      <c r="B23" s="11" t="s">
        <v>720</v>
      </c>
      <c r="C23" s="46">
        <v>4.1</v>
      </c>
      <c r="D23" s="30"/>
      <c r="E23" s="30"/>
      <c r="F23" s="30"/>
      <c r="G23" s="30"/>
      <c r="H23" s="30"/>
      <c r="I23" s="2"/>
      <c r="J23" s="2"/>
    </row>
    <row r="24">
      <c r="A24" s="3"/>
      <c r="B24" s="11" t="s">
        <v>721</v>
      </c>
      <c r="C24" s="46">
        <v>4.56</v>
      </c>
      <c r="D24" s="30"/>
      <c r="E24" s="30"/>
      <c r="F24" s="30"/>
      <c r="G24" s="30"/>
      <c r="H24" s="30"/>
      <c r="I24" s="2"/>
      <c r="J24" s="2"/>
    </row>
    <row r="25">
      <c r="A25" s="3"/>
      <c r="B25" s="11" t="s">
        <v>722</v>
      </c>
      <c r="C25" s="46">
        <v>3.9</v>
      </c>
      <c r="D25" s="30"/>
      <c r="E25" s="30"/>
      <c r="F25" s="30"/>
      <c r="G25" s="30"/>
      <c r="H25" s="30"/>
      <c r="I25" s="2"/>
      <c r="J25" s="2"/>
    </row>
    <row r="26">
      <c r="A26" s="3"/>
      <c r="B26" s="11" t="s">
        <v>723</v>
      </c>
      <c r="C26" s="46">
        <v>0.16</v>
      </c>
      <c r="D26" s="30"/>
      <c r="E26" s="30"/>
      <c r="F26" s="30"/>
      <c r="G26" s="30"/>
      <c r="H26" s="30"/>
      <c r="I26" s="2"/>
      <c r="J26" s="2"/>
    </row>
    <row r="27">
      <c r="A27" s="3"/>
      <c r="B27" s="11" t="s">
        <v>724</v>
      </c>
      <c r="C27" s="85">
        <v>23</v>
      </c>
      <c r="D27" s="82"/>
      <c r="E27" s="82"/>
      <c r="F27" s="82"/>
      <c r="G27" s="82"/>
      <c r="H27" s="82"/>
      <c r="I27" s="2"/>
      <c r="J27" s="2"/>
    </row>
    <row r="28">
      <c r="A28" s="3"/>
      <c r="B28" s="11" t="s">
        <v>725</v>
      </c>
      <c r="C28" s="7"/>
      <c r="D28" s="7" t="s">
        <v>711</v>
      </c>
      <c r="E28" s="7"/>
      <c r="F28" s="7"/>
      <c r="G28" s="7"/>
      <c r="H28" s="7"/>
      <c r="I28" s="2"/>
      <c r="J28" s="2"/>
    </row>
    <row r="29">
      <c r="A29" s="3"/>
      <c r="B29" s="11" t="s">
        <v>726</v>
      </c>
      <c r="C29" s="7"/>
      <c r="D29" s="7" t="s">
        <v>711</v>
      </c>
      <c r="E29" s="7"/>
      <c r="F29" s="7"/>
      <c r="G29" s="7"/>
      <c r="H29" s="7"/>
      <c r="I29" s="2"/>
      <c r="J29" s="2"/>
    </row>
    <row r="30">
      <c r="A30" s="3"/>
      <c r="B30" s="11" t="s">
        <v>727</v>
      </c>
      <c r="C30" s="7"/>
      <c r="D30" s="7" t="s">
        <v>711</v>
      </c>
      <c r="E30" s="7"/>
      <c r="F30" s="7"/>
      <c r="G30" s="7"/>
      <c r="H30" s="7"/>
      <c r="I30" s="2"/>
      <c r="J30" s="2"/>
    </row>
    <row r="31">
      <c r="A31" s="3"/>
      <c r="B31" s="11" t="s">
        <v>728</v>
      </c>
      <c r="C31" s="46">
        <v>3.82</v>
      </c>
      <c r="D31" s="30"/>
      <c r="E31" s="30"/>
      <c r="F31" s="30"/>
      <c r="G31" s="30"/>
      <c r="H31" s="30"/>
      <c r="I31" s="2"/>
      <c r="J31" s="2"/>
    </row>
    <row r="32">
      <c r="A32" s="3"/>
      <c r="B32" s="11" t="s">
        <v>729</v>
      </c>
      <c r="C32" s="46">
        <v>3.8</v>
      </c>
      <c r="D32" s="30"/>
      <c r="E32" s="30"/>
      <c r="F32" s="30"/>
      <c r="G32" s="30"/>
      <c r="H32" s="30"/>
      <c r="I32" s="2"/>
      <c r="J32" s="2"/>
    </row>
    <row r="33">
      <c r="A33" s="3"/>
      <c r="B33" s="11" t="s">
        <v>730</v>
      </c>
      <c r="C33" s="46">
        <v>4.11</v>
      </c>
      <c r="D33" s="30"/>
      <c r="E33" s="30"/>
      <c r="F33" s="30"/>
      <c r="G33" s="30"/>
      <c r="H33" s="30"/>
      <c r="I33" s="2"/>
      <c r="J33" s="2"/>
    </row>
    <row r="34">
      <c r="A34" s="3"/>
      <c r="B34" s="11" t="s">
        <v>731</v>
      </c>
      <c r="C34" s="46">
        <v>3.62</v>
      </c>
      <c r="D34" s="30"/>
      <c r="E34" s="30"/>
      <c r="F34" s="30"/>
      <c r="G34" s="30"/>
      <c r="H34" s="30"/>
      <c r="I34" s="2"/>
      <c r="J34" s="2"/>
    </row>
    <row r="35">
      <c r="A35" s="3"/>
      <c r="B35" s="11" t="s">
        <v>732</v>
      </c>
      <c r="C35" s="46">
        <v>0.14</v>
      </c>
      <c r="D35" s="30"/>
      <c r="E35" s="30"/>
      <c r="F35" s="30"/>
      <c r="G35" s="30"/>
      <c r="H35" s="30"/>
      <c r="I35" s="2"/>
      <c r="J35" s="2"/>
    </row>
    <row r="36">
      <c r="A36" s="3"/>
      <c r="B36" s="11" t="s">
        <v>733</v>
      </c>
      <c r="C36" s="85">
        <v>15</v>
      </c>
      <c r="D36" s="82"/>
      <c r="E36" s="82"/>
      <c r="F36" s="82"/>
      <c r="G36" s="82"/>
      <c r="H36" s="82"/>
      <c r="I36" s="2"/>
      <c r="J36" s="2"/>
    </row>
    <row r="37">
      <c r="A37" s="3"/>
      <c r="B37" s="11" t="s">
        <v>734</v>
      </c>
      <c r="C37" s="7"/>
      <c r="D37" s="7" t="s">
        <v>711</v>
      </c>
      <c r="E37" s="7"/>
      <c r="F37" s="7"/>
      <c r="G37" s="7"/>
      <c r="H37" s="7"/>
      <c r="I37" s="2"/>
      <c r="J37" s="2"/>
    </row>
    <row r="38">
      <c r="A38" s="3"/>
      <c r="B38" s="11" t="s">
        <v>735</v>
      </c>
      <c r="C38" s="62">
        <v>111489.35</v>
      </c>
      <c r="D38" s="47"/>
      <c r="E38" s="47"/>
      <c r="F38" s="47"/>
      <c r="G38" s="47"/>
      <c r="H38" s="47"/>
      <c r="I38" s="2"/>
      <c r="J38" s="2"/>
    </row>
    <row r="39">
      <c r="A39" s="3"/>
      <c r="B39" s="11" t="s">
        <v>736</v>
      </c>
      <c r="C39" s="62">
        <v>111407.76</v>
      </c>
      <c r="D39" s="47"/>
      <c r="E39" s="47"/>
      <c r="F39" s="47"/>
      <c r="G39" s="47"/>
      <c r="H39" s="47"/>
      <c r="I39" s="2"/>
      <c r="J39" s="2"/>
    </row>
    <row r="40">
      <c r="A40" s="3"/>
      <c r="B40" s="11" t="s">
        <v>737</v>
      </c>
      <c r="C40" s="62">
        <v>114000</v>
      </c>
      <c r="D40" s="47"/>
      <c r="E40" s="47"/>
      <c r="F40" s="47"/>
      <c r="G40" s="47"/>
      <c r="H40" s="47"/>
      <c r="I40" s="2"/>
      <c r="J40" s="2"/>
    </row>
    <row r="41">
      <c r="A41" s="3"/>
      <c r="B41" s="11" t="s">
        <v>738</v>
      </c>
      <c r="C41" s="62">
        <v>108488</v>
      </c>
      <c r="D41" s="47"/>
      <c r="E41" s="47"/>
      <c r="F41" s="47"/>
      <c r="G41" s="47"/>
      <c r="H41" s="47"/>
      <c r="I41" s="2"/>
      <c r="J41" s="2"/>
    </row>
    <row r="42">
      <c r="A42" s="3"/>
      <c r="B42" s="11" t="s">
        <v>739</v>
      </c>
      <c r="C42" s="62">
        <v>1259.35</v>
      </c>
      <c r="D42" s="47"/>
      <c r="E42" s="47"/>
      <c r="F42" s="47"/>
      <c r="G42" s="47"/>
      <c r="H42" s="47"/>
      <c r="I42" s="2"/>
      <c r="J42" s="2"/>
    </row>
    <row r="43">
      <c r="A43" s="3"/>
      <c r="B43" s="11" t="s">
        <v>740</v>
      </c>
      <c r="C43" s="85">
        <v>18</v>
      </c>
      <c r="D43" s="82"/>
      <c r="E43" s="82"/>
      <c r="F43" s="82"/>
      <c r="G43" s="82"/>
      <c r="H43" s="82"/>
      <c r="I43" s="2"/>
      <c r="J43" s="2"/>
    </row>
    <row r="44">
      <c r="A44" s="3"/>
      <c r="B44" s="11" t="s">
        <v>741</v>
      </c>
      <c r="C44" s="7"/>
      <c r="D44" s="7" t="s">
        <v>711</v>
      </c>
      <c r="E44" s="7"/>
      <c r="F44" s="7"/>
      <c r="G44" s="7"/>
      <c r="H44" s="7"/>
      <c r="I44" s="2"/>
      <c r="J44" s="2"/>
    </row>
    <row r="45">
      <c r="A45" s="3"/>
      <c r="B45" s="11" t="s">
        <v>742</v>
      </c>
      <c r="C45" s="7"/>
      <c r="D45" s="7" t="s">
        <v>711</v>
      </c>
      <c r="E45" s="7"/>
      <c r="F45" s="7"/>
      <c r="G45" s="7"/>
      <c r="H45" s="7"/>
      <c r="I45" s="2"/>
      <c r="J45" s="2"/>
    </row>
    <row r="46">
      <c r="A46" s="3"/>
      <c r="B46" s="11" t="s">
        <v>743</v>
      </c>
      <c r="C46" s="7"/>
      <c r="D46" s="7" t="s">
        <v>711</v>
      </c>
      <c r="E46" s="7"/>
      <c r="F46" s="7"/>
      <c r="G46" s="7"/>
      <c r="H46" s="7"/>
      <c r="I46" s="2"/>
      <c r="J46" s="2"/>
    </row>
    <row r="47">
      <c r="A47" s="3"/>
      <c r="B47" s="11" t="s">
        <v>744</v>
      </c>
      <c r="C47" s="62">
        <v>6474.34</v>
      </c>
      <c r="D47" s="47"/>
      <c r="E47" s="47"/>
      <c r="F47" s="47"/>
      <c r="G47" s="47"/>
      <c r="H47" s="47"/>
      <c r="I47" s="2"/>
      <c r="J47" s="2"/>
    </row>
    <row r="48">
      <c r="A48" s="3"/>
      <c r="B48" s="11" t="s">
        <v>745</v>
      </c>
      <c r="C48" s="62">
        <v>5443.73</v>
      </c>
      <c r="D48" s="47"/>
      <c r="E48" s="47"/>
      <c r="F48" s="47"/>
      <c r="G48" s="47"/>
      <c r="H48" s="47"/>
      <c r="I48" s="2"/>
      <c r="J48" s="2"/>
    </row>
    <row r="49">
      <c r="A49" s="3"/>
      <c r="B49" s="11" t="s">
        <v>746</v>
      </c>
      <c r="C49" s="62">
        <v>4756.86</v>
      </c>
      <c r="D49" s="47"/>
      <c r="E49" s="47"/>
      <c r="F49" s="47"/>
      <c r="G49" s="47"/>
      <c r="H49" s="47"/>
      <c r="I49" s="2"/>
      <c r="J49" s="2"/>
    </row>
    <row r="50">
      <c r="A50" s="3"/>
      <c r="B50" s="11" t="s">
        <v>747</v>
      </c>
      <c r="C50" s="62">
        <v>4463.6</v>
      </c>
      <c r="D50" s="47"/>
      <c r="E50" s="47"/>
      <c r="F50" s="47"/>
      <c r="G50" s="47"/>
      <c r="H50" s="47"/>
      <c r="I50" s="2"/>
      <c r="J50" s="2"/>
    </row>
    <row r="51">
      <c r="A51" s="3"/>
      <c r="B51" s="11" t="s">
        <v>748</v>
      </c>
      <c r="C51" s="62">
        <v>3695.73</v>
      </c>
      <c r="D51" s="47"/>
      <c r="E51" s="47"/>
      <c r="F51" s="47"/>
      <c r="G51" s="47"/>
      <c r="H51" s="47"/>
      <c r="I51" s="2"/>
      <c r="J51" s="2"/>
    </row>
    <row r="52">
      <c r="A52" s="3"/>
      <c r="B52" s="11" t="s">
        <v>749</v>
      </c>
      <c r="C52" s="62">
        <v>3449.78</v>
      </c>
      <c r="D52" s="47"/>
      <c r="E52" s="47"/>
      <c r="F52" s="47"/>
      <c r="G52" s="47"/>
      <c r="H52" s="47"/>
      <c r="I52" s="2"/>
      <c r="J52" s="2"/>
    </row>
    <row r="53">
      <c r="A53" s="3"/>
      <c r="B53" s="11" t="s">
        <v>750</v>
      </c>
      <c r="C53" s="7"/>
      <c r="D53" s="7" t="s">
        <v>711</v>
      </c>
      <c r="E53" s="7"/>
      <c r="F53" s="7"/>
      <c r="G53" s="7"/>
      <c r="H53" s="7"/>
      <c r="I53" s="2"/>
      <c r="J53" s="2"/>
    </row>
    <row r="54">
      <c r="A54" s="3"/>
      <c r="B54" s="11" t="s">
        <v>751</v>
      </c>
      <c r="C54" s="7"/>
      <c r="D54" s="7" t="s">
        <v>711</v>
      </c>
      <c r="E54" s="7"/>
      <c r="F54" s="7"/>
      <c r="G54" s="7"/>
      <c r="H54" s="7"/>
      <c r="I54" s="2"/>
      <c r="J54" s="2"/>
    </row>
    <row r="55">
      <c r="A55" s="3"/>
      <c r="B55" s="11" t="s">
        <v>752</v>
      </c>
      <c r="C55" s="62">
        <v>1066.42</v>
      </c>
      <c r="D55" s="47"/>
      <c r="E55" s="47"/>
      <c r="F55" s="47"/>
      <c r="G55" s="47"/>
      <c r="H55" s="47"/>
      <c r="I55" s="2"/>
      <c r="J55" s="2"/>
    </row>
    <row r="56">
      <c r="A56" s="3"/>
      <c r="B56" s="11" t="s">
        <v>753</v>
      </c>
      <c r="C56" s="7"/>
      <c r="D56" s="7" t="s">
        <v>711</v>
      </c>
      <c r="E56" s="7"/>
      <c r="F56" s="7"/>
      <c r="G56" s="7"/>
      <c r="H56" s="7"/>
      <c r="I56" s="2"/>
      <c r="J56" s="2"/>
    </row>
    <row r="57">
      <c r="A57" s="3"/>
      <c r="B57" s="11" t="s">
        <v>754</v>
      </c>
      <c r="C57" s="7"/>
      <c r="D57" s="7" t="s">
        <v>711</v>
      </c>
      <c r="E57" s="7"/>
      <c r="F57" s="7"/>
      <c r="G57" s="7"/>
      <c r="H57" s="7"/>
      <c r="I57" s="2"/>
      <c r="J57" s="2"/>
    </row>
    <row r="58">
      <c r="A58" s="3"/>
      <c r="B58" s="11" t="s">
        <v>755</v>
      </c>
      <c r="C58" s="7"/>
      <c r="D58" s="7" t="s">
        <v>711</v>
      </c>
      <c r="E58" s="7"/>
      <c r="F58" s="7"/>
      <c r="G58" s="7"/>
      <c r="H58" s="7"/>
      <c r="I58" s="2"/>
      <c r="J58" s="2"/>
    </row>
    <row r="59">
      <c r="A59" s="3"/>
      <c r="B59" s="11" t="s">
        <v>756</v>
      </c>
      <c r="C59" s="62">
        <v>-943.27</v>
      </c>
      <c r="D59" s="47"/>
      <c r="E59" s="47"/>
      <c r="F59" s="47"/>
      <c r="G59" s="47"/>
      <c r="H59" s="47"/>
      <c r="I59" s="2"/>
      <c r="J59" s="2"/>
    </row>
    <row r="60">
      <c r="A60" s="3"/>
      <c r="B60" s="11" t="s">
        <v>757</v>
      </c>
      <c r="C60" s="62">
        <v>51006.39</v>
      </c>
      <c r="D60" s="47"/>
      <c r="E60" s="47"/>
      <c r="F60" s="47"/>
      <c r="G60" s="47"/>
      <c r="H60" s="47"/>
      <c r="I60" s="2"/>
      <c r="J60" s="2"/>
    </row>
    <row r="61">
      <c r="A61" s="3"/>
      <c r="B61" s="11" t="s">
        <v>758</v>
      </c>
      <c r="C61" s="7"/>
      <c r="D61" s="7" t="s">
        <v>711</v>
      </c>
      <c r="E61" s="7"/>
      <c r="F61" s="7"/>
      <c r="G61" s="7"/>
      <c r="H61" s="7"/>
      <c r="I61" s="2"/>
      <c r="J61" s="2"/>
    </row>
    <row r="62">
      <c r="A62" s="3"/>
      <c r="B62" s="11" t="s">
        <v>759</v>
      </c>
      <c r="C62" s="7"/>
      <c r="D62" s="7" t="s">
        <v>711</v>
      </c>
      <c r="E62" s="7"/>
      <c r="F62" s="7"/>
      <c r="G62" s="7"/>
      <c r="H62" s="7"/>
      <c r="I62" s="2"/>
      <c r="J62" s="2"/>
    </row>
    <row r="63">
      <c r="A63" s="3"/>
      <c r="B63" s="11" t="s">
        <v>760</v>
      </c>
      <c r="C63" s="7"/>
      <c r="D63" s="7" t="s">
        <v>711</v>
      </c>
      <c r="E63" s="7"/>
      <c r="F63" s="7"/>
      <c r="G63" s="7"/>
      <c r="H63" s="7"/>
      <c r="I63" s="2"/>
      <c r="J63" s="2"/>
    </row>
    <row r="64">
      <c r="A64" s="3"/>
      <c r="B64" s="11" t="s">
        <v>761</v>
      </c>
      <c r="C64" s="7"/>
      <c r="D64" s="7" t="s">
        <v>711</v>
      </c>
      <c r="E64" s="7"/>
      <c r="F64" s="7"/>
      <c r="G64" s="7"/>
      <c r="H64" s="7"/>
      <c r="I64" s="2"/>
      <c r="J64" s="2"/>
    </row>
    <row r="65">
      <c r="A65" s="3"/>
      <c r="B65" s="11" t="s">
        <v>762</v>
      </c>
      <c r="C65" s="7"/>
      <c r="D65" s="7" t="s">
        <v>711</v>
      </c>
      <c r="E65" s="7"/>
      <c r="F65" s="7"/>
      <c r="G65" s="7"/>
      <c r="H65" s="7"/>
      <c r="I65" s="2"/>
      <c r="J65" s="2"/>
    </row>
    <row r="66">
      <c r="A66" s="3"/>
      <c r="B66" s="11" t="s">
        <v>763</v>
      </c>
      <c r="C66" s="7"/>
      <c r="D66" s="7" t="s">
        <v>711</v>
      </c>
      <c r="E66" s="7"/>
      <c r="F66" s="7"/>
      <c r="G66" s="7"/>
      <c r="H66" s="7"/>
      <c r="I66" s="2"/>
      <c r="J66" s="2"/>
    </row>
    <row r="67">
      <c r="A67" s="3"/>
      <c r="B67" s="11" t="s">
        <v>764</v>
      </c>
      <c r="C67" s="46">
        <v>480.6</v>
      </c>
      <c r="D67" s="30"/>
      <c r="E67" s="30"/>
      <c r="F67" s="30"/>
      <c r="G67" s="30"/>
      <c r="H67" s="30"/>
      <c r="I67" s="2" t="s">
        <v>765</v>
      </c>
      <c r="J67" s="2"/>
    </row>
    <row r="68">
      <c r="A68" s="3"/>
      <c r="B68" s="11" t="s">
        <v>766</v>
      </c>
      <c r="C68" s="46">
        <v>490</v>
      </c>
      <c r="D68" s="30"/>
      <c r="E68" s="30"/>
      <c r="F68" s="30"/>
      <c r="G68" s="30"/>
      <c r="H68" s="30"/>
      <c r="I68" s="2" t="s">
        <v>765</v>
      </c>
      <c r="J68" s="2"/>
    </row>
    <row r="69">
      <c r="A69" s="3"/>
      <c r="B69" s="11" t="s">
        <v>767</v>
      </c>
      <c r="C69" s="46">
        <v>529</v>
      </c>
      <c r="D69" s="30"/>
      <c r="E69" s="30"/>
      <c r="F69" s="30"/>
      <c r="G69" s="30"/>
      <c r="H69" s="30"/>
      <c r="I69" s="2" t="s">
        <v>765</v>
      </c>
      <c r="J69" s="2"/>
    </row>
    <row r="70">
      <c r="A70" s="3"/>
      <c r="B70" s="11" t="s">
        <v>768</v>
      </c>
      <c r="C70" s="46">
        <v>380</v>
      </c>
      <c r="D70" s="30"/>
      <c r="E70" s="30"/>
      <c r="F70" s="30"/>
      <c r="G70" s="30"/>
      <c r="H70" s="30"/>
      <c r="I70" s="2" t="s">
        <v>765</v>
      </c>
      <c r="J70" s="2"/>
    </row>
    <row r="71">
      <c r="A71" s="3"/>
      <c r="B71" s="11" t="s">
        <v>769</v>
      </c>
      <c r="C71" s="46">
        <v>34.83</v>
      </c>
      <c r="D71" s="30"/>
      <c r="E71" s="30"/>
      <c r="F71" s="30"/>
      <c r="G71" s="30"/>
      <c r="H71" s="30"/>
      <c r="I71" s="2" t="s">
        <v>765</v>
      </c>
      <c r="J71" s="2"/>
    </row>
    <row r="72">
      <c r="A72" s="3"/>
      <c r="B72" s="11" t="s">
        <v>770</v>
      </c>
      <c r="C72" s="85">
        <v>25</v>
      </c>
      <c r="D72" s="82"/>
      <c r="E72" s="82"/>
      <c r="F72" s="82"/>
      <c r="G72" s="82"/>
      <c r="H72" s="82"/>
      <c r="I72" s="2" t="s">
        <v>765</v>
      </c>
      <c r="J72" s="2"/>
    </row>
    <row r="73">
      <c r="A73" s="3"/>
      <c r="B73" s="11" t="s">
        <v>771</v>
      </c>
      <c r="C73" s="7" t="s">
        <v>772</v>
      </c>
      <c r="D73" s="7"/>
      <c r="E73" s="7"/>
      <c r="F73" s="7"/>
      <c r="G73" s="7"/>
      <c r="H73" s="7"/>
      <c r="I73" s="2"/>
      <c r="J73" s="2"/>
    </row>
    <row r="74">
      <c r="A74" s="3"/>
      <c r="B74" s="11" t="s">
        <v>773</v>
      </c>
      <c r="C74" s="62">
        <v>1.58</v>
      </c>
      <c r="D74" s="47"/>
      <c r="E74" s="47"/>
      <c r="F74" s="47"/>
      <c r="G74" s="47"/>
      <c r="H74" s="47"/>
      <c r="I74" s="2"/>
      <c r="J74" s="2"/>
    </row>
    <row r="75">
      <c r="A75" s="3"/>
      <c r="B75" s="11" t="s">
        <v>774</v>
      </c>
      <c r="C75" s="46">
        <v>379.3</v>
      </c>
      <c r="D75" s="30"/>
      <c r="E75" s="30"/>
      <c r="F75" s="30"/>
      <c r="G75" s="30"/>
      <c r="H75" s="30"/>
      <c r="I75" s="2"/>
      <c r="J75" s="2"/>
    </row>
    <row r="76">
      <c r="A76" s="3"/>
      <c r="B76" s="11" t="s">
        <v>775</v>
      </c>
      <c r="C76" s="7" t="s">
        <v>776</v>
      </c>
      <c r="D76" s="7"/>
      <c r="E76" s="7"/>
      <c r="F76" s="7"/>
      <c r="G76" s="7"/>
      <c r="H76" s="7"/>
      <c r="I76" s="2"/>
      <c r="J76" s="2"/>
    </row>
    <row r="77">
      <c r="A77" s="3"/>
      <c r="B77" s="11" t="s">
        <v>777</v>
      </c>
      <c r="C77" s="7" t="s">
        <v>23</v>
      </c>
      <c r="D77" s="7"/>
      <c r="E77" s="7"/>
      <c r="F77" s="7"/>
      <c r="G77" s="7"/>
      <c r="H77" s="7"/>
      <c r="I77" s="2"/>
      <c r="J77" s="2"/>
    </row>
    <row r="78">
      <c r="A78" s="3"/>
      <c r="B78" s="11" t="s">
        <v>778</v>
      </c>
      <c r="C78" s="7" t="s">
        <v>779</v>
      </c>
      <c r="D78" s="7"/>
      <c r="E78" s="7"/>
      <c r="F78" s="7"/>
      <c r="G78" s="7"/>
      <c r="H78" s="7"/>
      <c r="I78" s="2"/>
      <c r="J78" s="2"/>
    </row>
    <row r="79">
      <c r="A79" s="3"/>
      <c r="B79" s="11" t="s">
        <v>780</v>
      </c>
      <c r="C79" s="51">
        <v>46306</v>
      </c>
      <c r="D79" s="7"/>
      <c r="E79" s="7"/>
      <c r="F79" s="7"/>
      <c r="G79" s="7"/>
      <c r="H79" s="7"/>
      <c r="I79" s="2"/>
      <c r="J79" s="2"/>
    </row>
    <row r="80">
      <c r="A80" s="3"/>
      <c r="B80" s="11" t="s">
        <v>781</v>
      </c>
      <c r="C80" s="7"/>
      <c r="D80" s="7" t="s">
        <v>711</v>
      </c>
      <c r="E80" s="7"/>
      <c r="F80" s="7"/>
      <c r="G80" s="7"/>
      <c r="H80" s="7"/>
      <c r="I80" s="2"/>
      <c r="J80" s="2"/>
    </row>
    <row r="81">
      <c r="A81" s="3"/>
      <c r="B81" s="3"/>
      <c r="C81" s="3"/>
      <c r="D81" s="3"/>
      <c r="E81" s="3"/>
      <c r="F81" s="3"/>
      <c r="G81" s="3"/>
      <c r="H81" s="3"/>
      <c r="I81" s="2"/>
      <c r="J81" s="2"/>
    </row>
    <row r="82">
      <c r="A82" s="3"/>
      <c r="B82" s="23" t="s">
        <v>782</v>
      </c>
      <c r="C82" s="3"/>
      <c r="D82" s="3"/>
      <c r="E82" s="3"/>
      <c r="F82" s="3"/>
      <c r="G82" s="3"/>
      <c r="H82" s="3"/>
      <c r="I82" s="2"/>
      <c r="J82" s="2"/>
    </row>
    <row r="83">
      <c r="A83" s="3"/>
      <c r="B83" s="11" t="s">
        <v>783</v>
      </c>
      <c r="C83" s="7" t="s">
        <v>784</v>
      </c>
      <c r="D83" s="7"/>
      <c r="E83" s="7"/>
      <c r="F83" s="7"/>
      <c r="G83" s="7"/>
      <c r="H83" s="7"/>
      <c r="I83" s="2"/>
      <c r="J83" s="2"/>
    </row>
    <row r="84">
      <c r="A84" s="3"/>
      <c r="B84" s="11" t="s">
        <v>703</v>
      </c>
      <c r="C84" s="7" t="s">
        <v>17</v>
      </c>
      <c r="D84" s="7"/>
      <c r="E84" s="7"/>
      <c r="F84" s="7"/>
      <c r="G84" s="7"/>
      <c r="H84" s="7"/>
      <c r="I84" s="2"/>
      <c r="J84" s="2"/>
    </row>
    <row r="85">
      <c r="A85" s="3"/>
      <c r="B85" s="11" t="s">
        <v>785</v>
      </c>
      <c r="C85" s="7" t="s">
        <v>15</v>
      </c>
      <c r="D85" s="7"/>
      <c r="E85" s="7"/>
      <c r="F85" s="7"/>
      <c r="G85" s="7"/>
      <c r="H85" s="7"/>
      <c r="I85" s="2"/>
      <c r="J85" s="2"/>
    </row>
    <row r="86">
      <c r="A86" s="3"/>
      <c r="B86" s="11" t="s">
        <v>786</v>
      </c>
      <c r="C86" s="7" t="s">
        <v>713</v>
      </c>
      <c r="D86" s="7"/>
      <c r="E86" s="7"/>
      <c r="F86" s="7"/>
      <c r="G86" s="7"/>
      <c r="H86" s="7"/>
      <c r="I86" s="2"/>
      <c r="J86" s="2"/>
    </row>
    <row r="87">
      <c r="A87" s="3"/>
      <c r="B87" s="11" t="s">
        <v>787</v>
      </c>
      <c r="C87" s="51">
        <v>46295</v>
      </c>
      <c r="D87" s="7"/>
      <c r="E87" s="7"/>
      <c r="F87" s="7"/>
      <c r="G87" s="7"/>
      <c r="H87" s="7"/>
      <c r="I87" s="2"/>
      <c r="J87" s="2"/>
    </row>
    <row r="88">
      <c r="A88" s="3"/>
      <c r="B88" s="11" t="s">
        <v>788</v>
      </c>
      <c r="C88" s="51">
        <v>46306</v>
      </c>
      <c r="D88" s="7"/>
      <c r="E88" s="7"/>
      <c r="F88" s="7"/>
      <c r="G88" s="7"/>
      <c r="H88" s="7"/>
      <c r="I88" s="2"/>
      <c r="J88" s="2"/>
    </row>
    <row r="89">
      <c r="A89" s="3"/>
      <c r="B89" s="11" t="s">
        <v>789</v>
      </c>
      <c r="C89" s="85">
        <v>23</v>
      </c>
      <c r="D89" s="82"/>
      <c r="E89" s="82"/>
      <c r="F89" s="82"/>
      <c r="G89" s="82"/>
      <c r="H89" s="82"/>
      <c r="I89" s="2"/>
      <c r="J89" s="2"/>
    </row>
    <row r="90">
      <c r="A90" s="3"/>
      <c r="B90" s="11" t="s">
        <v>790</v>
      </c>
      <c r="C90" s="46">
        <v>4.15</v>
      </c>
      <c r="D90" s="30"/>
      <c r="E90" s="30"/>
      <c r="F90" s="30"/>
      <c r="G90" s="30"/>
      <c r="H90" s="30"/>
      <c r="I90" s="2"/>
      <c r="J90" s="2"/>
    </row>
    <row r="91">
      <c r="A91" s="3"/>
      <c r="B91" s="11" t="s">
        <v>791</v>
      </c>
      <c r="C91" s="7" t="s">
        <v>792</v>
      </c>
      <c r="D91" s="7"/>
      <c r="E91" s="7"/>
      <c r="F91" s="7"/>
      <c r="G91" s="7"/>
      <c r="H91" s="7"/>
      <c r="I91" s="2"/>
      <c r="J91" s="2"/>
    </row>
    <row r="92">
      <c r="A92" s="3"/>
      <c r="B92" s="11" t="s">
        <v>793</v>
      </c>
      <c r="C92" s="62">
        <v>111489.35</v>
      </c>
      <c r="D92" s="47"/>
      <c r="E92" s="47"/>
      <c r="F92" s="47"/>
      <c r="G92" s="47"/>
      <c r="H92" s="47"/>
      <c r="I92" s="2"/>
      <c r="J92" s="2"/>
    </row>
    <row r="93">
      <c r="A93" s="3"/>
      <c r="B93" s="11" t="s">
        <v>777</v>
      </c>
      <c r="C93" s="7" t="s">
        <v>23</v>
      </c>
      <c r="D93" s="7"/>
      <c r="E93" s="7"/>
      <c r="F93" s="7"/>
      <c r="G93" s="7"/>
      <c r="H93" s="7"/>
      <c r="I93" s="2"/>
      <c r="J93" s="2"/>
    </row>
    <row r="94">
      <c r="A94" s="3"/>
      <c r="B94" s="11" t="s">
        <v>794</v>
      </c>
      <c r="C94" s="7" t="s">
        <v>795</v>
      </c>
      <c r="D94" s="7"/>
      <c r="E94" s="7"/>
      <c r="F94" s="7"/>
      <c r="G94" s="7"/>
      <c r="H94" s="7"/>
      <c r="I94" s="2"/>
      <c r="J94" s="2"/>
    </row>
    <row r="95">
      <c r="A95" s="3"/>
      <c r="B95" s="11" t="s">
        <v>796</v>
      </c>
      <c r="C95" s="7" t="s">
        <v>797</v>
      </c>
      <c r="D95" s="7"/>
      <c r="E95" s="7"/>
      <c r="F95" s="7"/>
      <c r="G95" s="7"/>
      <c r="H95" s="7"/>
      <c r="I95" s="2"/>
      <c r="J95" s="2"/>
    </row>
    <row r="96">
      <c r="A96" s="3"/>
      <c r="B96" s="11" t="s">
        <v>798</v>
      </c>
      <c r="C96" s="7" t="s">
        <v>779</v>
      </c>
      <c r="D96" s="7"/>
      <c r="E96" s="7"/>
      <c r="F96" s="7"/>
      <c r="G96" s="7"/>
      <c r="H96" s="7"/>
      <c r="I96" s="2"/>
      <c r="J96" s="2"/>
    </row>
    <row r="97">
      <c r="A97" s="3"/>
      <c r="B97" s="3"/>
      <c r="C97" s="3"/>
      <c r="D97" s="3"/>
      <c r="E97" s="3"/>
      <c r="F97" s="3"/>
      <c r="G97" s="3"/>
      <c r="H97" s="3"/>
      <c r="I97" s="2"/>
      <c r="J97" s="2"/>
    </row>
    <row r="98">
      <c r="A98" s="3"/>
      <c r="B98" s="23" t="s">
        <v>799</v>
      </c>
      <c r="C98" s="3"/>
      <c r="D98" s="3"/>
      <c r="E98" s="3"/>
      <c r="F98" s="3"/>
      <c r="G98" s="3"/>
      <c r="H98" s="3"/>
      <c r="I98" s="2"/>
      <c r="J98" s="2"/>
    </row>
    <row r="99">
      <c r="A99" s="3"/>
      <c r="B99" s="36" t="s">
        <v>700</v>
      </c>
      <c r="C99" s="22" t="s">
        <v>800</v>
      </c>
      <c r="D99" s="22" t="s">
        <v>801</v>
      </c>
      <c r="E99" s="22" t="s">
        <v>4</v>
      </c>
      <c r="F99" s="22" t="s">
        <v>5</v>
      </c>
      <c r="G99" s="22" t="s">
        <v>7</v>
      </c>
      <c r="H99" s="22" t="s">
        <v>8</v>
      </c>
      <c r="I99" s="48"/>
      <c r="J99" s="48"/>
    </row>
    <row r="100">
      <c r="A100" s="3"/>
      <c r="B100" s="11" t="s">
        <v>787</v>
      </c>
      <c r="C100" s="51">
        <v>45747</v>
      </c>
      <c r="D100" s="51">
        <v>45838</v>
      </c>
      <c r="E100" s="51">
        <v>45930</v>
      </c>
      <c r="F100" s="51">
        <v>46022</v>
      </c>
      <c r="G100" s="51">
        <v>46112</v>
      </c>
      <c r="H100" s="51">
        <v>46203</v>
      </c>
      <c r="I100" s="2"/>
      <c r="J100" s="2"/>
    </row>
    <row r="101">
      <c r="A101" s="3"/>
      <c r="B101" s="11" t="s">
        <v>802</v>
      </c>
      <c r="C101" s="51">
        <v>45764</v>
      </c>
      <c r="D101" s="51">
        <v>45867</v>
      </c>
      <c r="E101" s="51">
        <v>45958</v>
      </c>
      <c r="F101" s="51">
        <v>46049</v>
      </c>
      <c r="G101" s="51">
        <v>46133</v>
      </c>
      <c r="H101" s="51">
        <v>46219</v>
      </c>
      <c r="I101" s="2"/>
      <c r="J101" s="2"/>
    </row>
    <row r="102">
      <c r="A102" s="3"/>
      <c r="B102" s="11" t="s">
        <v>803</v>
      </c>
      <c r="C102" s="46">
        <v>7.29</v>
      </c>
      <c r="D102" s="46">
        <v>4.45</v>
      </c>
      <c r="E102" s="46">
        <v>2.81</v>
      </c>
      <c r="F102" s="46">
        <v>2.11</v>
      </c>
      <c r="G102" s="46">
        <v>6.6</v>
      </c>
      <c r="H102" s="46">
        <v>4.92</v>
      </c>
      <c r="I102" s="2"/>
      <c r="J102" s="2"/>
    </row>
    <row r="103">
      <c r="A103" s="3"/>
      <c r="B103" s="11" t="s">
        <v>804</v>
      </c>
      <c r="C103" s="46">
        <v>7.2</v>
      </c>
      <c r="D103" s="46">
        <v>4.08</v>
      </c>
      <c r="E103" s="46">
        <v>2.92</v>
      </c>
      <c r="F103" s="46">
        <v>2.11</v>
      </c>
      <c r="G103" s="46">
        <v>7.23</v>
      </c>
      <c r="H103" s="46">
        <v>6.38</v>
      </c>
      <c r="I103" s="2"/>
      <c r="J103" s="2"/>
    </row>
    <row r="104">
      <c r="A104" s="3"/>
      <c r="B104" s="11" t="s">
        <v>805</v>
      </c>
      <c r="C104" s="46">
        <v>6.93</v>
      </c>
      <c r="D104" s="46">
        <v>4.22</v>
      </c>
      <c r="E104" s="46">
        <v>2.4</v>
      </c>
      <c r="F104" s="46">
        <v>1.73</v>
      </c>
      <c r="G104" s="46">
        <v>6.28</v>
      </c>
      <c r="H104" s="46">
        <v>4.63</v>
      </c>
      <c r="I104" s="2"/>
      <c r="J104" s="2"/>
    </row>
    <row r="105">
      <c r="A105" s="3"/>
      <c r="B105" s="11" t="s">
        <v>806</v>
      </c>
      <c r="C105" s="46">
        <v>6.85</v>
      </c>
      <c r="D105" s="46">
        <v>3.74</v>
      </c>
      <c r="E105" s="46">
        <v>2.59</v>
      </c>
      <c r="F105" s="46">
        <v>0.01</v>
      </c>
      <c r="G105" s="46">
        <v>6.9</v>
      </c>
      <c r="H105" s="46">
        <v>6.04</v>
      </c>
      <c r="I105" s="2"/>
      <c r="J105" s="2"/>
    </row>
    <row r="106">
      <c r="A106" s="3"/>
      <c r="B106" s="11" t="s">
        <v>807</v>
      </c>
      <c r="C106" s="31">
        <v>111604.46</v>
      </c>
      <c r="D106" s="31">
        <v>111584.85</v>
      </c>
      <c r="E106" s="31">
        <v>113057.14</v>
      </c>
      <c r="F106" s="31">
        <v>113729.99</v>
      </c>
      <c r="G106" s="31">
        <v>109651.57</v>
      </c>
      <c r="H106" s="31">
        <v>110862.28</v>
      </c>
      <c r="I106" s="2"/>
      <c r="J106" s="2"/>
    </row>
    <row r="107">
      <c r="A107" s="3"/>
      <c r="B107" s="11" t="s">
        <v>808</v>
      </c>
      <c r="C107" s="31">
        <v>109575</v>
      </c>
      <c r="D107" s="31">
        <v>111616</v>
      </c>
      <c r="E107" s="31">
        <v>113161</v>
      </c>
      <c r="F107" s="31">
        <v>113215</v>
      </c>
      <c r="G107" s="31">
        <v>111721</v>
      </c>
      <c r="H107" s="31">
        <v>112032</v>
      </c>
      <c r="I107" s="2"/>
      <c r="J107" s="2"/>
    </row>
    <row r="108">
      <c r="A108" s="3"/>
      <c r="B108" s="25" t="s">
        <v>809</v>
      </c>
      <c r="C108" s="30">
        <f>C103-C102</f>
        <v>-0.08999999999999986</v>
      </c>
      <c r="D108" s="30">
        <f>D103-D102</f>
        <v>-0.3700000000000001</v>
      </c>
      <c r="E108" s="30">
        <f>E103-E102</f>
        <v>0.10999999999999988</v>
      </c>
      <c r="F108" s="30">
        <f>F103-F102</f>
        <v>0</v>
      </c>
      <c r="G108" s="30">
        <f>G103-G102</f>
        <v>0.6300000000000008</v>
      </c>
      <c r="H108" s="30">
        <f>H103-H102</f>
        <v>1.46</v>
      </c>
      <c r="I108" s="2"/>
      <c r="J108" s="2"/>
    </row>
    <row r="109">
      <c r="A109" s="3"/>
      <c r="B109" s="58" t="s">
        <v>810</v>
      </c>
      <c r="C109" s="6">
        <f>C108/C102</f>
        <v>-0.01234567901234566</v>
      </c>
      <c r="D109" s="6">
        <f>D108/D102</f>
        <v>-0.08314606741573036</v>
      </c>
      <c r="E109" s="6">
        <f>E108/E102</f>
        <v>0.039145907473309566</v>
      </c>
      <c r="F109" s="6">
        <f>F108/F102</f>
        <v>0</v>
      </c>
      <c r="G109" s="6">
        <f>G108/G102</f>
        <v>0.09545454545454558</v>
      </c>
      <c r="H109" s="6">
        <f>H108/H102</f>
        <v>0.2967479674796748</v>
      </c>
      <c r="I109" s="2"/>
      <c r="J109" s="2"/>
    </row>
    <row r="110">
      <c r="A110" s="3"/>
      <c r="B110" s="25" t="s">
        <v>811</v>
      </c>
      <c r="C110" s="82">
        <f>IF(C103&gt;C102,1,0)</f>
        <v>0</v>
      </c>
      <c r="D110" s="82">
        <f>IF(D103&gt;D102,1,0)</f>
        <v>0</v>
      </c>
      <c r="E110" s="82">
        <f>IF(E103&gt;E102,1,0)</f>
        <v>1</v>
      </c>
      <c r="F110" s="82">
        <f>IF(F103&gt;F102,1,0)</f>
        <v>0</v>
      </c>
      <c r="G110" s="82">
        <f>IF(G103&gt;G102,1,0)</f>
        <v>1</v>
      </c>
      <c r="H110" s="82">
        <f>IF(H103&gt;H102,1,0)</f>
        <v>1</v>
      </c>
      <c r="I110" s="2"/>
      <c r="J110" s="2"/>
    </row>
    <row r="111">
      <c r="A111" s="3"/>
      <c r="B111" s="25" t="s">
        <v>812</v>
      </c>
      <c r="C111" s="1">
        <f>C107-C106</f>
        <v>-2029.4600000000064</v>
      </c>
      <c r="D111" s="1">
        <f>D107-D106</f>
        <v>31.14999999999418</v>
      </c>
      <c r="E111" s="1">
        <f>E107-E106</f>
        <v>103.86000000000058</v>
      </c>
      <c r="F111" s="1">
        <f>F107-F106</f>
        <v>-514.9900000000052</v>
      </c>
      <c r="G111" s="1">
        <f>G107-G106</f>
        <v>2069.429999999993</v>
      </c>
      <c r="H111" s="1">
        <f>H107-H106</f>
        <v>1169.7200000000012</v>
      </c>
      <c r="I111" s="2"/>
      <c r="J111" s="2"/>
    </row>
    <row r="112">
      <c r="A112" s="3"/>
      <c r="B112" s="25" t="s">
        <v>813</v>
      </c>
      <c r="C112" s="1"/>
      <c r="D112" s="1"/>
      <c r="E112" s="10">
        <f>E107-'Income Statement'!C48</f>
        <v>0</v>
      </c>
      <c r="F112" s="10">
        <f>F107-'Income Statement'!D48</f>
        <v>0</v>
      </c>
      <c r="G112" s="10">
        <f>G107-'Income Statement'!F48</f>
        <v>0</v>
      </c>
      <c r="H112" s="10">
        <f>H107-'Income Statement'!G48</f>
        <v>0</v>
      </c>
      <c r="I112" s="2"/>
      <c r="J112" s="2"/>
    </row>
    <row r="113">
      <c r="A113" s="3"/>
      <c r="B113" s="25" t="s">
        <v>814</v>
      </c>
      <c r="C113" s="1"/>
      <c r="D113" s="1"/>
      <c r="E113" s="10">
        <f>E103-'Income Statement'!C134</f>
        <v>0</v>
      </c>
      <c r="F113" s="10">
        <f>F103-'Income Statement'!D134</f>
        <v>0</v>
      </c>
      <c r="G113" s="10">
        <f>G103-'Income Statement'!F134</f>
        <v>0</v>
      </c>
      <c r="H113" s="10">
        <f>H103-'Income Statement'!G134</f>
        <v>0</v>
      </c>
      <c r="I113" s="2"/>
      <c r="J113" s="2"/>
    </row>
    <row r="114">
      <c r="A114" s="3"/>
      <c r="B114" s="3"/>
      <c r="C114" s="3"/>
      <c r="D114" s="3"/>
      <c r="E114" s="3"/>
      <c r="F114" s="3"/>
      <c r="G114" s="3"/>
      <c r="H114" s="3"/>
      <c r="I114" s="2"/>
      <c r="J114" s="2"/>
    </row>
    <row r="115">
      <c r="A115" s="3"/>
      <c r="B115" s="23" t="s">
        <v>815</v>
      </c>
      <c r="C115" s="3"/>
      <c r="D115" s="3"/>
      <c r="E115" s="3"/>
      <c r="F115" s="3"/>
      <c r="G115" s="3"/>
      <c r="H115" s="3"/>
      <c r="I115" s="2"/>
      <c r="J115" s="2"/>
    </row>
    <row r="116">
      <c r="A116" s="3"/>
      <c r="B116" s="11" t="s">
        <v>816</v>
      </c>
      <c r="C116" s="31">
        <v>340460</v>
      </c>
      <c r="D116" s="1"/>
      <c r="E116" s="1"/>
      <c r="F116" s="1"/>
      <c r="G116" s="1"/>
      <c r="H116" s="1"/>
      <c r="I116" s="2" t="s">
        <v>817</v>
      </c>
      <c r="J116" s="2"/>
    </row>
    <row r="117">
      <c r="A117" s="3"/>
      <c r="B117" s="11" t="s">
        <v>818</v>
      </c>
      <c r="C117" s="7" t="s">
        <v>819</v>
      </c>
      <c r="D117" s="7"/>
      <c r="E117" s="7"/>
      <c r="F117" s="7"/>
      <c r="G117" s="7"/>
      <c r="H117" s="7"/>
      <c r="I117" s="2" t="s">
        <v>820</v>
      </c>
      <c r="J117" s="2"/>
    </row>
    <row r="118">
      <c r="A118" s="3"/>
      <c r="B118" s="11" t="s">
        <v>821</v>
      </c>
      <c r="C118" s="7" t="str">
        <f>C15</f>
        <v>Y</v>
      </c>
      <c r="D118" s="7"/>
      <c r="E118" s="7"/>
      <c r="F118" s="7"/>
      <c r="G118" s="7"/>
      <c r="H118" s="7"/>
      <c r="I118" s="2"/>
      <c r="J118" s="2"/>
    </row>
    <row r="119">
      <c r="A119" s="3"/>
      <c r="B119" s="41" t="s">
        <v>822</v>
      </c>
      <c r="C119" s="68">
        <v>0.78</v>
      </c>
      <c r="D119" s="6"/>
      <c r="E119" s="6"/>
      <c r="F119" s="6"/>
      <c r="G119" s="6"/>
      <c r="H119" s="6"/>
      <c r="I119" s="2" t="s">
        <v>823</v>
      </c>
      <c r="J119" s="2"/>
    </row>
    <row r="120">
      <c r="A120" s="3"/>
      <c r="B120" s="11" t="s">
        <v>824</v>
      </c>
      <c r="C120" s="82">
        <f>SUM(C110:H110)</f>
        <v>3</v>
      </c>
      <c r="D120" s="82"/>
      <c r="E120" s="82"/>
      <c r="F120" s="82"/>
      <c r="G120" s="82"/>
      <c r="H120" s="82"/>
      <c r="I120" s="2"/>
      <c r="J120" s="2"/>
    </row>
    <row r="121">
      <c r="A121" s="3"/>
      <c r="B121" s="11" t="s">
        <v>825</v>
      </c>
      <c r="C121" s="82">
        <f>IF(AND(ISNUMBER(C102),ISNUMBER(C103)),1,0)+IF(AND(ISNUMBER(D102),ISNUMBER(D103)),1,0)+IF(AND(ISNUMBER(E102),ISNUMBER(E103)),1,0)+IF(AND(ISNUMBER(F102),ISNUMBER(F103)),1,0)+IF(AND(ISNUMBER(G102),ISNUMBER(G103)),1,0)+IF(AND(ISNUMBER(H102),ISNUMBER(H103)),1,0)</f>
        <v>6</v>
      </c>
      <c r="D121" s="82"/>
      <c r="E121" s="82"/>
      <c r="F121" s="82"/>
      <c r="G121" s="82"/>
      <c r="H121" s="82"/>
      <c r="I121" s="2"/>
      <c r="J121" s="2"/>
    </row>
    <row r="122">
      <c r="A122" s="3"/>
      <c r="B122" s="11" t="s">
        <v>826</v>
      </c>
      <c r="C122" s="85">
        <v>8</v>
      </c>
      <c r="D122" s="82"/>
      <c r="E122" s="82"/>
      <c r="F122" s="82"/>
      <c r="G122" s="82"/>
      <c r="H122" s="82"/>
      <c r="I122" s="2"/>
      <c r="J122" s="2"/>
    </row>
    <row r="123">
      <c r="A123" s="3"/>
      <c r="B123" s="41" t="s">
        <v>827</v>
      </c>
      <c r="C123" s="6">
        <f>(C122*C119+C120)/(C122+C121)</f>
        <v>0.66</v>
      </c>
      <c r="D123" s="6"/>
      <c r="E123" s="6"/>
      <c r="F123" s="6"/>
      <c r="G123" s="6"/>
      <c r="H123" s="6"/>
      <c r="I123" s="2"/>
      <c r="J123" s="2"/>
    </row>
    <row r="124">
      <c r="A124" s="3"/>
      <c r="B124" s="41" t="s">
        <v>828</v>
      </c>
      <c r="C124" s="68">
        <v>0.04</v>
      </c>
      <c r="D124" s="6"/>
      <c r="E124" s="6"/>
      <c r="F124" s="6"/>
      <c r="G124" s="6"/>
      <c r="H124" s="6"/>
      <c r="I124" s="2" t="s">
        <v>829</v>
      </c>
      <c r="J124" s="2"/>
    </row>
    <row r="125">
      <c r="A125" s="3"/>
      <c r="B125" s="43" t="s">
        <v>830</v>
      </c>
      <c r="C125" s="40">
        <f>C123+C124</f>
        <v>0.7000000000000001</v>
      </c>
      <c r="D125" s="40"/>
      <c r="E125" s="40"/>
      <c r="F125" s="40"/>
      <c r="G125" s="40"/>
      <c r="H125" s="40"/>
      <c r="I125" s="2"/>
      <c r="J125" s="2"/>
    </row>
    <row r="126">
      <c r="A126" s="3"/>
      <c r="B126" s="11" t="s">
        <v>61</v>
      </c>
      <c r="C126" s="7" t="s">
        <v>831</v>
      </c>
      <c r="D126" s="7"/>
      <c r="E126" s="7"/>
      <c r="F126" s="7"/>
      <c r="G126" s="7"/>
      <c r="H126" s="7"/>
      <c r="I126" s="2"/>
      <c r="J126" s="2"/>
    </row>
    <row r="127">
      <c r="A127" s="3"/>
      <c r="B127" s="3"/>
      <c r="C127" s="3"/>
      <c r="D127" s="3"/>
      <c r="E127" s="3"/>
      <c r="F127" s="3"/>
      <c r="G127" s="3"/>
      <c r="H127" s="3"/>
      <c r="I127" s="2"/>
      <c r="J127" s="2"/>
    </row>
    <row r="128">
      <c r="A128" s="3"/>
      <c r="B128" s="23" t="s">
        <v>832</v>
      </c>
      <c r="C128" s="3"/>
      <c r="D128" s="3"/>
      <c r="E128" s="3"/>
      <c r="F128" s="3"/>
      <c r="G128" s="3"/>
      <c r="H128" s="3"/>
      <c r="I128" s="2"/>
      <c r="J128" s="2"/>
    </row>
    <row r="129">
      <c r="A129" s="3"/>
      <c r="B129" s="36" t="s">
        <v>833</v>
      </c>
      <c r="C129" s="22" t="s">
        <v>834</v>
      </c>
      <c r="D129" s="22" t="s">
        <v>835</v>
      </c>
      <c r="E129" s="22" t="s">
        <v>836</v>
      </c>
      <c r="F129" s="22"/>
      <c r="G129" s="22"/>
      <c r="H129" s="22"/>
      <c r="I129" s="48" t="s">
        <v>837</v>
      </c>
      <c r="J129" s="48"/>
    </row>
    <row r="130">
      <c r="A130" s="3"/>
      <c r="B130" s="25" t="s">
        <v>194</v>
      </c>
      <c r="C130" s="31">
        <v>174439</v>
      </c>
      <c r="D130" s="10">
        <f>'Income Statement'!E13-'Income Statement'!C13-'Income Statement'!D13</f>
        <v>174439</v>
      </c>
      <c r="E130" s="1">
        <f>D130-C130</f>
        <v>0</v>
      </c>
      <c r="F130" s="1"/>
      <c r="G130" s="1"/>
      <c r="H130" s="1"/>
      <c r="I130" s="2"/>
      <c r="J130" s="2"/>
    </row>
    <row r="131">
      <c r="A131" s="3"/>
      <c r="B131" s="25" t="s">
        <v>300</v>
      </c>
      <c r="C131" s="31">
        <v>26600</v>
      </c>
      <c r="D131" s="10">
        <f>'Income Statement'!E24-'Income Statement'!C24-'Income Statement'!D24</f>
        <v>26600</v>
      </c>
      <c r="E131" s="1">
        <f>D131-C131</f>
        <v>0</v>
      </c>
      <c r="F131" s="1"/>
      <c r="G131" s="1"/>
      <c r="H131" s="1"/>
      <c r="I131" s="2"/>
      <c r="J131" s="2"/>
    </row>
    <row r="132">
      <c r="A132" s="3"/>
      <c r="B132" s="25" t="s">
        <v>198</v>
      </c>
      <c r="C132" s="31">
        <v>18011</v>
      </c>
      <c r="D132" s="10">
        <f>'Income Statement'!E32-'Income Statement'!C32-'Income Statement'!D32</f>
        <v>18011</v>
      </c>
      <c r="E132" s="1">
        <f>D132-C132</f>
        <v>0</v>
      </c>
      <c r="F132" s="1"/>
      <c r="G132" s="1"/>
      <c r="H132" s="1"/>
      <c r="I132" s="2"/>
      <c r="J132" s="2"/>
    </row>
    <row r="133">
      <c r="A133" s="3"/>
      <c r="B133" s="25" t="s">
        <v>200</v>
      </c>
      <c r="C133" s="31">
        <v>2141</v>
      </c>
      <c r="D133" s="10">
        <f>'Income Statement'!E40-'Income Statement'!C40-'Income Statement'!D40</f>
        <v>2141</v>
      </c>
      <c r="E133" s="1">
        <f>D133-C133</f>
        <v>0</v>
      </c>
      <c r="F133" s="1"/>
      <c r="G133" s="1"/>
      <c r="H133" s="1"/>
      <c r="I133" s="2"/>
      <c r="J133" s="2"/>
    </row>
    <row r="134">
      <c r="A134" s="3"/>
      <c r="B134" s="25" t="s">
        <v>317</v>
      </c>
      <c r="C134" s="31">
        <v>151996</v>
      </c>
      <c r="D134" s="10">
        <f>'Income Statement'!E65-'Income Statement'!C65-'Income Statement'!D65</f>
        <v>151996</v>
      </c>
      <c r="E134" s="1">
        <f>D134-C134</f>
        <v>0</v>
      </c>
      <c r="F134" s="1"/>
      <c r="G134" s="1"/>
      <c r="H134" s="1"/>
      <c r="I134" s="2"/>
      <c r="J134" s="2"/>
    </row>
    <row r="135">
      <c r="A135" s="3"/>
      <c r="B135" s="25" t="s">
        <v>321</v>
      </c>
      <c r="C135" s="31">
        <v>27372</v>
      </c>
      <c r="D135" s="10">
        <f>'Income Statement'!E70-'Income Statement'!C70-'Income Statement'!D70</f>
        <v>27372</v>
      </c>
      <c r="E135" s="1">
        <f>D135-C135</f>
        <v>0</v>
      </c>
      <c r="F135" s="1"/>
      <c r="G135" s="1"/>
      <c r="H135" s="1"/>
      <c r="I135" s="2"/>
      <c r="J135" s="2"/>
    </row>
    <row r="136">
      <c r="A136" s="3"/>
      <c r="B136" s="25" t="s">
        <v>325</v>
      </c>
      <c r="C136" s="31">
        <v>25409</v>
      </c>
      <c r="D136" s="10">
        <f>'Income Statement'!E75-'Income Statement'!C75-'Income Statement'!D75</f>
        <v>25409</v>
      </c>
      <c r="E136" s="1">
        <f>D136-C136</f>
        <v>0</v>
      </c>
      <c r="F136" s="1"/>
      <c r="G136" s="1"/>
      <c r="H136" s="1"/>
      <c r="I136" s="2"/>
      <c r="J136" s="2"/>
    </row>
    <row r="137">
      <c r="A137" s="3"/>
      <c r="B137" s="25" t="s">
        <v>327</v>
      </c>
      <c r="C137" s="31">
        <v>2145</v>
      </c>
      <c r="D137" s="10">
        <f>'Income Statement'!E77-'Income Statement'!C77-'Income Statement'!D77</f>
        <v>2145</v>
      </c>
      <c r="E137" s="1">
        <f>D137-C137</f>
        <v>0</v>
      </c>
      <c r="F137" s="1"/>
      <c r="G137" s="1"/>
      <c r="H137" s="1"/>
      <c r="I137" s="2"/>
      <c r="J137" s="2"/>
    </row>
    <row r="138">
      <c r="A138" s="3"/>
      <c r="B138" s="25" t="s">
        <v>333</v>
      </c>
      <c r="C138" s="31">
        <v>-2025</v>
      </c>
      <c r="D138" s="10">
        <f>'Income Statement'!E87-'Income Statement'!C87-'Income Statement'!D87</f>
        <v>-2025</v>
      </c>
      <c r="E138" s="1">
        <f>D138-C138</f>
        <v>0</v>
      </c>
      <c r="F138" s="1"/>
      <c r="G138" s="1"/>
      <c r="H138" s="1"/>
      <c r="I138" s="2"/>
      <c r="J138" s="2"/>
    </row>
    <row r="139">
      <c r="A139" s="3"/>
      <c r="B139" s="25" t="s">
        <v>335</v>
      </c>
      <c r="C139" s="31">
        <v>-56</v>
      </c>
      <c r="D139" s="10">
        <f>'Income Statement'!E88-'Income Statement'!C88-'Income Statement'!D88</f>
        <v>-56</v>
      </c>
      <c r="E139" s="1">
        <f>D139-C139</f>
        <v>0</v>
      </c>
      <c r="F139" s="1"/>
      <c r="G139" s="1"/>
      <c r="H139" s="1"/>
      <c r="I139" s="2"/>
      <c r="J139" s="2"/>
    </row>
    <row r="140">
      <c r="A140" s="3"/>
      <c r="B140" s="25" t="s">
        <v>341</v>
      </c>
      <c r="C140" s="31">
        <v>-2142</v>
      </c>
      <c r="D140" s="10">
        <f>'Income Statement'!E96-'Income Statement'!C96-'Income Statement'!D96</f>
        <v>-2142</v>
      </c>
      <c r="E140" s="1">
        <f>D140-C140</f>
        <v>0</v>
      </c>
      <c r="F140" s="1"/>
      <c r="G140" s="1"/>
      <c r="H140" s="1"/>
      <c r="I140" s="2"/>
      <c r="J140" s="2"/>
    </row>
    <row r="141">
      <c r="A141" s="3"/>
      <c r="B141" s="25" t="s">
        <v>343</v>
      </c>
      <c r="C141" s="31">
        <v>-348</v>
      </c>
      <c r="D141" s="10">
        <f>'Income Statement'!E98-'Income Statement'!C98-'Income Statement'!D98</f>
        <v>-348</v>
      </c>
      <c r="E141" s="1">
        <f>D141-C141</f>
        <v>0</v>
      </c>
      <c r="F141" s="1"/>
      <c r="G141" s="1"/>
      <c r="H141" s="1"/>
      <c r="I141" s="2"/>
      <c r="J141" s="2"/>
    </row>
    <row r="142">
      <c r="A142" s="3"/>
      <c r="B142" s="69" t="s">
        <v>345</v>
      </c>
      <c r="C142" s="57">
        <v>9698</v>
      </c>
      <c r="D142" s="37">
        <f>'Income Statement'!E99-'Income Statement'!C99-'Income Statement'!D99</f>
        <v>9698</v>
      </c>
      <c r="E142" s="8">
        <f>D142-C142</f>
        <v>0</v>
      </c>
      <c r="F142" s="8"/>
      <c r="G142" s="8"/>
      <c r="H142" s="8"/>
      <c r="I142" s="2"/>
      <c r="J142" s="2"/>
    </row>
    <row r="143">
      <c r="A143" s="3"/>
      <c r="B143" s="11" t="s">
        <v>838</v>
      </c>
      <c r="C143" s="82">
        <f>COUNTIF(E130:E142,"&lt;&gt;0")</f>
        <v>0</v>
      </c>
      <c r="D143" s="82"/>
      <c r="E143" s="82"/>
      <c r="F143" s="82"/>
      <c r="G143" s="82"/>
      <c r="H143" s="82"/>
      <c r="I143" s="2"/>
      <c r="J143" s="2"/>
    </row>
    <row r="144">
      <c r="A144" s="3"/>
      <c r="B144" s="3"/>
      <c r="C144" s="3"/>
      <c r="D144" s="3"/>
      <c r="E144" s="3"/>
      <c r="F144" s="3"/>
      <c r="G144" s="3"/>
      <c r="H144" s="3"/>
      <c r="I144" s="2"/>
      <c r="J144" s="2"/>
    </row>
    <row r="145">
      <c r="A145" s="3"/>
      <c r="B145" s="23" t="s">
        <v>839</v>
      </c>
      <c r="C145" s="3"/>
      <c r="D145" s="3"/>
      <c r="E145" s="3"/>
      <c r="F145" s="3"/>
      <c r="G145" s="3"/>
      <c r="H145" s="3"/>
      <c r="I145" s="2"/>
      <c r="J145" s="2"/>
    </row>
    <row r="146">
      <c r="A146" s="3"/>
      <c r="B146" s="36" t="s">
        <v>833</v>
      </c>
      <c r="C146" s="22"/>
      <c r="D146" s="22" t="s">
        <v>840</v>
      </c>
      <c r="E146" s="22" t="s">
        <v>841</v>
      </c>
      <c r="F146" s="22" t="s">
        <v>523</v>
      </c>
      <c r="G146" s="22" t="s">
        <v>842</v>
      </c>
      <c r="H146" s="22" t="s">
        <v>843</v>
      </c>
      <c r="I146" s="48"/>
      <c r="J146" s="48"/>
    </row>
    <row r="147">
      <c r="A147" s="3"/>
      <c r="B147" s="25" t="s">
        <v>342</v>
      </c>
      <c r="C147" s="1"/>
      <c r="D147" s="31">
        <v>10046</v>
      </c>
      <c r="E147" s="31">
        <v>12589</v>
      </c>
      <c r="F147" s="31">
        <v>12807</v>
      </c>
      <c r="G147" s="31">
        <v>6481</v>
      </c>
      <c r="H147" s="31">
        <v>12151</v>
      </c>
      <c r="I147" s="2"/>
      <c r="J147" s="2"/>
    </row>
    <row r="148">
      <c r="A148" s="3"/>
      <c r="B148" s="25" t="s">
        <v>327</v>
      </c>
      <c r="C148" s="1"/>
      <c r="D148" s="31">
        <v>2145</v>
      </c>
      <c r="E148" s="31">
        <v>3244</v>
      </c>
      <c r="F148" s="31">
        <v>4361</v>
      </c>
      <c r="G148" s="31">
        <v>1029</v>
      </c>
      <c r="H148" s="31">
        <v>2069</v>
      </c>
      <c r="I148" s="2"/>
      <c r="J148" s="2"/>
    </row>
    <row r="149">
      <c r="A149" s="3"/>
      <c r="B149" s="25" t="s">
        <v>441</v>
      </c>
      <c r="C149" s="1"/>
      <c r="D149" s="31">
        <v>40</v>
      </c>
      <c r="E149" s="31">
        <v>-955</v>
      </c>
      <c r="F149" s="31">
        <v>-989</v>
      </c>
      <c r="G149" s="31">
        <v>236</v>
      </c>
      <c r="H149" s="31">
        <v>176</v>
      </c>
      <c r="I149" s="2"/>
      <c r="J149" s="2"/>
    </row>
    <row r="150">
      <c r="A150" s="3"/>
      <c r="B150" s="25" t="s">
        <v>442</v>
      </c>
      <c r="C150" s="1"/>
      <c r="D150" s="31">
        <v>572</v>
      </c>
      <c r="E150" s="31">
        <v>795</v>
      </c>
      <c r="F150" s="31">
        <v>971</v>
      </c>
      <c r="G150" s="31">
        <v>348</v>
      </c>
      <c r="H150" s="31">
        <v>624</v>
      </c>
      <c r="I150" s="2"/>
      <c r="J150" s="2"/>
    </row>
    <row r="151">
      <c r="A151" s="3"/>
      <c r="B151" s="25" t="s">
        <v>335</v>
      </c>
      <c r="C151" s="1"/>
      <c r="D151" s="31">
        <v>56</v>
      </c>
      <c r="E151" s="31">
        <v>139</v>
      </c>
      <c r="F151" s="31">
        <v>265</v>
      </c>
      <c r="G151" s="31">
        <v>72</v>
      </c>
      <c r="H151" s="31">
        <v>133</v>
      </c>
      <c r="I151" s="2"/>
      <c r="J151" s="2"/>
    </row>
    <row r="152">
      <c r="A152" s="3"/>
      <c r="B152" s="25" t="s">
        <v>444</v>
      </c>
      <c r="C152" s="1"/>
      <c r="D152" s="31">
        <v>-215</v>
      </c>
      <c r="E152" s="31">
        <v>2777</v>
      </c>
      <c r="F152" s="31">
        <v>2282</v>
      </c>
      <c r="G152" s="31">
        <v>746</v>
      </c>
      <c r="H152" s="31">
        <v>4811</v>
      </c>
      <c r="I152" s="2"/>
      <c r="J152" s="2"/>
    </row>
    <row r="153">
      <c r="A153" s="3"/>
      <c r="B153" s="69" t="s">
        <v>446</v>
      </c>
      <c r="C153" s="8"/>
      <c r="D153" s="57">
        <v>12644</v>
      </c>
      <c r="E153" s="57">
        <v>18589</v>
      </c>
      <c r="F153" s="57">
        <v>19697</v>
      </c>
      <c r="G153" s="57">
        <v>8912</v>
      </c>
      <c r="H153" s="57">
        <v>19964</v>
      </c>
      <c r="I153" s="2"/>
      <c r="J153" s="2"/>
    </row>
    <row r="154">
      <c r="A154" s="3"/>
      <c r="B154" s="25" t="s">
        <v>451</v>
      </c>
      <c r="C154" s="1"/>
      <c r="D154" s="31">
        <v>1327</v>
      </c>
      <c r="E154" s="31">
        <v>1657</v>
      </c>
      <c r="F154" s="31">
        <v>361</v>
      </c>
      <c r="G154" s="31">
        <v>-2352</v>
      </c>
      <c r="H154" s="31">
        <v>-2751</v>
      </c>
      <c r="I154" s="2"/>
      <c r="J154" s="2"/>
    </row>
    <row r="155">
      <c r="A155" s="3"/>
      <c r="B155" s="25" t="s">
        <v>453</v>
      </c>
      <c r="C155" s="1"/>
      <c r="D155" s="31">
        <v>-1784</v>
      </c>
      <c r="E155" s="31">
        <v>-2674</v>
      </c>
      <c r="F155" s="31">
        <v>-3622</v>
      </c>
      <c r="G155" s="31">
        <v>-763</v>
      </c>
      <c r="H155" s="31">
        <v>-1562</v>
      </c>
      <c r="I155" s="2"/>
      <c r="J155" s="2"/>
    </row>
    <row r="156">
      <c r="A156" s="3"/>
      <c r="B156" s="25" t="s">
        <v>455</v>
      </c>
      <c r="C156" s="1"/>
      <c r="D156" s="31">
        <v>-734</v>
      </c>
      <c r="E156" s="31">
        <v>-4436</v>
      </c>
      <c r="F156" s="31">
        <v>-4509</v>
      </c>
      <c r="G156" s="31">
        <v>0</v>
      </c>
      <c r="H156" s="31">
        <v>-98</v>
      </c>
      <c r="I156" s="2"/>
      <c r="J156" s="2"/>
    </row>
    <row r="157">
      <c r="A157" s="3"/>
      <c r="B157" s="25" t="s">
        <v>457</v>
      </c>
      <c r="C157" s="1"/>
      <c r="D157" s="31">
        <v>0</v>
      </c>
      <c r="E157" s="31">
        <v>0</v>
      </c>
      <c r="F157" s="31">
        <v>0</v>
      </c>
      <c r="G157" s="31">
        <v>0</v>
      </c>
      <c r="H157" s="31">
        <v>0</v>
      </c>
      <c r="I157" s="2"/>
      <c r="J157" s="2"/>
    </row>
    <row r="158">
      <c r="A158" s="3"/>
      <c r="B158" s="25" t="s">
        <v>458</v>
      </c>
      <c r="C158" s="1"/>
      <c r="D158" s="31">
        <v>1293</v>
      </c>
      <c r="E158" s="31">
        <v>1543</v>
      </c>
      <c r="F158" s="31">
        <v>1680</v>
      </c>
      <c r="G158" s="31">
        <v>82</v>
      </c>
      <c r="H158" s="31">
        <v>197</v>
      </c>
      <c r="I158" s="2"/>
      <c r="J158" s="2"/>
    </row>
    <row r="159">
      <c r="A159" s="3"/>
      <c r="B159" s="25" t="s">
        <v>459</v>
      </c>
      <c r="C159" s="1"/>
      <c r="D159" s="31">
        <v>-1618</v>
      </c>
      <c r="E159" s="31">
        <v>-2164</v>
      </c>
      <c r="F159" s="31">
        <v>-2595</v>
      </c>
      <c r="G159" s="31">
        <v>586</v>
      </c>
      <c r="H159" s="31">
        <v>-31</v>
      </c>
      <c r="I159" s="2"/>
      <c r="J159" s="2"/>
    </row>
    <row r="160">
      <c r="A160" s="3"/>
      <c r="B160" s="69" t="s">
        <v>460</v>
      </c>
      <c r="C160" s="8"/>
      <c r="D160" s="57">
        <v>-1516</v>
      </c>
      <c r="E160" s="57">
        <v>-6074</v>
      </c>
      <c r="F160" s="57">
        <v>-8685</v>
      </c>
      <c r="G160" s="57">
        <v>-2447</v>
      </c>
      <c r="H160" s="57">
        <v>-4245</v>
      </c>
      <c r="I160" s="2"/>
      <c r="J160" s="2"/>
    </row>
    <row r="161">
      <c r="A161" s="3"/>
      <c r="B161" s="25" t="s">
        <v>463</v>
      </c>
      <c r="C161" s="1"/>
      <c r="D161" s="31">
        <v>-5545</v>
      </c>
      <c r="E161" s="31">
        <v>-5545</v>
      </c>
      <c r="F161" s="31">
        <v>-5545</v>
      </c>
      <c r="G161" s="31">
        <v>0</v>
      </c>
      <c r="H161" s="31">
        <v>-1646</v>
      </c>
      <c r="I161" s="2"/>
      <c r="J161" s="2"/>
    </row>
    <row r="162">
      <c r="A162" s="3"/>
      <c r="B162" s="25" t="s">
        <v>464</v>
      </c>
      <c r="C162" s="1"/>
      <c r="D162" s="31">
        <v>-3912</v>
      </c>
      <c r="E162" s="31">
        <v>-5914</v>
      </c>
      <c r="F162" s="31">
        <v>-7916</v>
      </c>
      <c r="G162" s="31">
        <v>-2005</v>
      </c>
      <c r="H162" s="31">
        <v>-4092</v>
      </c>
      <c r="I162" s="2"/>
      <c r="J162" s="2"/>
    </row>
    <row r="163">
      <c r="A163" s="3"/>
      <c r="B163" s="25" t="s">
        <v>465</v>
      </c>
      <c r="C163" s="1"/>
      <c r="D163" s="31">
        <v>1566</v>
      </c>
      <c r="E163" s="31">
        <v>2438</v>
      </c>
      <c r="F163" s="31">
        <v>726</v>
      </c>
      <c r="G163" s="31">
        <v>-400</v>
      </c>
      <c r="H163" s="31">
        <v>-4813</v>
      </c>
      <c r="I163" s="2"/>
      <c r="J163" s="2"/>
    </row>
    <row r="164">
      <c r="A164" s="3"/>
      <c r="B164" s="25" t="s">
        <v>467</v>
      </c>
      <c r="C164" s="1"/>
      <c r="D164" s="31">
        <v>43</v>
      </c>
      <c r="E164" s="31">
        <v>-1592</v>
      </c>
      <c r="F164" s="31">
        <v>1091</v>
      </c>
      <c r="G164" s="31">
        <v>-587</v>
      </c>
      <c r="H164" s="31">
        <v>-1064</v>
      </c>
      <c r="I164" s="2"/>
      <c r="J164" s="2"/>
    </row>
    <row r="165">
      <c r="A165" s="3"/>
      <c r="B165" s="69" t="s">
        <v>469</v>
      </c>
      <c r="C165" s="8"/>
      <c r="D165" s="57">
        <v>-7848</v>
      </c>
      <c r="E165" s="57">
        <v>-10613</v>
      </c>
      <c r="F165" s="57">
        <v>-11644</v>
      </c>
      <c r="G165" s="57">
        <v>-2992</v>
      </c>
      <c r="H165" s="57">
        <v>-11615</v>
      </c>
      <c r="I165" s="2"/>
      <c r="J165" s="2"/>
    </row>
    <row r="166">
      <c r="A166" s="3"/>
      <c r="B166" s="25" t="s">
        <v>471</v>
      </c>
      <c r="C166" s="1"/>
      <c r="D166" s="31">
        <v>29</v>
      </c>
      <c r="E166" s="31">
        <v>25</v>
      </c>
      <c r="F166" s="31">
        <v>40</v>
      </c>
      <c r="G166" s="31">
        <v>-7</v>
      </c>
      <c r="H166" s="31">
        <v>-3</v>
      </c>
      <c r="I166" s="2"/>
      <c r="J166" s="2"/>
    </row>
    <row r="167">
      <c r="A167" s="3"/>
      <c r="B167" s="25" t="s">
        <v>472</v>
      </c>
      <c r="C167" s="1"/>
      <c r="D167" s="31">
        <v>3309</v>
      </c>
      <c r="E167" s="31">
        <v>1927</v>
      </c>
      <c r="F167" s="31">
        <v>-592</v>
      </c>
      <c r="G167" s="31">
        <v>3466</v>
      </c>
      <c r="H167" s="31">
        <v>4101</v>
      </c>
      <c r="I167" s="2"/>
      <c r="J167" s="2"/>
    </row>
    <row r="168">
      <c r="A168" s="3"/>
      <c r="B168" s="25" t="s">
        <v>473</v>
      </c>
      <c r="C168" s="1"/>
      <c r="D168" s="31">
        <v>-25</v>
      </c>
      <c r="E168" s="31">
        <v>-29</v>
      </c>
      <c r="F168" s="31">
        <v>-355</v>
      </c>
      <c r="G168" s="31">
        <v>170</v>
      </c>
      <c r="H168" s="31">
        <v>119</v>
      </c>
      <c r="I168" s="2"/>
      <c r="J168" s="2"/>
    </row>
    <row r="169">
      <c r="A169" s="3"/>
      <c r="B169" s="69" t="s">
        <v>474</v>
      </c>
      <c r="C169" s="8"/>
      <c r="D169" s="57">
        <v>3284</v>
      </c>
      <c r="E169" s="57">
        <v>1898</v>
      </c>
      <c r="F169" s="57">
        <v>-947</v>
      </c>
      <c r="G169" s="57">
        <v>3636</v>
      </c>
      <c r="H169" s="57">
        <v>4220</v>
      </c>
      <c r="I169" s="2"/>
      <c r="J169" s="2"/>
    </row>
    <row r="170">
      <c r="A170" s="3"/>
      <c r="B170" s="25" t="s">
        <v>475</v>
      </c>
      <c r="C170" s="1"/>
      <c r="D170" s="31">
        <v>25312</v>
      </c>
      <c r="E170" s="31">
        <v>25312</v>
      </c>
      <c r="F170" s="31">
        <v>25312</v>
      </c>
      <c r="G170" s="31">
        <v>24365</v>
      </c>
      <c r="H170" s="31">
        <v>24365</v>
      </c>
      <c r="I170" s="2"/>
      <c r="J170" s="2"/>
    </row>
    <row r="171">
      <c r="A171" s="3"/>
      <c r="B171" s="69" t="s">
        <v>477</v>
      </c>
      <c r="C171" s="8"/>
      <c r="D171" s="57">
        <v>28596</v>
      </c>
      <c r="E171" s="57">
        <v>27210</v>
      </c>
      <c r="F171" s="57">
        <v>24365</v>
      </c>
      <c r="G171" s="57">
        <v>28001</v>
      </c>
      <c r="H171" s="57">
        <v>28585</v>
      </c>
      <c r="I171" s="2"/>
      <c r="J171" s="2"/>
    </row>
    <row r="172">
      <c r="A172" s="3"/>
      <c r="B172" s="25" t="s">
        <v>844</v>
      </c>
      <c r="C172" s="1"/>
      <c r="D172" s="1">
        <f>D153+D160+D165+D166-D167</f>
        <v>0</v>
      </c>
      <c r="E172" s="1">
        <f>E153+E160+E165+E166-E167</f>
        <v>0</v>
      </c>
      <c r="F172" s="1">
        <f>F153+F160+F165+F166-F167</f>
        <v>0</v>
      </c>
      <c r="G172" s="1">
        <f>G153+G160+G165+G166-G167</f>
        <v>0</v>
      </c>
      <c r="H172" s="1">
        <f>H153+H160+H165+H166-H167</f>
        <v>0</v>
      </c>
      <c r="I172" s="2"/>
      <c r="J172" s="2"/>
    </row>
    <row r="173">
      <c r="A173" s="3"/>
      <c r="B173" s="3"/>
      <c r="C173" s="3"/>
      <c r="D173" s="3"/>
      <c r="E173" s="3"/>
      <c r="F173" s="3"/>
      <c r="G173" s="3"/>
      <c r="H173" s="3"/>
      <c r="I173" s="2"/>
      <c r="J173" s="2"/>
    </row>
    <row r="174">
      <c r="A174" s="3"/>
      <c r="B174" s="23" t="s">
        <v>845</v>
      </c>
      <c r="C174" s="3"/>
      <c r="D174" s="3"/>
      <c r="E174" s="3"/>
      <c r="F174" s="3"/>
      <c r="G174" s="3"/>
      <c r="H174" s="3"/>
      <c r="I174" s="2"/>
      <c r="J174" s="2"/>
    </row>
    <row r="175">
      <c r="A175" s="3"/>
      <c r="B175" s="36" t="s">
        <v>833</v>
      </c>
      <c r="C175" s="22" t="s">
        <v>846</v>
      </c>
      <c r="D175" s="22" t="s">
        <v>847</v>
      </c>
      <c r="E175" s="22"/>
      <c r="F175" s="22"/>
      <c r="G175" s="22"/>
      <c r="H175" s="22"/>
      <c r="I175" s="48"/>
      <c r="J175" s="48"/>
    </row>
    <row r="176">
      <c r="A176" s="3"/>
      <c r="B176" s="25" t="s">
        <v>848</v>
      </c>
      <c r="C176" s="31">
        <v>248456</v>
      </c>
      <c r="D176" s="31">
        <v>332390</v>
      </c>
      <c r="E176" s="1"/>
      <c r="F176" s="1"/>
      <c r="G176" s="1"/>
      <c r="H176" s="1"/>
      <c r="I176" s="2" t="s">
        <v>849</v>
      </c>
      <c r="J176" s="2"/>
    </row>
    <row r="177">
      <c r="A177" s="3"/>
      <c r="B177" s="25" t="s">
        <v>850</v>
      </c>
      <c r="C177" s="31">
        <v>7665</v>
      </c>
      <c r="D177" s="31">
        <v>10340</v>
      </c>
      <c r="E177" s="1"/>
      <c r="F177" s="1"/>
      <c r="G177" s="1"/>
      <c r="H177" s="1"/>
      <c r="I177" s="2" t="s">
        <v>849</v>
      </c>
      <c r="J177" s="2"/>
    </row>
    <row r="178">
      <c r="A178" s="3"/>
      <c r="B178" s="25" t="s">
        <v>851</v>
      </c>
      <c r="C178" s="31">
        <v>1669</v>
      </c>
      <c r="D178" s="31">
        <v>2173</v>
      </c>
      <c r="E178" s="1"/>
      <c r="F178" s="1"/>
      <c r="G178" s="1"/>
      <c r="H178" s="1"/>
      <c r="I178" s="2" t="s">
        <v>849</v>
      </c>
      <c r="J178" s="2"/>
    </row>
    <row r="179">
      <c r="A179" s="3"/>
      <c r="B179" s="25" t="s">
        <v>852</v>
      </c>
      <c r="C179" s="31">
        <v>39572</v>
      </c>
      <c r="D179" s="31">
        <v>52925</v>
      </c>
      <c r="E179" s="1"/>
      <c r="F179" s="1"/>
      <c r="G179" s="1"/>
      <c r="H179" s="1"/>
      <c r="I179" s="2" t="s">
        <v>849</v>
      </c>
      <c r="J179" s="2"/>
    </row>
    <row r="180">
      <c r="A180" s="3"/>
      <c r="B180" s="25" t="s">
        <v>853</v>
      </c>
      <c r="C180" s="31">
        <v>3430</v>
      </c>
      <c r="D180" s="31">
        <v>4754</v>
      </c>
      <c r="E180" s="1"/>
      <c r="F180" s="1"/>
      <c r="G180" s="1"/>
      <c r="H180" s="1"/>
      <c r="I180" s="2" t="s">
        <v>849</v>
      </c>
      <c r="J180" s="2"/>
    </row>
    <row r="181">
      <c r="A181" s="3"/>
      <c r="B181" s="25" t="s">
        <v>854</v>
      </c>
      <c r="C181" s="31">
        <v>70122</v>
      </c>
      <c r="D181" s="31">
        <v>96873</v>
      </c>
      <c r="E181" s="1"/>
      <c r="F181" s="1"/>
      <c r="G181" s="1"/>
      <c r="H181" s="1"/>
      <c r="I181" s="2" t="s">
        <v>849</v>
      </c>
      <c r="J181" s="2"/>
    </row>
    <row r="182">
      <c r="A182" s="3"/>
      <c r="B182" s="25" t="s">
        <v>855</v>
      </c>
      <c r="C182" s="31">
        <v>146</v>
      </c>
      <c r="D182" s="31">
        <v>174</v>
      </c>
      <c r="E182" s="1"/>
      <c r="F182" s="1"/>
      <c r="G182" s="1"/>
      <c r="H182" s="1"/>
      <c r="I182" s="2" t="s">
        <v>849</v>
      </c>
      <c r="J182" s="2"/>
    </row>
    <row r="183">
      <c r="A183" s="3"/>
      <c r="B183" s="3"/>
      <c r="C183" s="3"/>
      <c r="D183" s="3"/>
      <c r="E183" s="3"/>
      <c r="F183" s="3"/>
      <c r="G183" s="3"/>
      <c r="H183" s="3"/>
      <c r="I183" s="2"/>
      <c r="J183" s="2"/>
    </row>
    <row r="184">
      <c r="A184" s="3"/>
      <c r="B184" s="23" t="s">
        <v>856</v>
      </c>
      <c r="C184" s="3"/>
      <c r="D184" s="3"/>
      <c r="E184" s="3"/>
      <c r="F184" s="3"/>
      <c r="G184" s="3"/>
      <c r="H184" s="3"/>
      <c r="I184" s="2"/>
      <c r="J184" s="2"/>
    </row>
    <row r="185">
      <c r="A185" s="3"/>
      <c r="B185" s="36" t="s">
        <v>857</v>
      </c>
      <c r="C185" s="22" t="s">
        <v>858</v>
      </c>
      <c r="D185" s="22" t="s">
        <v>528</v>
      </c>
      <c r="E185" s="22" t="s">
        <v>859</v>
      </c>
      <c r="F185" s="22"/>
      <c r="G185" s="22"/>
      <c r="H185" s="22"/>
      <c r="I185" s="48"/>
      <c r="J185" s="48"/>
    </row>
    <row r="186">
      <c r="A186" s="3"/>
      <c r="B186" s="11" t="s">
        <v>860</v>
      </c>
      <c r="C186" s="46">
        <v>4.12</v>
      </c>
      <c r="D186" s="31">
        <v>111380</v>
      </c>
      <c r="E186" s="73">
        <v>0.901</v>
      </c>
      <c r="F186" s="1"/>
      <c r="G186" s="1"/>
      <c r="H186" s="1"/>
      <c r="I186" s="2"/>
      <c r="J186" s="2"/>
    </row>
    <row r="187">
      <c r="A187" s="3"/>
      <c r="B187" s="11" t="s">
        <v>861</v>
      </c>
      <c r="C187" s="46">
        <v>4.12</v>
      </c>
      <c r="D187" s="1"/>
      <c r="E187" s="73">
        <v>0.899</v>
      </c>
      <c r="F187" s="1"/>
      <c r="G187" s="1"/>
      <c r="H187" s="1"/>
      <c r="I187" s="2"/>
      <c r="J187" s="2"/>
    </row>
    <row r="188">
      <c r="A188" s="3"/>
      <c r="B188" s="11" t="s">
        <v>862</v>
      </c>
      <c r="C188" s="46">
        <v>4.19</v>
      </c>
      <c r="D188" s="31">
        <v>112520</v>
      </c>
      <c r="E188" s="15"/>
      <c r="F188" s="1"/>
      <c r="G188" s="1"/>
      <c r="H188" s="1"/>
      <c r="I188" s="2"/>
      <c r="J188" s="2"/>
    </row>
    <row r="189">
      <c r="A189" s="3"/>
      <c r="B189" s="11" t="s">
        <v>863</v>
      </c>
      <c r="C189" s="46">
        <v>4.19</v>
      </c>
      <c r="D189" s="1"/>
      <c r="E189" s="15"/>
      <c r="F189" s="1"/>
      <c r="G189" s="1"/>
      <c r="H189" s="1"/>
      <c r="I189" s="2"/>
      <c r="J189" s="2"/>
    </row>
    <row r="190">
      <c r="A190" s="3"/>
      <c r="B190" s="11" t="s">
        <v>864</v>
      </c>
      <c r="C190" s="46">
        <v>4.6</v>
      </c>
      <c r="D190" s="1"/>
      <c r="E190" s="15"/>
      <c r="F190" s="1"/>
      <c r="G190" s="1"/>
      <c r="H190" s="1"/>
      <c r="I190" s="2"/>
      <c r="J190" s="2"/>
    </row>
    <row r="191">
      <c r="A191" s="3"/>
      <c r="B191" s="3"/>
      <c r="C191" s="3"/>
      <c r="D191" s="3"/>
      <c r="E191" s="3"/>
      <c r="F191" s="3"/>
      <c r="G191" s="3"/>
      <c r="H191" s="3"/>
      <c r="I191" s="2"/>
      <c r="J191" s="2"/>
    </row>
    <row r="192">
      <c r="A192" s="3"/>
      <c r="B192" s="3"/>
      <c r="C192" s="3"/>
      <c r="D192" s="3"/>
      <c r="E192" s="3"/>
      <c r="F192" s="3"/>
      <c r="G192" s="3"/>
      <c r="H192" s="3"/>
      <c r="I192" s="2"/>
      <c r="J192" s="2"/>
    </row>
  </sheetData>
</worksheet>
</file>