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WCCIB" sheetId="3" r:id="rId4"/>
    <sheet name="Segment - Consumer &amp; Business" sheetId="4" r:id="rId5"/>
    <sheet name="Segment - Payment Services" sheetId="5" r:id="rId6"/>
    <sheet name="Segment - Treasury &amp; Corp" sheetId="6" r:id="rId7"/>
    <sheet name="Income Statement" sheetId="7" r:id="rId8"/>
    <sheet name="Balance Sheet" sheetId="8" r:id="rId9"/>
    <sheet name="Cash Flow Statement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B80" authorId="0">
      <text>
        <t>1Q26EarningsSupplement.pdf | Consolidated quarterly average balance sheet | 379,028</t>
      </text>
    </comment>
    <comment ref="C80" authorId="0">
      <text>
        <t>2Q26EarningsSupplement.pdf | Consolidated quarterly average balance sheet | 378,529</t>
      </text>
    </comment>
    <comment ref="D80" authorId="0">
      <text>
        <t>2Q26EarningsSupplement.pdf | Consolidated quarterly average balance sheet | 379,152</t>
      </text>
    </comment>
    <comment ref="E80" authorId="0">
      <text>
        <t>2Q26EarningsSupplement.pdf | Consolidated quarterly average balance sheet | 384,285</t>
      </text>
    </comment>
    <comment ref="G80" authorId="0">
      <text>
        <t>2Q26EarningsSupplement.pdf | Consolidated quarterly average balance sheet | 393,560</t>
      </text>
    </comment>
    <comment ref="H80" authorId="0">
      <text>
        <t>2Q26EarningsSupplement.pdf | Consolidated quarterly average balance sheet | 405,481</t>
      </text>
    </comment>
    <comment ref="B85" authorId="0">
      <text>
        <t>1Q26EarningsSupplement.pdf | Consolidated quarterly average balance sheet | 610,230</t>
      </text>
    </comment>
    <comment ref="C85" authorId="0">
      <text>
        <t>2Q26EarningsSupplement.pdf | Consolidated quarterly average balance sheet | 613,342</t>
      </text>
    </comment>
    <comment ref="D85" authorId="0">
      <text>
        <t>2Q26EarningsSupplement.pdf | Consolidated quarterly average balance sheet | 617,517</t>
      </text>
    </comment>
    <comment ref="E85" authorId="0">
      <text>
        <t>2Q26EarningsSupplement.pdf | Consolidated quarterly average balance sheet | 620,217</t>
      </text>
    </comment>
    <comment ref="G85" authorId="0">
      <text>
        <t>2Q26EarningsSupplement.pdf | Consolidated quarterly average balance sheet | 624,162</t>
      </text>
    </comment>
    <comment ref="H85" authorId="0">
      <text>
        <t>2Q26EarningsSupplement.pdf | Consolidated quarterly average balance sheet | 629,001</t>
      </text>
    </comment>
    <comment ref="B90" authorId="0">
      <text>
        <t>1Q26EarningsSupplement.pdf | Consolidated quarterly average balance sheet | 426,838</t>
      </text>
    </comment>
    <comment ref="C90" authorId="0">
      <text>
        <t>2Q26EarningsSupplement.pdf | Consolidated quarterly average balance sheet | 423,773</t>
      </text>
    </comment>
    <comment ref="D90" authorId="0">
      <text>
        <t>2Q26EarningsSupplement.pdf | Consolidated quarterly average balance sheet | 431,892</t>
      </text>
    </comment>
    <comment ref="E90" authorId="0">
      <text>
        <t>2Q26EarningsSupplement.pdf | Consolidated quarterly average balance sheet | 431,847</t>
      </text>
    </comment>
    <comment ref="G90" authorId="0">
      <text>
        <t>2Q26EarningsSupplement.pdf | Consolidated quarterly average balance sheet | 434,491</t>
      </text>
    </comment>
    <comment ref="H90" authorId="0">
      <text>
        <t>2Q26EarningsSupplement.pdf | Consolidated quarterly average balance sheet | 434,469</t>
      </text>
    </comment>
    <comment ref="B95" authorId="0">
      <text>
        <t>1Q26EarningsSupplement.pdf | Consolidated quarterly average balance sheet | 506,534</t>
      </text>
    </comment>
    <comment ref="C95" authorId="0">
      <text>
        <t>2Q26EarningsSupplement.pdf | Consolidated quarterly average balance sheet | 502,890</t>
      </text>
    </comment>
    <comment ref="D95" authorId="0">
      <text>
        <t>2Q26EarningsSupplement.pdf | Consolidated quarterly average balance sheet | 511,782</t>
      </text>
    </comment>
    <comment ref="E95" authorId="0">
      <text>
        <t>2Q26EarningsSupplement.pdf | Consolidated quarterly average balance sheet | 515,142</t>
      </text>
    </comment>
    <comment ref="G95" authorId="0">
      <text>
        <t>2Q26EarningsSupplement.pdf | Consolidated quarterly average balance sheet | 515,119</t>
      </text>
    </comment>
    <comment ref="H95" authorId="0">
      <text>
        <t>2Q26EarningsSupplement.pdf | Consolidated quarterly average balance sheet | 515,080</t>
      </text>
    </comment>
    <comment ref="B97" authorId="0">
      <text>
        <t>1Q26EarningsSupplement.pdf | Consolidated quarterly average balance sheet | 171,178</t>
      </text>
    </comment>
    <comment ref="C97" authorId="0">
      <text>
        <t>2Q26EarningsSupplement.pdf | Consolidated quarterly average balance sheet | 172,841</t>
      </text>
    </comment>
    <comment ref="D97" authorId="0">
      <text>
        <t>2Q26EarningsSupplement.pdf | Consolidated quarterly average balance sheet | 173,423</t>
      </text>
    </comment>
    <comment ref="E97" authorId="0">
      <text>
        <t>2Q26EarningsSupplement.pdf | Consolidated quarterly average balance sheet | 172,039</t>
      </text>
    </comment>
    <comment ref="G97" authorId="0">
      <text>
        <t>2Q26EarningsSupplement.pdf | Consolidated quarterly average balance sheet | 171,471</t>
      </text>
    </comment>
    <comment ref="H97" authorId="0">
      <text>
        <t>2Q26EarningsSupplement.pdf | Consolidated quarterly average balance sheet | 170,528</t>
      </text>
    </comment>
    <comment ref="B101" authorId="0">
      <text>
        <t>1Q26EarningsSupplement.pdf | Consolidated quarterly average balance sheet | 1,823</t>
      </text>
    </comment>
    <comment ref="C101" authorId="0">
      <text>
        <t>2Q26EarningsSupplement.pdf | Consolidated quarterly average balance sheet | 4,843</t>
      </text>
    </comment>
    <comment ref="D101" authorId="0">
      <text>
        <t>2Q26EarningsSupplement.pdf | Consolidated quarterly average balance sheet | 2,253</t>
      </text>
    </comment>
    <comment ref="E101" authorId="0">
      <text>
        <t>2Q26EarningsSupplement.pdf | Consolidated quarterly average balance sheet | 2,775</t>
      </text>
    </comment>
    <comment ref="G101" authorId="0">
      <text>
        <t>2Q26EarningsSupplement.pdf | Consolidated quarterly average balance sheet | 2,326</t>
      </text>
    </comment>
    <comment ref="H101" authorId="0">
      <text>
        <t>2Q26EarningsSupplement.pdf | Consolidated quarterly average balance sheet | 2,783</t>
      </text>
    </comment>
    <comment ref="B105" authorId="0">
      <text>
        <t>1Q26EarningsSupplement.pdf | Consolidated quarterly average balance sheet | 18,841</t>
      </text>
    </comment>
    <comment ref="C105" authorId="0">
      <text>
        <t>2Q26EarningsSupplement.pdf | Consolidated quarterly average balance sheet | 22,791</t>
      </text>
    </comment>
    <comment ref="D105" authorId="0">
      <text>
        <t>2Q26EarningsSupplement.pdf | Consolidated quarterly average balance sheet | 15,698</t>
      </text>
    </comment>
    <comment ref="E105" authorId="0">
      <text>
        <t>2Q26EarningsSupplement.pdf | Consolidated quarterly average balance sheet | 16,107</t>
      </text>
    </comment>
    <comment ref="G105" authorId="0">
      <text>
        <t>2Q26EarningsSupplement.pdf | Consolidated quarterly average balance sheet | 19,580</t>
      </text>
    </comment>
    <comment ref="H105" authorId="0">
      <text>
        <t>2Q26EarningsSupplement.pdf | Consolidated quarterly average balance sheet | 23,852</t>
      </text>
    </comment>
    <comment ref="B109" authorId="0">
      <text>
        <t>1Q26EarningsSupplement.pdf | Consolidated quarterly average balance sheet | 58,344</t>
      </text>
    </comment>
    <comment ref="C109" authorId="0">
      <text>
        <t>2Q26EarningsSupplement.pdf | Consolidated quarterly average balance sheet | 62,354</t>
      </text>
    </comment>
    <comment ref="D109" authorId="0">
      <text>
        <t>2Q26EarningsSupplement.pdf | Consolidated quarterly average balance sheet | 63,329</t>
      </text>
    </comment>
    <comment ref="E109" authorId="0">
      <text>
        <t>2Q26EarningsSupplement.pdf | Consolidated quarterly average balance sheet | 61,424</t>
      </text>
    </comment>
    <comment ref="G109" authorId="0">
      <text>
        <t>2Q26EarningsSupplement.pdf | Consolidated quarterly average balance sheet | 61,507</t>
      </text>
    </comment>
    <comment ref="H109" authorId="0">
      <text>
        <t>2Q26EarningsSupplement.pdf | Consolidated quarterly average balance sheet | 61,589</t>
      </text>
    </comment>
    <comment ref="B116" authorId="0">
      <text>
        <t>1Q26EarningsSupplement.pdf | Quarterly consolidated statement of income | 2.72</t>
      </text>
    </comment>
    <comment ref="C116" authorId="0">
      <text>
        <t>2Q26EarningsSupplement.pdf | Quarterly consolidated statement of income | 2.66</t>
      </text>
    </comment>
    <comment ref="D116" authorId="0">
      <text>
        <t>2Q26EarningsSupplement.pdf | Quarterly consolidated statement of income | 2.75</t>
      </text>
    </comment>
    <comment ref="E116" authorId="0">
      <text>
        <t>2Q26EarningsSupplement.pdf | Quarterly consolidated statement of income | 2.77</t>
      </text>
    </comment>
    <comment ref="G116" authorId="0">
      <text>
        <t>2Q26EarningsSupplement.pdf | Quarterly consolidated statement of income | 2.77</t>
      </text>
    </comment>
    <comment ref="H116" authorId="0">
      <text>
        <t>2Q26EarningsSupplement.pdf | Quarterly consolidated statement of income | 2.79</t>
      </text>
    </comment>
    <comment ref="F116" authorId="0">
      <text>
        <t>a4q25earningsrelease.htm | Key financial data, Full Year 2025 | 2.72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B10" authorId="0">
      <text>
        <t>1Q26EarningsSupplement.pdf | Segment schedules - Average balance sheet (1Q25 column, pre-2Q26 segment basis) | 122,692</t>
      </text>
    </comment>
    <comment ref="C10" authorId="0">
      <text>
        <t>2Q26EarningsSupplement.pdf | Segment schedules - Average balance sheet | 125,530</t>
      </text>
    </comment>
    <comment ref="D10" authorId="0">
      <text>
        <t>2Q26EarningsSupplement.pdf | Segment schedules - Average balance sheet | 127,545</t>
      </text>
    </comment>
    <comment ref="E10" authorId="0">
      <text>
        <t>2Q26EarningsSupplement.pdf | Segment schedules - Average balance sheet | 130,482</t>
      </text>
    </comment>
    <comment ref="G10" authorId="0">
      <text>
        <t>2Q26EarningsSupplement.pdf | Segment schedules - Average balance sheet | 137,479</t>
      </text>
    </comment>
    <comment ref="H10" authorId="0">
      <text>
        <t>2Q26EarningsSupplement.pdf | Segment schedules - Average balance sheet | 143,675</t>
      </text>
    </comment>
    <comment ref="B14" authorId="0">
      <text>
        <t>1Q26EarningsSupplement.pdf | Segment schedules - Average balance sheet (1Q25 column, pre-2Q26 segment basis) | 37,284</t>
      </text>
    </comment>
    <comment ref="C14" authorId="0">
      <text>
        <t>2Q26EarningsSupplement.pdf | Segment schedules - Average balance sheet | 36,673</t>
      </text>
    </comment>
    <comment ref="D14" authorId="0">
      <text>
        <t>2Q26EarningsSupplement.pdf | Segment schedules - Average balance sheet | 36,376</t>
      </text>
    </comment>
    <comment ref="E14" authorId="0">
      <text>
        <t>2Q26EarningsSupplement.pdf | Segment schedules - Average balance sheet | 36,593</t>
      </text>
    </comment>
    <comment ref="G14" authorId="0">
      <text>
        <t>2Q26EarningsSupplement.pdf | Segment schedules - Average balance sheet | 37,529</t>
      </text>
    </comment>
    <comment ref="H14" authorId="0">
      <text>
        <t>2Q26EarningsSupplement.pdf | Segment schedules - Average balance sheet | 39,396</t>
      </text>
    </comment>
    <comment ref="B18" authorId="0">
      <text>
        <t>1Q26EarningsSupplement.pdf | Segment schedules - Average balance sheet (1Q25 column, pre-2Q26 segment basis) | 16,594</t>
      </text>
    </comment>
    <comment ref="C18" authorId="0">
      <text>
        <t>2Q26EarningsSupplement.pdf | Segment schedules - Average balance sheet | 17,558</t>
      </text>
    </comment>
    <comment ref="D18" authorId="0">
      <text>
        <t>2Q26EarningsSupplement.pdf | Segment schedules - Average balance sheet | 19,072</t>
      </text>
    </comment>
    <comment ref="E18" authorId="0">
      <text>
        <t>2Q26EarningsSupplement.pdf | Segment schedules - Average balance sheet | 20,689</t>
      </text>
    </comment>
    <comment ref="G18" authorId="0">
      <text>
        <t>2Q26EarningsSupplement.pdf | Segment schedules - Average balance sheet | 22,359</t>
      </text>
    </comment>
    <comment ref="H18" authorId="0">
      <text>
        <t>2Q26EarningsSupplement.pdf | Segment schedules - Average balance sheet | 23,748</t>
      </text>
    </comment>
    <comment ref="B23" authorId="0">
      <text>
        <t>1Q26EarningsSupplement.pdf | Segment schedules - Average balance sheet (1Q25 column, pre-2Q26 segment basis) | 5,621</t>
      </text>
    </comment>
    <comment ref="C23" authorId="0">
      <text>
        <t>2Q26EarningsSupplement.pdf | Segment schedules - Average balance sheet | 5,784</t>
      </text>
    </comment>
    <comment ref="D23" authorId="0">
      <text>
        <t>2Q26EarningsSupplement.pdf | Segment schedules - Average balance sheet | 5,964</t>
      </text>
    </comment>
    <comment ref="E23" authorId="0">
      <text>
        <t>2Q26EarningsSupplement.pdf | Segment schedules - Average balance sheet | 6,311</t>
      </text>
    </comment>
    <comment ref="G23" authorId="0">
      <text>
        <t>2Q26EarningsSupplement.pdf | Segment schedules - Average balance sheet | 6,581</t>
      </text>
    </comment>
    <comment ref="H23" authorId="0">
      <text>
        <t>2Q26EarningsSupplement.pdf | Segment schedules - Average balance sheet | 7,138</t>
      </text>
    </comment>
    <comment ref="B30" authorId="0">
      <text>
        <t>1Q26EarningsSupplement.pdf | Segment schedules - Average balance sheet (1Q25 column, pre-2Q26 segment basis) | 13,142</t>
      </text>
    </comment>
    <comment ref="C30" authorId="0">
      <text>
        <t>2Q26EarningsSupplement.pdf | Segment schedules - Average balance sheet | 13,930</t>
      </text>
    </comment>
    <comment ref="D30" authorId="0">
      <text>
        <t>2Q26EarningsSupplement.pdf | Segment schedules - Average balance sheet | 11,908</t>
      </text>
    </comment>
    <comment ref="E30" authorId="0">
      <text>
        <t>2Q26EarningsSupplement.pdf | Segment schedules - Average balance sheet | 13,378</t>
      </text>
    </comment>
    <comment ref="G30" authorId="0">
      <text>
        <t>2Q26EarningsSupplement.pdf | Segment schedules - Average balance sheet | 15,378</t>
      </text>
    </comment>
    <comment ref="H30" authorId="0">
      <text>
        <t>2Q26EarningsSupplement.pdf | Segment schedules - Average balance sheet | 16,112</t>
      </text>
    </comment>
    <comment ref="B37" authorId="0">
      <text>
        <t>1Q26EarningsSupplement.pdf | Segment schedules - Average balance sheet (1Q25 column, pre-2Q26 segment basis) | 56,001</t>
      </text>
    </comment>
    <comment ref="C37" authorId="0">
      <text>
        <t>2Q26EarningsSupplement.pdf | Segment schedules - Average balance sheet | 55,230</t>
      </text>
    </comment>
    <comment ref="D37" authorId="0">
      <text>
        <t>2Q26EarningsSupplement.pdf | Segment schedules - Average balance sheet | 56,112</t>
      </text>
    </comment>
    <comment ref="E37" authorId="0">
      <text>
        <t>2Q26EarningsSupplement.pdf | Segment schedules - Average balance sheet | 59,481</t>
      </text>
    </comment>
    <comment ref="G37" authorId="0">
      <text>
        <t>2Q26EarningsSupplement.pdf | Segment schedules - Average balance sheet | 57,796</t>
      </text>
    </comment>
    <comment ref="H37" authorId="0">
      <text>
        <t>2Q26EarningsSupplement.pdf | Segment schedules - Average balance sheet | 57,877</t>
      </text>
    </comment>
    <comment ref="B41" authorId="0">
      <text>
        <t>1Q26EarningsSupplement.pdf | Segment schedules - Average balance sheet (1Q25 column, pre-2Q26 segment basis) | 54,844</t>
      </text>
    </comment>
    <comment ref="C41" authorId="0">
      <text>
        <t>2Q26EarningsSupplement.pdf | Segment schedules - Average balance sheet | 60,791</t>
      </text>
    </comment>
    <comment ref="D41" authorId="0">
      <text>
        <t>2Q26EarningsSupplement.pdf | Segment schedules - Average balance sheet | 60,923</t>
      </text>
    </comment>
    <comment ref="E41" authorId="0">
      <text>
        <t>2Q26EarningsSupplement.pdf | Segment schedules - Average balance sheet | 60,080</t>
      </text>
    </comment>
    <comment ref="G41" authorId="0">
      <text>
        <t>2Q26EarningsSupplement.pdf | Segment schedules - Average balance sheet | 58,599</t>
      </text>
    </comment>
    <comment ref="H41" authorId="0">
      <text>
        <t>2Q26EarningsSupplement.pdf | Segment schedules - Average balance sheet | 59,500</t>
      </text>
    </comment>
    <comment ref="B45" authorId="0">
      <text>
        <t>1Q26EarningsSupplement.pdf | Segment schedules - Average balance sheet (1Q25 column, pre-2Q26 segment basis) | 153,462</t>
      </text>
    </comment>
    <comment ref="C45" authorId="0">
      <text>
        <t>2Q26EarningsSupplement.pdf | Segment schedules - Average balance sheet | 142,873</t>
      </text>
    </comment>
    <comment ref="D45" authorId="0">
      <text>
        <t>2Q26EarningsSupplement.pdf | Segment schedules - Average balance sheet | 150,745</t>
      </text>
    </comment>
    <comment ref="E45" authorId="0">
      <text>
        <t>2Q26EarningsSupplement.pdf | Segment schedules - Average balance sheet | 157,623</t>
      </text>
    </comment>
    <comment ref="G45" authorId="0">
      <text>
        <t>2Q26EarningsSupplement.pdf | Segment schedules - Average balance sheet | 163,215</t>
      </text>
    </comment>
    <comment ref="H45" authorId="0">
      <text>
        <t>2Q26EarningsSupplement.pdf | Segment schedules - Average balance sheet | 159,588</t>
      </text>
    </comment>
    <comment ref="B49" authorId="0">
      <text>
        <t>1Q26EarningsSupplement.pdf | Segment schedules - Average balance sheet (1Q25 column, pre-2Q26 segment basis) | 10,851</t>
      </text>
    </comment>
    <comment ref="C49" authorId="0">
      <text>
        <t>2Q26EarningsSupplement.pdf | Segment schedules - Average balance sheet | 9,957</t>
      </text>
    </comment>
    <comment ref="D49" authorId="0">
      <text>
        <t>2Q26EarningsSupplement.pdf | Segment schedules - Average balance sheet | 9,339</t>
      </text>
    </comment>
    <comment ref="E49" authorId="0">
      <text>
        <t>2Q26EarningsSupplement.pdf | Segment schedules - Average balance sheet | 8,915</t>
      </text>
    </comment>
    <comment ref="G49" authorId="0">
      <text>
        <t>2Q26EarningsSupplement.pdf | Segment schedules - Average balance sheet | 8,361</t>
      </text>
    </comment>
    <comment ref="H49" authorId="0">
      <text>
        <t>2Q26EarningsSupplement.pdf | Segment schedules - Average balance sheet | 8,600</t>
      </text>
    </comment>
    <comment ref="B82" authorId="0">
      <text>
        <t>1Q26EarningsSupplement.pdf | Segment schedules - Income statement | 3.55</t>
      </text>
    </comment>
    <comment ref="C82" authorId="0">
      <text>
        <t>2Q26EarningsSupplement.pdf | Segment schedules - Income statement | 3.47</t>
      </text>
    </comment>
    <comment ref="D82" authorId="0">
      <text>
        <t>2Q26EarningsSupplement.pdf | Segment schedules - Income statement | 3.49</t>
      </text>
    </comment>
    <comment ref="E82" authorId="0">
      <text>
        <t>2Q26EarningsSupplement.pdf | Segment schedules - Income statement | 3.44</t>
      </text>
    </comment>
    <comment ref="G82" authorId="0">
      <text>
        <t>2Q26EarningsSupplement.pdf | Segment schedules - Income statement | 3.47</t>
      </text>
    </comment>
    <comment ref="H82" authorId="0">
      <text>
        <t>2Q26EarningsSupplement.pdf | Segment schedules - Income statement | 3.38</t>
      </text>
    </comment>
    <comment ref="B85" authorId="0">
      <text>
        <t>1Q26EarningsSupplement.pdf | Segment schedules - Income statement (1Q25 column, pre-2Q26 segment basis) | 1,709</t>
      </text>
    </comment>
    <comment ref="C85" authorId="0">
      <text>
        <t>2Q26EarningsSupplement.pdf | Segment schedules - Income statement | 1,724</t>
      </text>
    </comment>
    <comment ref="D85" authorId="0">
      <text>
        <t>2Q26EarningsSupplement.pdf | Segment schedules - Income statement | 1,769</t>
      </text>
    </comment>
    <comment ref="E85" authorId="0">
      <text>
        <t>2Q26EarningsSupplement.pdf | Segment schedules - Income statement | 1,797</t>
      </text>
    </comment>
    <comment ref="G85" authorId="0">
      <text>
        <t>2Q26EarningsSupplement.pdf | Segment schedules - Income statement | 1,874</t>
      </text>
    </comment>
    <comment ref="H85" authorId="0">
      <text>
        <t>2Q26EarningsSupplement.pdf | Segment schedules - Income statement | 1,937</t>
      </text>
    </comment>
    <comment ref="B93" authorId="0">
      <text>
        <t>1Q26EarningsSupplement.pdf | Segment schedules - Income statement (1Q25 column, pre-2Q26 segment basis) | 152</t>
      </text>
    </comment>
    <comment ref="C93" authorId="0">
      <text>
        <t>2Q26EarningsSupplement.pdf | Segment schedules - Income statement | 163</t>
      </text>
    </comment>
    <comment ref="D93" authorId="0">
      <text>
        <t>2Q26EarningsSupplement.pdf | Segment schedules - Income statement | 152</t>
      </text>
    </comment>
    <comment ref="E93" authorId="0">
      <text>
        <t>2Q26EarningsSupplement.pdf | Segment schedules - Income statement | 144</t>
      </text>
    </comment>
    <comment ref="G93" authorId="0">
      <text>
        <t>2Q26EarningsSupplement.pdf | Segment schedules - Income statement | 156</t>
      </text>
    </comment>
    <comment ref="H93" authorId="0">
      <text>
        <t>2Q26EarningsSupplement.pdf | Segment schedules - Income statement | 156</t>
      </text>
    </comment>
    <comment ref="B101" authorId="0">
      <text>
        <t>1Q26EarningsSupplement.pdf | Segment schedules - Other information (1Q25 column, pre-2Q26 segment basis) | 167</t>
      </text>
    </comment>
    <comment ref="C101" authorId="0">
      <text>
        <t>2Q26EarningsSupplement.pdf | Segment schedules - Other information | 172</t>
      </text>
    </comment>
    <comment ref="D101" authorId="0">
      <text>
        <t>2Q26EarningsSupplement.pdf | Segment schedules - Other information | 175</t>
      </text>
    </comment>
    <comment ref="E101" authorId="0">
      <text>
        <t>2Q26EarningsSupplement.pdf | Segment schedules - Other information | 181</t>
      </text>
    </comment>
    <comment ref="G101" authorId="0">
      <text>
        <t>2Q26EarningsSupplement.pdf | Segment schedules - Other information | 178</t>
      </text>
    </comment>
    <comment ref="H101" authorId="0">
      <text>
        <t>2Q26EarningsSupplement.pdf | Segment schedules - Other information | 191</t>
      </text>
    </comment>
    <comment ref="B108" authorId="0">
      <text>
        <t>1Q26EarningsSupplement.pdf | Segment schedules - Other information (1Q25 column, pre-2Q26 segment basis) | 64</t>
      </text>
    </comment>
    <comment ref="C108" authorId="0">
      <text>
        <t>2Q26EarningsSupplement.pdf | Segment schedules - Other information | 62</t>
      </text>
    </comment>
    <comment ref="D108" authorId="0">
      <text>
        <t>2Q26EarningsSupplement.pdf | Segment schedules - Other information | 65</t>
      </text>
    </comment>
    <comment ref="E108" authorId="0">
      <text>
        <t>2Q26EarningsSupplement.pdf | Segment schedules - Other information | 65</t>
      </text>
    </comment>
    <comment ref="G108" authorId="0">
      <text>
        <t>2Q26EarningsSupplement.pdf | Segment schedules - Other information | 65</t>
      </text>
    </comment>
    <comment ref="H108" authorId="0">
      <text>
        <t>2Q26EarningsSupplement.pdf | Segment schedules - Other information | 69</t>
      </text>
    </comment>
    <comment ref="B115" authorId="0">
      <text>
        <t>1Q26EarningsSupplement.pdf | Segment schedules - Other information (1Q25 column, pre-2Q26 segment basis) | 219</t>
      </text>
    </comment>
    <comment ref="C115" authorId="0">
      <text>
        <t>2Q26EarningsSupplement.pdf | Segment schedules - Other information | 231</t>
      </text>
    </comment>
    <comment ref="D115" authorId="0">
      <text>
        <t>2Q26EarningsSupplement.pdf | Segment schedules - Other information | 242</t>
      </text>
    </comment>
    <comment ref="E115" authorId="0">
      <text>
        <t>2Q26EarningsSupplement.pdf | Segment schedules - Other information | 253</t>
      </text>
    </comment>
    <comment ref="G115" authorId="0">
      <text>
        <t>2Q26EarningsSupplement.pdf | Segment schedules - Other information | 243</t>
      </text>
    </comment>
    <comment ref="H115" authorId="0">
      <text>
        <t>2Q26EarningsSupplement.pdf | Segment schedules - Other information | 262</t>
      </text>
    </comment>
    <comment ref="B122" authorId="0">
      <text>
        <t>1Q26EarningsSupplement.pdf | Segment schedules - Other information (1Q25 column, pre-2Q26 segment basis) | 140</t>
      </text>
    </comment>
    <comment ref="C122" authorId="0">
      <text>
        <t>2Q26EarningsSupplement.pdf | Segment schedules - Other information | 144</t>
      </text>
    </comment>
    <comment ref="D122" authorId="0">
      <text>
        <t>2Q26EarningsSupplement.pdf | Segment schedules - Other information | 154</t>
      </text>
    </comment>
    <comment ref="E122" authorId="0">
      <text>
        <t>2Q26EarningsSupplement.pdf | Segment schedules - Other information | 160</t>
      </text>
    </comment>
    <comment ref="G122" authorId="0">
      <text>
        <t>2Q26EarningsSupplement.pdf | Segment schedules - Other information | 162</t>
      </text>
    </comment>
    <comment ref="H122" authorId="0">
      <text>
        <t>2Q26EarningsSupplement.pdf | Segment schedules - Other information | 165</t>
      </text>
    </comment>
    <comment ref="B129" authorId="0">
      <text>
        <t>1Q26EarningsSupplement.pdf | Segment schedules - Other information (1Q25 column, pre-2Q26 segment basis) | 63</t>
      </text>
    </comment>
    <comment ref="C129" authorId="0">
      <text>
        <t>2Q26EarningsSupplement.pdf | Segment schedules - Other information | 67</t>
      </text>
    </comment>
    <comment ref="D129" authorId="0">
      <text>
        <t>2Q26EarningsSupplement.pdf | Segment schedules - Other information | 69</t>
      </text>
    </comment>
    <comment ref="E129" authorId="0">
      <text>
        <t>2Q26EarningsSupplement.pdf | Segment schedules - Other information | 70</t>
      </text>
    </comment>
    <comment ref="G129" authorId="0">
      <text>
        <t>2Q26EarningsSupplement.pdf | Segment schedules - Other information | 71</t>
      </text>
    </comment>
    <comment ref="H129" authorId="0">
      <text>
        <t>2Q26EarningsSupplement.pdf | Segment schedules - Other information | 72</t>
      </text>
    </comment>
    <comment ref="B136" authorId="0">
      <text>
        <t>1Q26EarningsSupplement.pdf | Segment schedules - Other information (1Q25 column, pre-2Q26 segment basis) | 26</t>
      </text>
    </comment>
    <comment ref="C136" authorId="0">
      <text>
        <t>2Q26EarningsSupplement.pdf | Segment schedules - Other information | 26</t>
      </text>
    </comment>
    <comment ref="D136" authorId="0">
      <text>
        <t>2Q26EarningsSupplement.pdf | Segment schedules - Other information | 24</t>
      </text>
    </comment>
    <comment ref="E136" authorId="0">
      <text>
        <t>2Q26EarningsSupplement.pdf | Segment schedules - Other information | 26</t>
      </text>
    </comment>
    <comment ref="G136" authorId="0">
      <text>
        <t>2Q26EarningsSupplement.pdf | Segment schedules - Other information | 25</t>
      </text>
    </comment>
    <comment ref="H136" authorId="0">
      <text>
        <t>2Q26EarningsSupplement.pdf | Segment schedules - Other information | 25</t>
      </text>
    </comment>
    <comment ref="H157" authorId="0">
      <text>
        <t>a2q26earningsrelease.htm | 2Q26 Financial Highlights | approximately $98 million in fee revenue</t>
      </text>
    </comment>
    <comment ref="B161" authorId="0">
      <text>
        <t>1Q26EarningsSupplement.pdf | Segment schedules - Income statement (1Q25 column, pre-2Q26 segment basis) | 294</t>
      </text>
    </comment>
    <comment ref="C161" authorId="0">
      <text>
        <t>2Q26EarningsSupplement.pdf | Segment schedules - Income statement | 315</t>
      </text>
    </comment>
    <comment ref="D161" authorId="0">
      <text>
        <t>2Q26EarningsSupplement.pdf | Segment schedules - Income statement | 374</t>
      </text>
    </comment>
    <comment ref="E161" authorId="0">
      <text>
        <t>2Q26EarningsSupplement.pdf | Segment schedules - Income statement | 379</t>
      </text>
    </comment>
    <comment ref="G161" authorId="0">
      <text>
        <t>2Q26EarningsSupplement.pdf | Segment schedules - Income statement | 377</t>
      </text>
    </comment>
    <comment ref="H161" authorId="0">
      <text>
        <t>2Q26EarningsSupplement.pdf | Segment schedules - Income statement | 507</t>
      </text>
    </comment>
    <comment ref="B168" authorId="0">
      <text>
        <t>1Q26EarningsSupplement.pdf | Segment schedules - Income statement (1Q25 column, pre-2Q26 segment basis) | 137</t>
      </text>
    </comment>
    <comment ref="C168" authorId="0">
      <text>
        <t>2Q26EarningsSupplement.pdf | Segment schedules - Income statement | 139</t>
      </text>
    </comment>
    <comment ref="D168" authorId="0">
      <text>
        <t>2Q26EarningsSupplement.pdf | Segment schedules - Income statement | 144</t>
      </text>
    </comment>
    <comment ref="E168" authorId="0">
      <text>
        <t>2Q26EarningsSupplement.pdf | Segment schedules - Income statement | 161</t>
      </text>
    </comment>
    <comment ref="G168" authorId="0">
      <text>
        <t>2Q26EarningsSupplement.pdf | Segment schedules - Income statement | 155</t>
      </text>
    </comment>
    <comment ref="H168" authorId="0">
      <text>
        <t>2Q26EarningsSupplement.pdf | Segment schedules - Income statement | 171</t>
      </text>
    </comment>
    <comment ref="B175" authorId="0">
      <text>
        <t>1Q26EarningsSupplement.pdf | Segment schedules - Income statement (1Q25 column, pre-2Q26 segment basis) | 87</t>
      </text>
    </comment>
    <comment ref="C175" authorId="0">
      <text>
        <t>2Q26EarningsSupplement.pdf | Segment schedules - Income statement | 90</t>
      </text>
    </comment>
    <comment ref="D175" authorId="0">
      <text>
        <t>2Q26EarningsSupplement.pdf | Segment schedules - Income statement | 97</t>
      </text>
    </comment>
    <comment ref="E175" authorId="0">
      <text>
        <t>2Q26EarningsSupplement.pdf | Segment schedules - Income statement | 101</t>
      </text>
    </comment>
    <comment ref="G175" authorId="0">
      <text>
        <t>2Q26EarningsSupplement.pdf | Segment schedules - Income statement | 97</t>
      </text>
    </comment>
    <comment ref="H175" authorId="0">
      <text>
        <t>2Q26EarningsSupplement.pdf | Segment schedules - Income statement | 102</t>
      </text>
    </comment>
    <comment ref="B182" authorId="0">
      <text>
        <t>1Q26EarningsSupplement.pdf | Segment schedules - Income statement (1Q25 column, pre-2Q26 segment basis) | 73</t>
      </text>
    </comment>
    <comment ref="C182" authorId="0">
      <text>
        <t>2Q26EarningsSupplement.pdf | Segment schedules - Income statement | 87</t>
      </text>
    </comment>
    <comment ref="D182" authorId="0">
      <text>
        <t>2Q26EarningsSupplement.pdf | Segment schedules - Income statement | 77</t>
      </text>
    </comment>
    <comment ref="E182" authorId="0">
      <text>
        <t>2Q26EarningsSupplement.pdf | Segment schedules - Income statement | 74</t>
      </text>
    </comment>
    <comment ref="G182" authorId="0">
      <text>
        <t>2Q26EarningsSupplement.pdf | Segment schedules - Income statement | 79</t>
      </text>
    </comment>
    <comment ref="H182" authorId="0">
      <text>
        <t>2Q26EarningsSupplement.pdf | Segment schedules - Income statement | 114</t>
      </text>
    </comment>
    <comment ref="B195" authorId="0">
      <text>
        <t>1Q26EarningsSupplement.pdf | Segment schedules - Income statement (1Q25 column, pre-2Q26 segment basis) | 1,422</t>
      </text>
    </comment>
    <comment ref="C195" authorId="0">
      <text>
        <t>2Q26EarningsSupplement.pdf | Segment schedules - Income statement | 1,496</t>
      </text>
    </comment>
    <comment ref="D195" authorId="0">
      <text>
        <t>2Q26EarningsSupplement.pdf | Segment schedules - Income statement | 1,573</t>
      </text>
    </comment>
    <comment ref="E195" authorId="0">
      <text>
        <t>2Q26EarningsSupplement.pdf | Segment schedules - Income statement | 1,614</t>
      </text>
    </comment>
    <comment ref="G195" authorId="0">
      <text>
        <t>2Q26EarningsSupplement.pdf | Segment schedules - Income statement | 1,608</t>
      </text>
    </comment>
    <comment ref="H195" authorId="0">
      <text>
        <t>2Q26EarningsSupplement.pdf | Segment schedules - Income statement | 1,834</t>
      </text>
    </comment>
    <comment ref="B207" authorId="0">
      <text>
        <t>1Q26EarningsSupplement.pdf | Segment schedules - Income statement (1Q25 column, pre-2Q26 segment basis) | 553</t>
      </text>
    </comment>
    <comment ref="C207" authorId="0">
      <text>
        <t>2Q26EarningsSupplement.pdf | Segment schedules - Income statement | 570</t>
      </text>
    </comment>
    <comment ref="D207" authorId="0">
      <text>
        <t>2Q26EarningsSupplement.pdf | Segment schedules - Income statement | 565</t>
      </text>
    </comment>
    <comment ref="E207" authorId="0">
      <text>
        <t>2Q26EarningsSupplement.pdf | Segment schedules - Income statement | 571</t>
      </text>
    </comment>
    <comment ref="G207" authorId="0">
      <text>
        <t>2Q26EarningsSupplement.pdf | Segment schedules - Income statement | 587</t>
      </text>
    </comment>
    <comment ref="H207" authorId="0">
      <text>
        <t>2Q26EarningsSupplement.pdf | Segment schedules - Income statement | 666</t>
      </text>
    </comment>
    <comment ref="B211" authorId="0">
      <text>
        <t>1Q26EarningsSupplement.pdf | Segment schedules - Income statement (1Q25 column, pre-2Q26 segment basis) | 46</t>
      </text>
    </comment>
    <comment ref="C211" authorId="0">
      <text>
        <t>2Q26EarningsSupplement.pdf | Segment schedules - Income statement | 46</t>
      </text>
    </comment>
    <comment ref="D211" authorId="0">
      <text>
        <t>2Q26EarningsSupplement.pdf | Segment schedules - Income statement | 46</t>
      </text>
    </comment>
    <comment ref="E211" authorId="0">
      <text>
        <t>2Q26EarningsSupplement.pdf | Segment schedules - Income statement | 46</t>
      </text>
    </comment>
    <comment ref="G211" authorId="0">
      <text>
        <t>2Q26EarningsSupplement.pdf | Segment schedules - Income statement | 40</t>
      </text>
    </comment>
    <comment ref="H211" authorId="0">
      <text>
        <t>2Q26EarningsSupplement.pdf | Segment schedules - Income statement | 44</t>
      </text>
    </comment>
    <comment ref="B215" authorId="0">
      <text>
        <t>1Q26EarningsSupplement.pdf | Segment schedules - Income statement (1Q25 column, pre-2Q26 segment basis) | 632</t>
      </text>
    </comment>
    <comment ref="C215" authorId="0">
      <text>
        <t>2Q26EarningsSupplement.pdf | Segment schedules - Income statement | 615</t>
      </text>
    </comment>
    <comment ref="D215" authorId="0">
      <text>
        <t>2Q26EarningsSupplement.pdf | Segment schedules - Income statement | 617</t>
      </text>
    </comment>
    <comment ref="E215" authorId="0">
      <text>
        <t>2Q26EarningsSupplement.pdf | Segment schedules - Income statement | 620</t>
      </text>
    </comment>
    <comment ref="G215" authorId="0">
      <text>
        <t>2Q26EarningsSupplement.pdf | Segment schedules - Income statement | 605</t>
      </text>
    </comment>
    <comment ref="H215" authorId="0">
      <text>
        <t>2Q26EarningsSupplement.pdf | Segment schedules - Income statement | 611</t>
      </text>
    </comment>
    <comment ref="B219" authorId="0">
      <text>
        <t>1Q26EarningsSupplement.pdf | Segment schedules - Income statement (1Q25 column, pre-2Q26 segment basis) | 251</t>
      </text>
    </comment>
    <comment ref="C219" authorId="0">
      <text>
        <t>2Q26EarningsSupplement.pdf | Segment schedules - Income statement | 246</t>
      </text>
    </comment>
    <comment ref="D219" authorId="0">
      <text>
        <t>2Q26EarningsSupplement.pdf | Segment schedules - Income statement | 254</t>
      </text>
    </comment>
    <comment ref="E219" authorId="0">
      <text>
        <t>2Q26EarningsSupplement.pdf | Segment schedules - Income statement | 283</t>
      </text>
    </comment>
    <comment ref="G219" authorId="0">
      <text>
        <t>2Q26EarningsSupplement.pdf | Segment schedules - Income statement | 245</t>
      </text>
    </comment>
    <comment ref="H219" authorId="0">
      <text>
        <t>2Q26EarningsSupplement.pdf | Segment schedules - Income statement | 281</t>
      </text>
    </comment>
    <comment ref="B232" authorId="0">
      <text>
        <t>1Q26EarningsSupplement.pdf | Segment schedules - Credit quality (1Q25 column, pre-2Q26 segment basis) | 88</t>
      </text>
    </comment>
    <comment ref="C232" authorId="0">
      <text>
        <t>2Q26EarningsSupplement.pdf | Segment schedules - Credit quality | 49</t>
      </text>
    </comment>
    <comment ref="D232" authorId="0">
      <text>
        <t>2Q26EarningsSupplement.pdf | Segment schedules - Credit quality | 15</t>
      </text>
    </comment>
    <comment ref="E232" authorId="0">
      <text>
        <t>2Q26EarningsSupplement.pdf | Segment schedules - Credit quality | 92</t>
      </text>
    </comment>
    <comment ref="G232" authorId="0">
      <text>
        <t>2Q26EarningsSupplement.pdf | Segment schedules - Credit quality | 102</t>
      </text>
    </comment>
    <comment ref="H232" authorId="0">
      <text>
        <t>2Q26EarningsSupplement.pdf | Segment schedules - Credit quality | 82</t>
      </text>
    </comment>
    <comment ref="B236" authorId="0">
      <text>
        <t>1Q26EarningsSupplement.pdf | Segment schedules - Credit quality (1Q25 column, pre-2Q26 segment basis) | (5)</t>
      </text>
    </comment>
    <comment ref="C236" authorId="0">
      <text>
        <t>2Q26EarningsSupplement.pdf | Segment schedules - Credit quality | 58</t>
      </text>
    </comment>
    <comment ref="D236" authorId="0">
      <text>
        <t>2Q26EarningsSupplement.pdf | Segment schedules - Credit quality | 102</t>
      </text>
    </comment>
    <comment ref="E236" authorId="0">
      <text>
        <t>2Q26EarningsSupplement.pdf | Segment schedules - Credit quality | (4)</t>
      </text>
    </comment>
    <comment ref="G236" authorId="0">
      <text>
        <t>2Q26EarningsSupplement.pdf | Segment schedules - Credit quality | (11)</t>
      </text>
    </comment>
    <comment ref="H236" authorId="0">
      <text>
        <t>2Q26EarningsSupplement.pdf | Segment schedules - Credit quality | 11</t>
      </text>
    </comment>
    <comment ref="B240" authorId="0">
      <text>
        <t>1Q26EarningsSupplement.pdf | Segment schedules - Credit quality (1Q25 column, pre-2Q26 segment basis) | 0</t>
      </text>
    </comment>
    <comment ref="C240" authorId="0">
      <text>
        <t>2Q26EarningsSupplement.pdf | Segment schedules - Credit quality | 0</t>
      </text>
    </comment>
    <comment ref="D240" authorId="0">
      <text>
        <t>2Q26EarningsSupplement.pdf | Segment schedules - Credit quality | (1)</t>
      </text>
    </comment>
    <comment ref="E240" authorId="0">
      <text>
        <t>2Q26EarningsSupplement.pdf | Segment schedules - Credit quality | 0</t>
      </text>
    </comment>
    <comment ref="G240" authorId="0">
      <text>
        <t>2Q26EarningsSupplement.pdf | Segment schedules - Credit quality | 0</t>
      </text>
    </comment>
    <comment ref="H240" authorId="0">
      <text>
        <t>2Q26EarningsSupplement.pdf | Segment schedules - Credit quality | 0</t>
      </text>
    </comment>
    <comment ref="B251" authorId="0">
      <text>
        <t>1Q26EarningsSupplement.pdf | Segment schedules - Income statement (1Q25 column, pre-2Q26 segment basis) | 42</t>
      </text>
    </comment>
    <comment ref="C251" authorId="0">
      <text>
        <t>2Q26EarningsSupplement.pdf | Segment schedules - Income statement | 178</t>
      </text>
    </comment>
    <comment ref="D251" authorId="0">
      <text>
        <t>2Q26EarningsSupplement.pdf | Segment schedules - Income statement | 196</t>
      </text>
    </comment>
    <comment ref="E251" authorId="0">
      <text>
        <t>2Q26EarningsSupplement.pdf | Segment schedules - Income statement | 157</t>
      </text>
    </comment>
    <comment ref="G251" authorId="0">
      <text>
        <t>2Q26EarningsSupplement.pdf | Segment schedules - Income statement | 65</t>
      </text>
    </comment>
    <comment ref="H251" authorId="0">
      <text>
        <t>2Q26EarningsSupplement.pdf | Segment schedules - Income statement | 129</t>
      </text>
    </comment>
    <comment ref="B256" authorId="0">
      <text>
        <t>1Q26EarningsSupplement.pdf | Segment schedules - Income statement (1Q25 column, pre-2Q26 segment basis) | 402</t>
      </text>
    </comment>
    <comment ref="C256" authorId="0">
      <text>
        <t>2Q26EarningsSupplement.pdf | Segment schedules - Income statement | 391</t>
      </text>
    </comment>
    <comment ref="D256" authorId="0">
      <text>
        <t>2Q26EarningsSupplement.pdf | Segment schedules - Income statement | 416</t>
      </text>
    </comment>
    <comment ref="E256" authorId="0">
      <text>
        <t>2Q26EarningsSupplement.pdf | Segment schedules - Income statement | 434</t>
      </text>
    </comment>
    <comment ref="G256" authorId="0">
      <text>
        <t>2Q26EarningsSupplement.pdf | Segment schedules - Income statement | 485</t>
      </text>
    </comment>
    <comment ref="H256" authorId="0">
      <text>
        <t>2Q26EarningsSupplement.pdf | Segment schedules - Income statement | 510</t>
      </text>
    </comment>
    <comment ref="B263" authorId="0">
      <text>
        <t>1Q26EarningsSupplement.pdf | Segment schedules - Credit quality (1Q25 column, pre-2Q26 segment basis) | 1,301</t>
      </text>
    </comment>
    <comment ref="C263" authorId="0">
      <text>
        <t>2Q26EarningsSupplement.pdf | Segment schedules - Credit quality | 1,247</t>
      </text>
    </comment>
    <comment ref="D263" authorId="0">
      <text>
        <t>2Q26EarningsSupplement.pdf | Segment schedules - Credit quality | 1,217</t>
      </text>
    </comment>
    <comment ref="E263" authorId="0">
      <text>
        <t>2Q26EarningsSupplement.pdf | Segment schedules - Credit quality | 1,135</t>
      </text>
    </comment>
    <comment ref="G263" authorId="0">
      <text>
        <t>2Q26EarningsSupplement.pdf | Segment schedules - Credit quality | 1,069</t>
      </text>
    </comment>
    <comment ref="H263" authorId="0">
      <text>
        <t>2Q26EarningsSupplement.pdf | Segment schedules - Credit quality | 874</t>
      </text>
    </comment>
    <comment ref="B267" authorId="0">
      <text>
        <t>1Q26EarningsSupplement.pdf | Segment schedules - Other information (1Q25 column, pre-2Q26 segment basis) | 43,659</t>
      </text>
    </comment>
    <comment ref="C267" authorId="0">
      <text>
        <t>2Q26EarningsSupplement.pdf | Segment schedules - Other information | 43,962</t>
      </text>
    </comment>
    <comment ref="D267" authorId="0">
      <text>
        <t>2Q26EarningsSupplement.pdf | Segment schedules - Other information | 44,028</t>
      </text>
    </comment>
    <comment ref="E267" authorId="0">
      <text>
        <t>2Q26EarningsSupplement.pdf | Segment schedules - Other information | 44,829</t>
      </text>
    </comment>
    <comment ref="G267" authorId="0">
      <text>
        <t>2Q26EarningsSupplement.pdf | Segment schedules - Other information | 47,517</t>
      </text>
    </comment>
    <comment ref="H267" authorId="0">
      <text>
        <t>2Q26EarningsSupplement.pdf | Segment schedules - Other information | 50,243</t>
      </text>
    </comment>
    <comment ref="B270" authorId="0">
      <text>
        <t>1Q26EarningsSupplement.pdf | Segment schedules - Other information (1Q25 column, pre-2Q26 segment basis) | 29,186</t>
      </text>
    </comment>
    <comment ref="C270" authorId="0">
      <text>
        <t>2Q26EarningsSupplement.pdf | Segment schedules - Other information | 30,523</t>
      </text>
    </comment>
    <comment ref="D270" authorId="0">
      <text>
        <t>2Q26EarningsSupplement.pdf | Segment schedules - Other information | 32,276</t>
      </text>
    </comment>
    <comment ref="E270" authorId="0">
      <text>
        <t>2Q26EarningsSupplement.pdf | Segment schedules - Other information | 34,345</t>
      </text>
    </comment>
    <comment ref="G270" authorId="0">
      <text>
        <t>2Q26EarningsSupplement.pdf | Segment schedules - Other information | 36,640</t>
      </text>
    </comment>
    <comment ref="H270" authorId="0">
      <text>
        <t>2Q26EarningsSupplement.pdf | Segment schedules - Other information | 38,729</t>
      </text>
    </comment>
    <comment ref="B273" authorId="0">
      <text>
        <t>1Q26EarningsSupplement.pdf | Segment schedules - Other information (1Q25 column, pre-2Q26 segment basis) | 91,434</t>
      </text>
    </comment>
    <comment ref="C273" authorId="0">
      <text>
        <t>2Q26EarningsSupplement.pdf | Segment schedules - Other information | 92,481</t>
      </text>
    </comment>
    <comment ref="D273" authorId="0">
      <text>
        <t>2Q26EarningsSupplement.pdf | Segment schedules - Other information | 93,165</t>
      </text>
    </comment>
    <comment ref="E273" authorId="0">
      <text>
        <t>2Q26EarningsSupplement.pdf | Segment schedules - Other information | 95,041</t>
      </text>
    </comment>
    <comment ref="G273" authorId="0">
      <text>
        <t>2Q26EarningsSupplement.pdf | Segment schedules - Other information | 99,636</t>
      </text>
    </comment>
    <comment ref="H273" authorId="0">
      <text>
        <t>2Q26EarningsSupplement.pdf | Segment schedules - Other information | 104,464</t>
      </text>
    </comment>
    <comment ref="B276" authorId="0">
      <text>
        <t>1Q26EarningsSupplement.pdf | Segment schedules - Other information (1Q25 column, pre-2Q26 segment basis) | 17,912</t>
      </text>
    </comment>
    <comment ref="C276" authorId="0">
      <text>
        <t>2Q26EarningsSupplement.pdf | Segment schedules - Other information | 18,579</t>
      </text>
    </comment>
    <comment ref="D276" authorId="0">
      <text>
        <t>2Q26EarningsSupplement.pdf | Segment schedules - Other information | 19,488</t>
      </text>
    </comment>
    <comment ref="E276" authorId="0">
      <text>
        <t>2Q26EarningsSupplement.pdf | Segment schedules - Other information | 19,860</t>
      </text>
    </comment>
    <comment ref="G276" authorId="0">
      <text>
        <t>2Q26EarningsSupplement.pdf | Segment schedules - Other information | 20,155</t>
      </text>
    </comment>
    <comment ref="H276" authorId="0">
      <text>
        <t>2Q26EarningsSupplement.pdf | Segment schedules - Other information | 20,521</t>
      </text>
    </comment>
    <comment ref="B282" authorId="0">
      <text>
        <t>1Q26EarningsSupplement.pdf | Segment schedules - Other information (1Q25 column, pre-2Q26 segment basis) | 15,527</t>
      </text>
    </comment>
    <comment ref="C282" authorId="0">
      <text>
        <t>2Q26EarningsSupplement.pdf | Segment schedules - Other information | 15,506</t>
      </text>
    </comment>
    <comment ref="D282" authorId="0">
      <text>
        <t>2Q26EarningsSupplement.pdf | Segment schedules - Other information | 15,989</t>
      </text>
    </comment>
    <comment ref="E282" authorId="0">
      <text>
        <t>2Q26EarningsSupplement.pdf | Segment schedules - Other information | 17,307</t>
      </text>
    </comment>
    <comment ref="G282" authorId="0">
      <text>
        <t>2Q26EarningsSupplement.pdf | Segment schedules - Other information | 16,624</t>
      </text>
    </comment>
    <comment ref="H282" authorId="0">
      <text>
        <t>2Q26EarningsSupplement.pdf | Segment schedules - Other information | 16,376</t>
      </text>
    </comment>
    <comment ref="B285" authorId="0">
      <text>
        <t>1Q26EarningsSupplement.pdf | Segment schedules - Other information (1Q25 column, pre-2Q26 segment basis) | 45,257</t>
      </text>
    </comment>
    <comment ref="C285" authorId="0">
      <text>
        <t>2Q26EarningsSupplement.pdf | Segment schedules - Other information | 45,267</t>
      </text>
    </comment>
    <comment ref="D285" authorId="0">
      <text>
        <t>2Q26EarningsSupplement.pdf | Segment schedules - Other information | 45,852</t>
      </text>
    </comment>
    <comment ref="E285" authorId="0">
      <text>
        <t>2Q26EarningsSupplement.pdf | Segment schedules - Other information | 46,997</t>
      </text>
    </comment>
    <comment ref="G285" authorId="0">
      <text>
        <t>2Q26EarningsSupplement.pdf | Segment schedules - Other information | 47,988</t>
      </text>
    </comment>
    <comment ref="H285" authorId="0">
      <text>
        <t>2Q26EarningsSupplement.pdf | Segment schedules - Other information | 47,962</t>
      </text>
    </comment>
    <comment ref="B288" authorId="0">
      <text>
        <t>1Q26EarningsSupplement.pdf | Segment schedules - Other information (1Q25 column, pre-2Q26 segment basis) | 135,402</t>
      </text>
    </comment>
    <comment ref="C288" authorId="0">
      <text>
        <t>2Q26EarningsSupplement.pdf | Segment schedules - Other information | 134,338</t>
      </text>
    </comment>
    <comment ref="D288" authorId="0">
      <text>
        <t>2Q26EarningsSupplement.pdf | Segment schedules - Other information | 138,030</t>
      </text>
    </comment>
    <comment ref="E288" authorId="0">
      <text>
        <t>2Q26EarningsSupplement.pdf | Segment schedules - Other information | 139,287</t>
      </text>
    </comment>
    <comment ref="G288" authorId="0">
      <text>
        <t>2Q26EarningsSupplement.pdf | Segment schedules - Other information | 137,957</t>
      </text>
    </comment>
    <comment ref="H288" authorId="0">
      <text>
        <t>2Q26EarningsSupplement.pdf | Segment schedules - Other information | 137,267</t>
      </text>
    </comment>
    <comment ref="B291" authorId="0">
      <text>
        <t>1Q26EarningsSupplement.pdf | Segment schedules - Other information (1Q25 column, pre-2Q26 segment basis) | 59,342</t>
      </text>
    </comment>
    <comment ref="C291" authorId="0">
      <text>
        <t>2Q26EarningsSupplement.pdf | Segment schedules - Other information | 54,375</t>
      </text>
    </comment>
    <comment ref="D291" authorId="0">
      <text>
        <t>2Q26EarningsSupplement.pdf | Segment schedules - Other information | 56,922</t>
      </text>
    </comment>
    <comment ref="E291" authorId="0">
      <text>
        <t>2Q26EarningsSupplement.pdf | Segment schedules - Other information | 60,671</t>
      </text>
    </comment>
    <comment ref="G291" authorId="0">
      <text>
        <t>2Q26EarningsSupplement.pdf | Segment schedules - Other information | 62,636</t>
      </text>
    </comment>
    <comment ref="H291" authorId="0">
      <text>
        <t>2Q26EarningsSupplement.pdf | Segment schedules - Other information | 61,254</t>
      </text>
    </comment>
    <comment ref="B294" authorId="0">
      <text>
        <t>1Q26EarningsSupplement.pdf | Segment schedules - Other information (1Q25 column, pre-2Q26 segment basis) | 19,630</t>
      </text>
    </comment>
    <comment ref="C294" authorId="0">
      <text>
        <t>2Q26EarningsSupplement.pdf | Segment schedules - Other information | 19,365</t>
      </text>
    </comment>
    <comment ref="D294" authorId="0">
      <text>
        <t>2Q26EarningsSupplement.pdf | Segment schedules - Other information | 20,326</t>
      </text>
    </comment>
    <comment ref="E294" authorId="0">
      <text>
        <t>2Q26EarningsSupplement.pdf | Segment schedules - Other information | 21,837</t>
      </text>
    </comment>
    <comment ref="G294" authorId="0">
      <text>
        <t>2Q26EarningsSupplement.pdf | Segment schedules - Other information | 22,766</t>
      </text>
    </comment>
    <comment ref="H294" authorId="0">
      <text>
        <t>2Q26EarningsSupplement.pdf | Segment schedules - Other information | 22,706</t>
      </text>
    </comment>
    <comment ref="B300" authorId="0">
      <text>
        <t>1Q26EarningsSupplement.pdf | Segment schedules - Other information (1Q25 column, pre-2Q26 segment basis) | 80,414</t>
      </text>
    </comment>
    <comment ref="C300" authorId="0">
      <text>
        <t>2Q26EarningsSupplement.pdf | Segment schedules - Other information | 79,084</t>
      </text>
    </comment>
    <comment ref="D300" authorId="0">
      <text>
        <t>2Q26EarningsSupplement.pdf | Segment schedules - Other information | 85,068</t>
      </text>
    </comment>
    <comment ref="E300" authorId="0">
      <text>
        <t>2Q26EarningsSupplement.pdf | Segment schedules - Other information | 88,527</t>
      </text>
    </comment>
    <comment ref="G300" authorId="0">
      <text>
        <t>2Q26EarningsSupplement.pdf | Segment schedules - Other information | 94,953</t>
      </text>
    </comment>
    <comment ref="H300" authorId="0">
      <text>
        <t>2Q26EarningsSupplement.pdf | Segment schedules - Other information | 100,865</t>
      </text>
    </comment>
    <comment ref="B304" authorId="0">
      <text>
        <t>1Q26EarningsSupplement.pdf | Segment schedules - Other information (1Q25 column, pre-2Q26 segment basis) | 224,349</t>
      </text>
    </comment>
    <comment ref="C304" authorId="0">
      <text>
        <t>2Q26EarningsSupplement.pdf | Segment schedules - Other information | 232,453</t>
      </text>
    </comment>
    <comment ref="D304" authorId="0">
      <text>
        <t>2Q26EarningsSupplement.pdf | Segment schedules - Other information | 224,009</t>
      </text>
    </comment>
    <comment ref="E304" authorId="0">
      <text>
        <t>2Q26EarningsSupplement.pdf | Segment schedules - Other information | 225,777</t>
      </text>
    </comment>
    <comment ref="G304" authorId="0">
      <text>
        <t>2Q26EarningsSupplement.pdf | Segment schedules - Other information | 231,041</t>
      </text>
    </comment>
    <comment ref="H304" authorId="0">
      <text>
        <t>2Q26EarningsSupplement.pdf | Segment schedules - Other information | 234,589</t>
      </text>
    </comment>
    <comment ref="B308" authorId="0">
      <text>
        <t>1Q26EarningsSupplement.pdf | Segment schedules - Other information (1Q25 column, pre-2Q26 segment basis) | 182,768</t>
      </text>
    </comment>
    <comment ref="C308" authorId="0">
      <text>
        <t>2Q26EarningsSupplement.pdf | Segment schedules - Other information | 187,799</t>
      </text>
    </comment>
    <comment ref="D308" authorId="0">
      <text>
        <t>2Q26EarningsSupplement.pdf | Segment schedules - Other information | 194,604</t>
      </text>
    </comment>
    <comment ref="E308" authorId="0">
      <text>
        <t>2Q26EarningsSupplement.pdf | Segment schedules - Other information | 202,398</t>
      </text>
    </comment>
    <comment ref="G308" authorId="0">
      <text>
        <t>2Q26EarningsSupplement.pdf | Segment schedules - Other information | 212,115</t>
      </text>
    </comment>
    <comment ref="H308" authorId="0">
      <text>
        <t>2Q26EarningsSupplement.pdf | Segment schedules - Other information | 219,737</t>
      </text>
    </comment>
    <comment ref="B312" authorId="0">
      <text>
        <t>1Q26EarningsSupplement.pdf | Segment schedules - Other information (1Q25 column, pre-2Q26 segment basis) | 36,741</t>
      </text>
    </comment>
    <comment ref="C312" authorId="0">
      <text>
        <t>2Q26EarningsSupplement.pdf | Segment schedules - Other information | 37,037</t>
      </text>
    </comment>
    <comment ref="D312" authorId="0">
      <text>
        <t>2Q26EarningsSupplement.pdf | Segment schedules - Other information | 26,336</t>
      </text>
    </comment>
    <comment ref="E312" authorId="0">
      <text>
        <t>2Q26EarningsSupplement.pdf | Segment schedules - Other information | 28,243</t>
      </text>
    </comment>
    <comment ref="G312" authorId="0">
      <text>
        <t>2Q26EarningsSupplement.pdf | Segment schedules - Other information | 26,944</t>
      </text>
    </comment>
    <comment ref="H312" authorId="0">
      <text>
        <t>2Q26EarningsSupplement.pdf | Segment schedules - Other information | 26,542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B10" authorId="0">
      <text>
        <t>1Q26EarningsSupplement.pdf | Segment schedules - Average balance sheet (1Q25 column, pre-2Q26 segment basis) | 4,054</t>
      </text>
    </comment>
    <comment ref="C10" authorId="0">
      <text>
        <t>2Q26EarningsSupplement.pdf | Segment schedules - Average balance sheet | 4,525</t>
      </text>
    </comment>
    <comment ref="D10" authorId="0">
      <text>
        <t>2Q26EarningsSupplement.pdf | Segment schedules - Average balance sheet | 4,330</t>
      </text>
    </comment>
    <comment ref="E10" authorId="0">
      <text>
        <t>2Q26EarningsSupplement.pdf | Segment schedules - Average balance sheet | 4,488</t>
      </text>
    </comment>
    <comment ref="G10" authorId="0">
      <text>
        <t>2Q26EarningsSupplement.pdf | Segment schedules - Average balance sheet | 4,399</t>
      </text>
    </comment>
    <comment ref="H10" authorId="0">
      <text>
        <t>2Q26EarningsSupplement.pdf | Segment schedules - Average balance sheet | 4,719</t>
      </text>
    </comment>
    <comment ref="B14" authorId="0">
      <text>
        <t>1Q26EarningsSupplement.pdf | Segment schedules - Average balance sheet (1Q25 column, pre-2Q26 segment basis) | 11,606</t>
      </text>
    </comment>
    <comment ref="C14" authorId="0">
      <text>
        <t>2Q26EarningsSupplement.pdf | Segment schedules - Average balance sheet | 11,793</t>
      </text>
    </comment>
    <comment ref="D14" authorId="0">
      <text>
        <t>2Q26EarningsSupplement.pdf | Segment schedules - Average balance sheet | 11,870</t>
      </text>
    </comment>
    <comment ref="E14" authorId="0">
      <text>
        <t>2Q26EarningsSupplement.pdf | Segment schedules - Average balance sheet | 11,897</t>
      </text>
    </comment>
    <comment ref="G14" authorId="0">
      <text>
        <t>2Q26EarningsSupplement.pdf | Segment schedules - Average balance sheet | 11,879</t>
      </text>
    </comment>
    <comment ref="H14" authorId="0">
      <text>
        <t>2Q26EarningsSupplement.pdf | Segment schedules - Average balance sheet | 11,861</t>
      </text>
    </comment>
    <comment ref="B18" authorId="0">
      <text>
        <t>1Q26EarningsSupplement.pdf | Segment schedules - Average balance sheet (1Q25 column, pre-2Q26 segment basis) | 102,250</t>
      </text>
    </comment>
    <comment ref="C18" authorId="0">
      <text>
        <t>2Q26EarningsSupplement.pdf | Segment schedules - Average balance sheet | 98,058</t>
      </text>
    </comment>
    <comment ref="D18" authorId="0">
      <text>
        <t>2Q26EarningsSupplement.pdf | Segment schedules - Average balance sheet | 95,708</t>
      </text>
    </comment>
    <comment ref="E18" authorId="0">
      <text>
        <t>2Q26EarningsSupplement.pdf | Segment schedules - Average balance sheet | 94,701</t>
      </text>
    </comment>
    <comment ref="G18" authorId="0">
      <text>
        <t>2Q26EarningsSupplement.pdf | Segment schedules - Average balance sheet | 94,331</t>
      </text>
    </comment>
    <comment ref="H18" authorId="0">
      <text>
        <t>2Q26EarningsSupplement.pdf | Segment schedules - Average balance sheet | 93,448</t>
      </text>
    </comment>
    <comment ref="B24" authorId="0">
      <text>
        <t>1Q26EarningsSupplement.pdf | Segment schedules - Other information (1Q25 column, pre-2Q26 segment basis) | 3,990</t>
      </text>
    </comment>
    <comment ref="C24" authorId="0">
      <text>
        <t>2Q26EarningsSupplement.pdf | Segment schedules - Other information | 3,868</t>
      </text>
    </comment>
    <comment ref="D24" authorId="0">
      <text>
        <t>2Q26EarningsSupplement.pdf | Segment schedules - Other information | 3,718</t>
      </text>
    </comment>
    <comment ref="E24" authorId="0">
      <text>
        <t>2Q26EarningsSupplement.pdf | Segment schedules - Other information | 3,572</t>
      </text>
    </comment>
    <comment ref="G24" authorId="0">
      <text>
        <t>2Q26EarningsSupplement.pdf | Segment schedules - Other information | 3,525</t>
      </text>
    </comment>
    <comment ref="H24" authorId="0">
      <text>
        <t>2Q26EarningsSupplement.pdf | Segment schedules - Other information | 3,746</t>
      </text>
    </comment>
    <comment ref="B28" authorId="0">
      <text>
        <t>1Q26EarningsSupplement.pdf | Segment schedules - Other information (1Q25 column, pre-2Q26 segment basis) | 11,120</t>
      </text>
    </comment>
    <comment ref="C28" authorId="0">
      <text>
        <t>2Q26EarningsSupplement.pdf | Segment schedules - Other information | 11,246</t>
      </text>
    </comment>
    <comment ref="D28" authorId="0">
      <text>
        <t>2Q26EarningsSupplement.pdf | Segment schedules - Other information | 11,358</t>
      </text>
    </comment>
    <comment ref="E28" authorId="0">
      <text>
        <t>2Q26EarningsSupplement.pdf | Segment schedules - Other information | 11,455</t>
      </text>
    </comment>
    <comment ref="G28" authorId="0">
      <text>
        <t>2Q26EarningsSupplement.pdf | Segment schedules - Other information | 11,481</t>
      </text>
    </comment>
    <comment ref="H28" authorId="0">
      <text>
        <t>2Q26EarningsSupplement.pdf | Segment schedules - Other information | 11,520</t>
      </text>
    </comment>
    <comment ref="B32" authorId="0">
      <text>
        <t>1Q26EarningsSupplement.pdf | Segment schedules - Other information (1Q25 column, pre-2Q26 segment basis) | 20,886</t>
      </text>
    </comment>
    <comment ref="C32" authorId="0">
      <text>
        <t>2Q26EarningsSupplement.pdf | Segment schedules - Other information | 20,010</t>
      </text>
    </comment>
    <comment ref="D32" authorId="0">
      <text>
        <t>2Q26EarningsSupplement.pdf | Segment schedules - Other information | 18,922</t>
      </text>
    </comment>
    <comment ref="E32" authorId="0">
      <text>
        <t>2Q26EarningsSupplement.pdf | Segment schedules - Other information | 18,806</t>
      </text>
    </comment>
    <comment ref="G32" authorId="0">
      <text>
        <t>2Q26EarningsSupplement.pdf | Segment schedules - Other information | 18,577</t>
      </text>
    </comment>
    <comment ref="H32" authorId="0">
      <text>
        <t>2Q26EarningsSupplement.pdf | Segment schedules - Other information | 18,714</t>
      </text>
    </comment>
    <comment ref="B42" authorId="0">
      <text>
        <t>1Q26EarningsSupplement.pdf | Segment schedules - Average balance sheet (1Q25 column, pre-2Q26 segment basis) | 1,778</t>
      </text>
    </comment>
    <comment ref="C42" authorId="0">
      <text>
        <t>2Q26EarningsSupplement.pdf | Segment schedules - Average balance sheet | 4,875</t>
      </text>
    </comment>
    <comment ref="D42" authorId="0">
      <text>
        <t>2Q26EarningsSupplement.pdf | Segment schedules - Average balance sheet | 2,330</t>
      </text>
    </comment>
    <comment ref="E42" authorId="0">
      <text>
        <t>2Q26EarningsSupplement.pdf | Segment schedules - Average balance sheet | 2,849</t>
      </text>
    </comment>
    <comment ref="G42" authorId="0">
      <text>
        <t>2Q26EarningsSupplement.pdf | Segment schedules - Average balance sheet | 2,409</t>
      </text>
    </comment>
    <comment ref="H42" authorId="0">
      <text>
        <t>2Q26EarningsSupplement.pdf | Segment schedules - Average balance sheet | 2,650</t>
      </text>
    </comment>
    <comment ref="B49" authorId="0">
      <text>
        <t>1Q26EarningsSupplement.pdf | Segment schedules - Average balance sheet (1Q25 column, pre-2Q26 segment basis) | 19,204</t>
      </text>
    </comment>
    <comment ref="C49" authorId="0">
      <text>
        <t>2Q26EarningsSupplement.pdf | Segment schedules - Average balance sheet | 19,732</t>
      </text>
    </comment>
    <comment ref="D49" authorId="0">
      <text>
        <t>2Q26EarningsSupplement.pdf | Segment schedules - Average balance sheet | 19,726</t>
      </text>
    </comment>
    <comment ref="E49" authorId="0">
      <text>
        <t>2Q26EarningsSupplement.pdf | Segment schedules - Average balance sheet | 19,482</t>
      </text>
    </comment>
    <comment ref="G49" authorId="0">
      <text>
        <t>2Q26EarningsSupplement.pdf | Segment schedules - Average balance sheet | 18,380</t>
      </text>
    </comment>
    <comment ref="H49" authorId="0">
      <text>
        <t>2Q26EarningsSupplement.pdf | Segment schedules - Average balance sheet | 18,632</t>
      </text>
    </comment>
    <comment ref="B53" authorId="0">
      <text>
        <t>1Q26EarningsSupplement.pdf | Segment schedules - Average balance sheet (1Q25 column, pre-2Q26 segment basis) | 70,901</t>
      </text>
    </comment>
    <comment ref="C53" authorId="0">
      <text>
        <t>2Q26EarningsSupplement.pdf | Segment schedules - Average balance sheet | 70,923</t>
      </text>
    </comment>
    <comment ref="D53" authorId="0">
      <text>
        <t>2Q26EarningsSupplement.pdf | Segment schedules - Average balance sheet | 70,454</t>
      </text>
    </comment>
    <comment ref="E53" authorId="0">
      <text>
        <t>2Q26EarningsSupplement.pdf | Segment schedules - Average balance sheet | 71,078</t>
      </text>
    </comment>
    <comment ref="G53" authorId="0">
      <text>
        <t>2Q26EarningsSupplement.pdf | Segment schedules - Average balance sheet | 72,022</t>
      </text>
    </comment>
    <comment ref="H53" authorId="0">
      <text>
        <t>2Q26EarningsSupplement.pdf | Segment schedules - Average balance sheet | 72,914</t>
      </text>
    </comment>
    <comment ref="B57" authorId="0">
      <text>
        <t>1Q26EarningsSupplement.pdf | Segment schedules - Average balance sheet (1Q25 column, pre-2Q26 segment basis) | 91,316</t>
      </text>
    </comment>
    <comment ref="C57" authorId="0">
      <text>
        <t>2Q26EarningsSupplement.pdf | Segment schedules - Average balance sheet | 91,666</t>
      </text>
    </comment>
    <comment ref="D57" authorId="0">
      <text>
        <t>2Q26EarningsSupplement.pdf | Segment schedules - Average balance sheet | 92,392</t>
      </text>
    </comment>
    <comment ref="E57" authorId="0">
      <text>
        <t>2Q26EarningsSupplement.pdf | Segment schedules - Average balance sheet | 92,262</t>
      </text>
    </comment>
    <comment ref="G57" authorId="0">
      <text>
        <t>2Q26EarningsSupplement.pdf | Segment schedules - Average balance sheet | 93,666</t>
      </text>
    </comment>
    <comment ref="H57" authorId="0">
      <text>
        <t>2Q26EarningsSupplement.pdf | Segment schedules - Average balance sheet | 95,736</t>
      </text>
    </comment>
    <comment ref="B61" authorId="0">
      <text>
        <t>1Q26EarningsSupplement.pdf | Segment schedules - Average balance sheet (1Q25 column, pre-2Q26 segment basis) | 36,649</t>
      </text>
    </comment>
    <comment ref="C61" authorId="0">
      <text>
        <t>2Q26EarningsSupplement.pdf | Segment schedules - Average balance sheet | 37,959</t>
      </text>
    </comment>
    <comment ref="D61" authorId="0">
      <text>
        <t>2Q26EarningsSupplement.pdf | Segment schedules - Average balance sheet | 39,162</t>
      </text>
    </comment>
    <comment ref="E61" authorId="0">
      <text>
        <t>2Q26EarningsSupplement.pdf | Segment schedules - Average balance sheet | 39,300</t>
      </text>
    </comment>
    <comment ref="G61" authorId="0">
      <text>
        <t>2Q26EarningsSupplement.pdf | Segment schedules - Average balance sheet | 38,028</t>
      </text>
    </comment>
    <comment ref="H61" authorId="0">
      <text>
        <t>2Q26EarningsSupplement.pdf | Segment schedules - Average balance sheet | 37,780</t>
      </text>
    </comment>
    <comment ref="B94" authorId="0">
      <text>
        <t>1Q26EarningsSupplement.pdf | Segment schedules - Income statement | 4.61</t>
      </text>
    </comment>
    <comment ref="C94" authorId="0">
      <text>
        <t>2Q26EarningsSupplement.pdf | Segment schedules - Income statement | 4.78</t>
      </text>
    </comment>
    <comment ref="D94" authorId="0">
      <text>
        <t>2Q26EarningsSupplement.pdf | Segment schedules - Income statement | 4.94</t>
      </text>
    </comment>
    <comment ref="E94" authorId="0">
      <text>
        <t>2Q26EarningsSupplement.pdf | Segment schedules - Income statement | 4.73</t>
      </text>
    </comment>
    <comment ref="G94" authorId="0">
      <text>
        <t>2Q26EarningsSupplement.pdf | Segment schedules - Income statement | 4.98</t>
      </text>
    </comment>
    <comment ref="H94" authorId="0">
      <text>
        <t>2Q26EarningsSupplement.pdf | Segment schedules - Income statement | 5.02</t>
      </text>
    </comment>
    <comment ref="B97" authorId="0">
      <text>
        <t>1Q26EarningsSupplement.pdf | Segment schedules - Income statement (1Q25 column, pre-2Q26 segment basis) | 1,768</t>
      </text>
    </comment>
    <comment ref="C97" authorId="0">
      <text>
        <t>2Q26EarningsSupplement.pdf | Segment schedules - Income statement | 1,841</t>
      </text>
    </comment>
    <comment ref="D97" authorId="0">
      <text>
        <t>2Q26EarningsSupplement.pdf | Segment schedules - Income statement | 1,847</t>
      </text>
    </comment>
    <comment ref="E97" authorId="0">
      <text>
        <t>2Q26EarningsSupplement.pdf | Segment schedules - Income statement | 1,760</t>
      </text>
    </comment>
    <comment ref="G97" authorId="0">
      <text>
        <t>2Q26EarningsSupplement.pdf | Segment schedules - Income statement | 1,799</t>
      </text>
    </comment>
    <comment ref="H97" authorId="0">
      <text>
        <t>2Q26EarningsSupplement.pdf | Segment schedules - Income statement | 1,836</t>
      </text>
    </comment>
    <comment ref="B105" authorId="0">
      <text>
        <t>1Q26EarningsSupplement.pdf | Segment schedules - Income statement (1Q25 column, pre-2Q26 segment basis) | 125</t>
      </text>
    </comment>
    <comment ref="C105" authorId="0">
      <text>
        <t>2Q26EarningsSupplement.pdf | Segment schedules - Income statement | 135</t>
      </text>
    </comment>
    <comment ref="D105" authorId="0">
      <text>
        <t>2Q26EarningsSupplement.pdf | Segment schedules - Income statement | 136</t>
      </text>
    </comment>
    <comment ref="E105" authorId="0">
      <text>
        <t>2Q26EarningsSupplement.pdf | Segment schedules - Income statement | 136</t>
      </text>
    </comment>
    <comment ref="G105" authorId="0">
      <text>
        <t>2Q26EarningsSupplement.pdf | Segment schedules - Income statement | 128</t>
      </text>
    </comment>
    <comment ref="H105" authorId="0">
      <text>
        <t>2Q26EarningsSupplement.pdf | Segment schedules - Income statement | 140</t>
      </text>
    </comment>
    <comment ref="B115" authorId="0">
      <text>
        <t>1Q26EarningsSupplement.pdf | Segment schedules - Income statement (1Q25 column, pre-2Q26 segment basis) | 33</t>
      </text>
    </comment>
    <comment ref="C115" authorId="0">
      <text>
        <t>2Q26EarningsSupplement.pdf | Segment schedules - Income statement | 35</t>
      </text>
    </comment>
    <comment ref="D115" authorId="0">
      <text>
        <t>2Q26EarningsSupplement.pdf | Segment schedules - Income statement | 35</t>
      </text>
    </comment>
    <comment ref="E115" authorId="0">
      <text>
        <t>2Q26EarningsSupplement.pdf | Segment schedules - Income statement | 35</t>
      </text>
    </comment>
    <comment ref="G115" authorId="0">
      <text>
        <t>2Q26EarningsSupplement.pdf | Segment schedules - Income statement | 35</t>
      </text>
    </comment>
    <comment ref="H115" authorId="0">
      <text>
        <t>2Q26EarningsSupplement.pdf | Segment schedules - Income statement | 37</t>
      </text>
    </comment>
    <comment ref="B122" authorId="0">
      <text>
        <t>1Q26EarningsSupplement.pdf | Segment schedules - Income statement (1Q25 column, pre-2Q26 segment basis) | 1</t>
      </text>
    </comment>
    <comment ref="C122" authorId="0">
      <text>
        <t>2Q26EarningsSupplement.pdf | Segment schedules - Income statement | 1</t>
      </text>
    </comment>
    <comment ref="D122" authorId="0">
      <text>
        <t>2Q26EarningsSupplement.pdf | Segment schedules - Income statement | 1</t>
      </text>
    </comment>
    <comment ref="E122" authorId="0">
      <text>
        <t>2Q26EarningsSupplement.pdf | Segment schedules - Income statement | 1</t>
      </text>
    </comment>
    <comment ref="G122" authorId="0">
      <text>
        <t>2Q26EarningsSupplement.pdf | Segment schedules - Income statement | 1</t>
      </text>
    </comment>
    <comment ref="H122" authorId="0">
      <text>
        <t>2Q26EarningsSupplement.pdf | Segment schedules - Income statement | 1</t>
      </text>
    </comment>
    <comment ref="B129" authorId="0">
      <text>
        <t>1Q26EarningsSupplement.pdf | Segment schedules - Income statement (1Q25 column, pre-2Q26 segment basis) | 129</t>
      </text>
    </comment>
    <comment ref="C129" authorId="0">
      <text>
        <t>2Q26EarningsSupplement.pdf | Segment schedules - Income statement | 138</t>
      </text>
    </comment>
    <comment ref="D129" authorId="0">
      <text>
        <t>2Q26EarningsSupplement.pdf | Segment schedules - Income statement | 146</t>
      </text>
    </comment>
    <comment ref="E129" authorId="0">
      <text>
        <t>2Q26EarningsSupplement.pdf | Segment schedules - Income statement | 141</t>
      </text>
    </comment>
    <comment ref="G129" authorId="0">
      <text>
        <t>2Q26EarningsSupplement.pdf | Segment schedules - Income statement | 139</t>
      </text>
    </comment>
    <comment ref="H129" authorId="0">
      <text>
        <t>2Q26EarningsSupplement.pdf | Segment schedules - Income statement | 137</t>
      </text>
    </comment>
    <comment ref="B136" authorId="0">
      <text>
        <t>1Q26EarningsSupplement.pdf | Segment schedules - Income statement (1Q25 column, pre-2Q26 segment basis) | 5</t>
      </text>
    </comment>
    <comment ref="C136" authorId="0">
      <text>
        <t>2Q26EarningsSupplement.pdf | Segment schedules - Income statement | 6</t>
      </text>
    </comment>
    <comment ref="D136" authorId="0">
      <text>
        <t>2Q26EarningsSupplement.pdf | Segment schedules - Income statement | 6</t>
      </text>
    </comment>
    <comment ref="E136" authorId="0">
      <text>
        <t>2Q26EarningsSupplement.pdf | Segment schedules - Income statement | 6</t>
      </text>
    </comment>
    <comment ref="G136" authorId="0">
      <text>
        <t>2Q26EarningsSupplement.pdf | Segment schedules - Income statement | 6</t>
      </text>
    </comment>
    <comment ref="H136" authorId="0">
      <text>
        <t>2Q26EarningsSupplement.pdf | Segment schedules - Income statement | 7</t>
      </text>
    </comment>
    <comment ref="B144" authorId="0">
      <text>
        <t>1Q26EarningsSupplement.pdf | Segment schedules - Mortgage banking division data (1Q25 column, pre-2Q26 segment basis) | 6,562</t>
      </text>
    </comment>
    <comment ref="C144" authorId="0">
      <text>
        <t>2Q26EarningsSupplement.pdf | Segment schedules - Mortgage banking division data | 9,645</t>
      </text>
    </comment>
    <comment ref="D144" authorId="0">
      <text>
        <t>2Q26EarningsSupplement.pdf | Segment schedules - Mortgage banking division data | 9,951</t>
      </text>
    </comment>
    <comment ref="E144" authorId="0">
      <text>
        <t>2Q26EarningsSupplement.pdf | Segment schedules - Mortgage banking division data | 12,627</t>
      </text>
    </comment>
    <comment ref="G144" authorId="0">
      <text>
        <t>2Q26EarningsSupplement.pdf | Segment schedules - Mortgage banking division data | 11,474</t>
      </text>
    </comment>
    <comment ref="H144" authorId="0">
      <text>
        <t>2Q26EarningsSupplement.pdf | Segment schedules - Mortgage banking division data | 10,605</t>
      </text>
    </comment>
    <comment ref="B147" authorId="0">
      <text>
        <t>1Q26EarningsSupplement.pdf | Segment schedules - Mortgage banking division data (1Q25 column, pre-2Q26 segment basis) | 71</t>
      </text>
    </comment>
    <comment ref="C147" authorId="0">
      <text>
        <t>2Q26EarningsSupplement.pdf | Segment schedules - Mortgage banking division data | 80</t>
      </text>
    </comment>
    <comment ref="D147" authorId="0">
      <text>
        <t>2Q26EarningsSupplement.pdf | Segment schedules - Mortgage banking division data | 93</t>
      </text>
    </comment>
    <comment ref="E147" authorId="0">
      <text>
        <t>2Q26EarningsSupplement.pdf | Segment schedules - Mortgage banking division data | 84</t>
      </text>
    </comment>
    <comment ref="G147" authorId="0">
      <text>
        <t>2Q26EarningsSupplement.pdf | Segment schedules - Mortgage banking division data | 88</t>
      </text>
    </comment>
    <comment ref="H147" authorId="0">
      <text>
        <t>2Q26EarningsSupplement.pdf | Segment schedules - Mortgage banking division data | 83</t>
      </text>
    </comment>
    <comment ref="B157" authorId="0">
      <text>
        <t>1Q26EarningsSupplement.pdf | Segment schedules - Mortgage banking division data (1Q25 column, pre-2Q26 segment basis) | 216,701</t>
      </text>
    </comment>
    <comment ref="C157" authorId="0">
      <text>
        <t>2Q26EarningsSupplement.pdf | Segment schedules - Mortgage banking division data | 220,795</t>
      </text>
    </comment>
    <comment ref="D157" authorId="0">
      <text>
        <t>2Q26EarningsSupplement.pdf | Segment schedules - Mortgage banking division data | 216,146</t>
      </text>
    </comment>
    <comment ref="E157" authorId="0">
      <text>
        <t>2Q26EarningsSupplement.pdf | Segment schedules - Mortgage banking division data | 216,349</t>
      </text>
    </comment>
    <comment ref="G157" authorId="0">
      <text>
        <t>2Q26EarningsSupplement.pdf | Segment schedules - Mortgage banking division data | 215,409</t>
      </text>
    </comment>
    <comment ref="H157" authorId="0">
      <text>
        <t>2Q26EarningsSupplement.pdf | Segment schedules - Mortgage banking division data | 215,070</t>
      </text>
    </comment>
    <comment ref="B169" authorId="0">
      <text>
        <t>1Q26EarningsSupplement.pdf | Segment schedules - Mortgage banking division data (1Q25 column, pre-2Q26 segment basis) | 172</t>
      </text>
    </comment>
    <comment ref="C169" authorId="0">
      <text>
        <t>2Q26EarningsSupplement.pdf | Segment schedules - Mortgage banking division data | 172</t>
      </text>
    </comment>
    <comment ref="D169" authorId="0">
      <text>
        <t>2Q26EarningsSupplement.pdf | Segment schedules - Mortgage banking division data | 173</t>
      </text>
    </comment>
    <comment ref="E169" authorId="0">
      <text>
        <t>2Q26EarningsSupplement.pdf | Segment schedules - Mortgage banking division data | 165</t>
      </text>
    </comment>
    <comment ref="G169" authorId="0">
      <text>
        <t>2Q26EarningsSupplement.pdf | Segment schedules - Mortgage banking division data | 163</t>
      </text>
    </comment>
    <comment ref="H169" authorId="0">
      <text>
        <t>2Q26EarningsSupplement.pdf | Segment schedules - Mortgage banking division data | 164</t>
      </text>
    </comment>
    <comment ref="B179" authorId="0">
      <text>
        <t>1Q26EarningsSupplement.pdf | Segment schedules - Mortgage banking division data (1Q25 column, pre-2Q26 segment basis) | 2</t>
      </text>
    </comment>
    <comment ref="C179" authorId="0">
      <text>
        <t>2Q26EarningsSupplement.pdf | Segment schedules - Mortgage banking division data | (4)</t>
      </text>
    </comment>
    <comment ref="D179" authorId="0">
      <text>
        <t>2Q26EarningsSupplement.pdf | Segment schedules - Mortgage banking division data | 12</t>
      </text>
    </comment>
    <comment ref="E179" authorId="0">
      <text>
        <t>2Q26EarningsSupplement.pdf | Segment schedules - Mortgage banking division data | (11)</t>
      </text>
    </comment>
    <comment ref="G179" authorId="0">
      <text>
        <t>2Q26EarningsSupplement.pdf | Segment schedules - Mortgage banking division data | (27)</t>
      </text>
    </comment>
    <comment ref="H179" authorId="0">
      <text>
        <t>2Q26EarningsSupplement.pdf | Segment schedules - Mortgage banking division data | 2</t>
      </text>
    </comment>
    <comment ref="B182" authorId="0">
      <text>
        <t>1Q26EarningsSupplement.pdf | Segment schedules - Mortgage banking division data (1Q25 column, pre-2Q26 segment basis) | (72)</t>
      </text>
    </comment>
    <comment ref="C182" authorId="0">
      <text>
        <t>2Q26EarningsSupplement.pdf | Segment schedules - Mortgage banking division data | (86)</t>
      </text>
    </comment>
    <comment ref="D182" authorId="0">
      <text>
        <t>2Q26EarningsSupplement.pdf | Segment schedules - Mortgage banking division data | (98)</t>
      </text>
    </comment>
    <comment ref="E182" authorId="0">
      <text>
        <t>2Q26EarningsSupplement.pdf | Segment schedules - Mortgage banking division data | (108)</t>
      </text>
    </comment>
    <comment ref="G182" authorId="0">
      <text>
        <t>2Q26EarningsSupplement.pdf | Segment schedules - Mortgage banking division data | (63)</t>
      </text>
    </comment>
    <comment ref="H182" authorId="0">
      <text>
        <t>2Q26EarningsSupplement.pdf | Segment schedules - Mortgage banking division data | (80)</t>
      </text>
    </comment>
    <comment ref="B192" authorId="0">
      <text>
        <t>1Q26EarningsSupplement.pdf | Segment schedules - Mortgage banking division data (1Q25 column, pre-2Q26 segment basis) | 11,631</t>
      </text>
    </comment>
    <comment ref="C192" authorId="0">
      <text>
        <t>2Q26EarningsSupplement.pdf | Segment schedules - Mortgage banking division data | 14,363</t>
      </text>
    </comment>
    <comment ref="D192" authorId="0">
      <text>
        <t>2Q26EarningsSupplement.pdf | Segment schedules - Mortgage banking division data | 14,845</t>
      </text>
    </comment>
    <comment ref="E192" authorId="0">
      <text>
        <t>2Q26EarningsSupplement.pdf | Segment schedules - Mortgage banking division data | 16,214</t>
      </text>
    </comment>
    <comment ref="G192" authorId="0">
      <text>
        <t>2Q26EarningsSupplement.pdf | Segment schedules - Mortgage banking division data | 16,307</t>
      </text>
    </comment>
    <comment ref="H192" authorId="0">
      <text>
        <t>2Q26EarningsSupplement.pdf | Segment schedules - Mortgage banking division data | 14,795</t>
      </text>
    </comment>
    <comment ref="B195" authorId="0">
      <text>
        <t>1Q26EarningsSupplement.pdf | Segment schedules - Income statement (1Q25 column, pre-2Q26 segment basis) | 64</t>
      </text>
    </comment>
    <comment ref="C195" authorId="0">
      <text>
        <t>2Q26EarningsSupplement.pdf | Segment schedules - Income statement | 58</t>
      </text>
    </comment>
    <comment ref="D195" authorId="0">
      <text>
        <t>2Q26EarningsSupplement.pdf | Segment schedules - Income statement | 59</t>
      </text>
    </comment>
    <comment ref="E195" authorId="0">
      <text>
        <t>2Q26EarningsSupplement.pdf | Segment schedules - Income statement | 53</t>
      </text>
    </comment>
    <comment ref="G195" authorId="0">
      <text>
        <t>2Q26EarningsSupplement.pdf | Segment schedules - Income statement | 45</t>
      </text>
    </comment>
    <comment ref="H195" authorId="0">
      <text>
        <t>2Q26EarningsSupplement.pdf | Segment schedules - Income statement | 46</t>
      </text>
    </comment>
    <comment ref="B208" authorId="0">
      <text>
        <t>1Q26EarningsSupplement.pdf | Segment schedules - Income statement (1Q25 column, pre-2Q26 segment basis) | 530</t>
      </text>
    </comment>
    <comment ref="C208" authorId="0">
      <text>
        <t>2Q26EarningsSupplement.pdf | Segment schedules - Income statement | 535</t>
      </text>
    </comment>
    <comment ref="D208" authorId="0">
      <text>
        <t>2Q26EarningsSupplement.pdf | Segment schedules - Income statement | 563</t>
      </text>
    </comment>
    <comment ref="E208" authorId="0">
      <text>
        <t>2Q26EarningsSupplement.pdf | Segment schedules - Income statement | 502</t>
      </text>
    </comment>
    <comment ref="G208" authorId="0">
      <text>
        <t>2Q26EarningsSupplement.pdf | Segment schedules - Income statement | 515</t>
      </text>
    </comment>
    <comment ref="H208" authorId="0">
      <text>
        <t>2Q26EarningsSupplement.pdf | Segment schedules - Income statement | 537</t>
      </text>
    </comment>
    <comment ref="B220" authorId="0">
      <text>
        <t>1Q26EarningsSupplement.pdf | Segment schedules - Income statement (1Q25 column, pre-2Q26 segment basis) | 525</t>
      </text>
    </comment>
    <comment ref="C220" authorId="0">
      <text>
        <t>2Q26EarningsSupplement.pdf | Segment schedules - Income statement | 572</t>
      </text>
    </comment>
    <comment ref="D220" authorId="0">
      <text>
        <t>2Q26EarningsSupplement.pdf | Segment schedules - Income statement | 569</t>
      </text>
    </comment>
    <comment ref="E220" authorId="0">
      <text>
        <t>2Q26EarningsSupplement.pdf | Segment schedules - Income statement | 571</t>
      </text>
    </comment>
    <comment ref="G220" authorId="0">
      <text>
        <t>2Q26EarningsSupplement.pdf | Segment schedules - Income statement | 559</t>
      </text>
    </comment>
    <comment ref="H220" authorId="0">
      <text>
        <t>2Q26EarningsSupplement.pdf | Segment schedules - Income statement | 564</t>
      </text>
    </comment>
    <comment ref="B224" authorId="0">
      <text>
        <t>1Q26EarningsSupplement.pdf | Segment schedules - Income statement (1Q25 column, pre-2Q26 segment basis) | 59</t>
      </text>
    </comment>
    <comment ref="C224" authorId="0">
      <text>
        <t>2Q26EarningsSupplement.pdf | Segment schedules - Income statement | 58</t>
      </text>
    </comment>
    <comment ref="D224" authorId="0">
      <text>
        <t>2Q26EarningsSupplement.pdf | Segment schedules - Income statement | 59</t>
      </text>
    </comment>
    <comment ref="E224" authorId="0">
      <text>
        <t>2Q26EarningsSupplement.pdf | Segment schedules - Income statement | 59</t>
      </text>
    </comment>
    <comment ref="G224" authorId="0">
      <text>
        <t>2Q26EarningsSupplement.pdf | Segment schedules - Income statement | 52</t>
      </text>
    </comment>
    <comment ref="H224" authorId="0">
      <text>
        <t>2Q26EarningsSupplement.pdf | Segment schedules - Income statement | 51</t>
      </text>
    </comment>
    <comment ref="B228" authorId="0">
      <text>
        <t>1Q26EarningsSupplement.pdf | Segment schedules - Income statement (1Q25 column, pre-2Q26 segment basis) | 541</t>
      </text>
    </comment>
    <comment ref="C228" authorId="0">
      <text>
        <t>2Q26EarningsSupplement.pdf | Segment schedules - Income statement | 545</t>
      </text>
    </comment>
    <comment ref="D228" authorId="0">
      <text>
        <t>2Q26EarningsSupplement.pdf | Segment schedules - Income statement | 559</t>
      </text>
    </comment>
    <comment ref="E228" authorId="0">
      <text>
        <t>2Q26EarningsSupplement.pdf | Segment schedules - Income statement | 558</t>
      </text>
    </comment>
    <comment ref="G228" authorId="0">
      <text>
        <t>2Q26EarningsSupplement.pdf | Segment schedules - Income statement | 539</t>
      </text>
    </comment>
    <comment ref="H228" authorId="0">
      <text>
        <t>2Q26EarningsSupplement.pdf | Segment schedules - Income statement | 550</t>
      </text>
    </comment>
    <comment ref="B232" authorId="0">
      <text>
        <t>1Q26EarningsSupplement.pdf | Segment schedules - Income statement (1Q25 column, pre-2Q26 segment basis) | 315</t>
      </text>
    </comment>
    <comment ref="C232" authorId="0">
      <text>
        <t>2Q26EarningsSupplement.pdf | Segment schedules - Income statement | 342</t>
      </text>
    </comment>
    <comment ref="D232" authorId="0">
      <text>
        <t>2Q26EarningsSupplement.pdf | Segment schedules - Income statement | 350</t>
      </text>
    </comment>
    <comment ref="E232" authorId="0">
      <text>
        <t>2Q26EarningsSupplement.pdf | Segment schedules - Income statement | 353</t>
      </text>
    </comment>
    <comment ref="G232" authorId="0">
      <text>
        <t>2Q26EarningsSupplement.pdf | Segment schedules - Income statement | 332</t>
      </text>
    </comment>
    <comment ref="H232" authorId="0">
      <text>
        <t>2Q26EarningsSupplement.pdf | Segment schedules - Income statement | 345</t>
      </text>
    </comment>
    <comment ref="B245" authorId="0">
      <text>
        <t>1Q26EarningsSupplement.pdf | Segment schedules - Credit quality (1Q25 column, pre-2Q26 segment basis) | 12</t>
      </text>
    </comment>
    <comment ref="C245" authorId="0">
      <text>
        <t>2Q26EarningsSupplement.pdf | Segment schedules - Credit quality | 15</t>
      </text>
    </comment>
    <comment ref="D245" authorId="0">
      <text>
        <t>2Q26EarningsSupplement.pdf | Segment schedules - Credit quality | 16</t>
      </text>
    </comment>
    <comment ref="E245" authorId="0">
      <text>
        <t>2Q26EarningsSupplement.pdf | Segment schedules - Credit quality | 13</t>
      </text>
    </comment>
    <comment ref="G245" authorId="0">
      <text>
        <t>2Q26EarningsSupplement.pdf | Segment schedules - Credit quality | 18</t>
      </text>
    </comment>
    <comment ref="H245" authorId="0">
      <text>
        <t>2Q26EarningsSupplement.pdf | Segment schedules - Credit quality | 14</t>
      </text>
    </comment>
    <comment ref="B249" authorId="0">
      <text>
        <t>1Q26EarningsSupplement.pdf | Segment schedules - Credit quality (1Q25 column, pre-2Q26 segment basis) | 1</t>
      </text>
    </comment>
    <comment ref="C249" authorId="0">
      <text>
        <t>2Q26EarningsSupplement.pdf | Segment schedules - Credit quality | (1)</t>
      </text>
    </comment>
    <comment ref="D249" authorId="0">
      <text>
        <t>2Q26EarningsSupplement.pdf | Segment schedules - Credit quality | 1</t>
      </text>
    </comment>
    <comment ref="E249" authorId="0">
      <text>
        <t>2Q26EarningsSupplement.pdf | Segment schedules - Credit quality | 1</t>
      </text>
    </comment>
    <comment ref="G249" authorId="0">
      <text>
        <t>2Q26EarningsSupplement.pdf | Segment schedules - Credit quality | 3</t>
      </text>
    </comment>
    <comment ref="H249" authorId="0">
      <text>
        <t>2Q26EarningsSupplement.pdf | Segment schedules - Credit quality | 2</t>
      </text>
    </comment>
    <comment ref="B253" authorId="0">
      <text>
        <t>1Q26EarningsSupplement.pdf | Segment schedules - Credit quality (1Q25 column, pre-2Q26 segment basis) | 0</t>
      </text>
    </comment>
    <comment ref="C253" authorId="0">
      <text>
        <t>2Q26EarningsSupplement.pdf | Segment schedules - Credit quality | (1)</t>
      </text>
    </comment>
    <comment ref="D253" authorId="0">
      <text>
        <t>2Q26EarningsSupplement.pdf | Segment schedules - Credit quality | (1)</t>
      </text>
    </comment>
    <comment ref="E253" authorId="0">
      <text>
        <t>2Q26EarningsSupplement.pdf | Segment schedules - Credit quality | (2)</t>
      </text>
    </comment>
    <comment ref="G253" authorId="0">
      <text>
        <t>2Q26EarningsSupplement.pdf | Segment schedules - Credit quality | (1)</t>
      </text>
    </comment>
    <comment ref="H253" authorId="0">
      <text>
        <t>2Q26EarningsSupplement.pdf | Segment schedules - Credit quality | 0</t>
      </text>
    </comment>
    <comment ref="B257" authorId="0">
      <text>
        <t>1Q26EarningsSupplement.pdf | Segment schedules - Credit quality (1Q25 column, pre-2Q26 segment basis) | 62</t>
      </text>
    </comment>
    <comment ref="C257" authorId="0">
      <text>
        <t>2Q26EarningsSupplement.pdf | Segment schedules - Credit quality | 53</t>
      </text>
    </comment>
    <comment ref="D257" authorId="0">
      <text>
        <t>2Q26EarningsSupplement.pdf | Segment schedules - Credit quality | 58</t>
      </text>
    </comment>
    <comment ref="E257" authorId="0">
      <text>
        <t>2Q26EarningsSupplement.pdf | Segment schedules - Credit quality | 67</t>
      </text>
    </comment>
    <comment ref="G257" authorId="0">
      <text>
        <t>2Q26EarningsSupplement.pdf | Segment schedules - Credit quality | 68</t>
      </text>
    </comment>
    <comment ref="H257" authorId="0">
      <text>
        <t>2Q26EarningsSupplement.pdf | Segment schedules - Credit quality | 59</t>
      </text>
    </comment>
    <comment ref="B268" authorId="0">
      <text>
        <t>1Q26EarningsSupplement.pdf | Segment schedules - Income statement (1Q25 column, pre-2Q26 segment basis) | 62</t>
      </text>
    </comment>
    <comment ref="C268" authorId="0">
      <text>
        <t>2Q26EarningsSupplement.pdf | Segment schedules - Income statement | 37</t>
      </text>
    </comment>
    <comment ref="D268" authorId="0">
      <text>
        <t>2Q26EarningsSupplement.pdf | Segment schedules - Income statement | 62</t>
      </text>
    </comment>
    <comment ref="E268" authorId="0">
      <text>
        <t>2Q26EarningsSupplement.pdf | Segment schedules - Income statement | 76</t>
      </text>
    </comment>
    <comment ref="G268" authorId="0">
      <text>
        <t>2Q26EarningsSupplement.pdf | Segment schedules - Income statement | 72</t>
      </text>
    </comment>
    <comment ref="H268" authorId="0">
      <text>
        <t>2Q26EarningsSupplement.pdf | Segment schedules - Income statement | 78</t>
      </text>
    </comment>
    <comment ref="B273" authorId="0">
      <text>
        <t>1Q26EarningsSupplement.pdf | Segment schedules - Income statement (1Q25 column, pre-2Q26 segment basis) | 199</t>
      </text>
    </comment>
    <comment ref="C273" authorId="0">
      <text>
        <t>2Q26EarningsSupplement.pdf | Segment schedules - Income statement | 206</t>
      </text>
    </comment>
    <comment ref="D273" authorId="0">
      <text>
        <t>2Q26EarningsSupplement.pdf | Segment schedules - Income statement | 203</t>
      </text>
    </comment>
    <comment ref="E273" authorId="0">
      <text>
        <t>2Q26EarningsSupplement.pdf | Segment schedules - Income statement | 161</t>
      </text>
    </comment>
    <comment ref="G273" authorId="0">
      <text>
        <t>2Q26EarningsSupplement.pdf | Segment schedules - Income statement | 190</t>
      </text>
    </comment>
    <comment ref="H273" authorId="0">
      <text>
        <t>2Q26EarningsSupplement.pdf | Segment schedules - Income statement | 196</t>
      </text>
    </comment>
    <comment ref="B280" authorId="0">
      <text>
        <t>1Q26EarningsSupplement.pdf | Segment schedules - Credit quality (1Q25 column, pre-2Q26 segment basis) | 406</t>
      </text>
    </comment>
    <comment ref="C280" authorId="0">
      <text>
        <t>2Q26EarningsSupplement.pdf | Segment schedules - Credit quality | 412</t>
      </text>
    </comment>
    <comment ref="D280" authorId="0">
      <text>
        <t>2Q26EarningsSupplement.pdf | Segment schedules - Credit quality | 417</t>
      </text>
    </comment>
    <comment ref="E280" authorId="0">
      <text>
        <t>2Q26EarningsSupplement.pdf | Segment schedules - Credit quality | 437</t>
      </text>
    </comment>
    <comment ref="G280" authorId="0">
      <text>
        <t>2Q26EarningsSupplement.pdf | Segment schedules - Credit quality | 442</t>
      </text>
    </comment>
    <comment ref="H280" authorId="0">
      <text>
        <t>2Q26EarningsSupplement.pdf | Segment schedules - Credit quality | 453</t>
      </text>
    </comment>
    <comment ref="B284" authorId="0">
      <text>
        <t>1Q26EarningsSupplement.pdf | Segment schedules - Other information (1Q25 column, pre-2Q26 segment basis) | 1,141</t>
      </text>
    </comment>
    <comment ref="C284" authorId="0">
      <text>
        <t>2Q26EarningsSupplement.pdf | Segment schedules - Other information | 1,367</t>
      </text>
    </comment>
    <comment ref="D284" authorId="0">
      <text>
        <t>2Q26EarningsSupplement.pdf | Segment schedules - Other information | 1,660</t>
      </text>
    </comment>
    <comment ref="E284" authorId="0">
      <text>
        <t>2Q26EarningsSupplement.pdf | Segment schedules - Other information | 1,435</t>
      </text>
    </comment>
    <comment ref="G284" authorId="0">
      <text>
        <t>2Q26EarningsSupplement.pdf | Segment schedules - Other information | 1,681</t>
      </text>
    </comment>
    <comment ref="H284" authorId="0">
      <text>
        <t>2Q26EarningsSupplement.pdf | Segment schedules - Other information | 2,203</t>
      </text>
    </comment>
    <comment ref="B287" authorId="0">
      <text>
        <t>1Q26EarningsSupplement.pdf | Segment schedules - Other information (1Q25 column, pre-2Q26 segment basis) | 1,499</t>
      </text>
    </comment>
    <comment ref="C287" authorId="0">
      <text>
        <t>2Q26EarningsSupplement.pdf | Segment schedules - Other information | 1,935</t>
      </text>
    </comment>
    <comment ref="D287" authorId="0">
      <text>
        <t>2Q26EarningsSupplement.pdf | Segment schedules - Other information | 1,836</t>
      </text>
    </comment>
    <comment ref="E287" authorId="0">
      <text>
        <t>2Q26EarningsSupplement.pdf | Segment schedules - Other information | 1,613</t>
      </text>
    </comment>
    <comment ref="G287" authorId="0">
      <text>
        <t>2Q26EarningsSupplement.pdf | Segment schedules - Other information | 1,737</t>
      </text>
    </comment>
    <comment ref="H287" authorId="0">
      <text>
        <t>2Q26EarningsSupplement.pdf | Segment schedules - Other information | 2,166</t>
      </text>
    </comment>
    <comment ref="B290" authorId="0">
      <text>
        <t>1Q26EarningsSupplement.pdf | Segment schedules - Other information (1Q25 column, pre-2Q26 segment basis) | 817</t>
      </text>
    </comment>
    <comment ref="C290" authorId="0">
      <text>
        <t>2Q26EarningsSupplement.pdf | Segment schedules - Other information | 1,004</t>
      </text>
    </comment>
    <comment ref="D290" authorId="0">
      <text>
        <t>2Q26EarningsSupplement.pdf | Segment schedules - Other information | 1,133</t>
      </text>
    </comment>
    <comment ref="E290" authorId="0">
      <text>
        <t>2Q26EarningsSupplement.pdf | Segment schedules - Other information | 1,196</t>
      </text>
    </comment>
    <comment ref="G290" authorId="0">
      <text>
        <t>2Q26EarningsSupplement.pdf | Segment schedules - Other information | 1,595</t>
      </text>
    </comment>
    <comment ref="H290" authorId="0">
      <text>
        <t>2Q26EarningsSupplement.pdf | Segment schedules - Other information | 1,997</t>
      </text>
    </comment>
    <comment ref="B295" authorId="0">
      <text>
        <t>1Q26EarningsSupplement.pdf | Segment schedules - Other information (1Q25 column, pre-2Q26 segment basis) | 5,296</t>
      </text>
    </comment>
    <comment ref="C295" authorId="0">
      <text>
        <t>2Q26EarningsSupplement.pdf | Segment schedules - Other information | 5,093</t>
      </text>
    </comment>
    <comment ref="D295" authorId="0">
      <text>
        <t>2Q26EarningsSupplement.pdf | Segment schedules - Other information | 4,861</t>
      </text>
    </comment>
    <comment ref="E295" authorId="0">
      <text>
        <t>2Q26EarningsSupplement.pdf | Segment schedules - Other information | 4,662</t>
      </text>
    </comment>
    <comment ref="G295" authorId="0">
      <text>
        <t>2Q26EarningsSupplement.pdf | Segment schedules - Other information | 4,471</t>
      </text>
    </comment>
    <comment ref="H295" authorId="0">
      <text>
        <t>2Q26EarningsSupplement.pdf | Segment schedules - Other information | 4,287</t>
      </text>
    </comment>
    <comment ref="B298" authorId="0">
      <text>
        <t>1Q26EarningsSupplement.pdf | Segment schedules - Other information (1Q25 column, pre-2Q26 segment basis) | 2,492</t>
      </text>
    </comment>
    <comment ref="C298" authorId="0">
      <text>
        <t>2Q26EarningsSupplement.pdf | Segment schedules - Other information | 2,621</t>
      </text>
    </comment>
    <comment ref="D298" authorId="0">
      <text>
        <t>2Q26EarningsSupplement.pdf | Segment schedules - Other information | 2,712</t>
      </text>
    </comment>
    <comment ref="E298" authorId="0">
      <text>
        <t>2Q26EarningsSupplement.pdf | Segment schedules - Other information | 2,754</t>
      </text>
    </comment>
    <comment ref="G298" authorId="0">
      <text>
        <t>2Q26EarningsSupplement.pdf | Segment schedules - Other information | 2,787</t>
      </text>
    </comment>
    <comment ref="H298" authorId="0">
      <text>
        <t>2Q26EarningsSupplement.pdf | Segment schedules - Other information | 2,807</t>
      </text>
    </comment>
    <comment ref="B301" authorId="0">
      <text>
        <t>1Q26EarningsSupplement.pdf | Segment schedules - Other information (1Q25 column, pre-2Q26 segment basis) | 8,628</t>
      </text>
    </comment>
    <comment ref="C301" authorId="0">
      <text>
        <t>2Q26EarningsSupplement.pdf | Segment schedules - Other information | 8,625</t>
      </text>
    </comment>
    <comment ref="D301" authorId="0">
      <text>
        <t>2Q26EarningsSupplement.pdf | Segment schedules - Other information | 8,646</t>
      </text>
    </comment>
    <comment ref="E301" authorId="0">
      <text>
        <t>2Q26EarningsSupplement.pdf | Segment schedules - Other information | 8,701</t>
      </text>
    </comment>
    <comment ref="G301" authorId="0">
      <text>
        <t>2Q26EarningsSupplement.pdf | Segment schedules - Other information | 8,694</t>
      </text>
    </comment>
    <comment ref="H301" authorId="0">
      <text>
        <t>2Q26EarningsSupplement.pdf | Segment schedules - Other information | 8,713</t>
      </text>
    </comment>
    <comment ref="B306" authorId="0">
      <text>
        <t>1Q26EarningsSupplement.pdf | Segment schedules - Other information (1Q25 column, pre-2Q26 segment basis) | 2,117</t>
      </text>
    </comment>
    <comment ref="C306" authorId="0">
      <text>
        <t>2Q26EarningsSupplement.pdf | Segment schedules - Other information | 2,081</t>
      </text>
    </comment>
    <comment ref="D306" authorId="0">
      <text>
        <t>2Q26EarningsSupplement.pdf | Segment schedules - Other information | 2,080</t>
      </text>
    </comment>
    <comment ref="E306" authorId="0">
      <text>
        <t>2Q26EarningsSupplement.pdf | Segment schedules - Other information | 2,075</t>
      </text>
    </comment>
    <comment ref="G306" authorId="0">
      <text>
        <t>2Q26EarningsSupplement.pdf | Segment schedules - Other information | 2,066</t>
      </text>
    </comment>
    <comment ref="H306" authorId="0">
      <text>
        <t>2Q26EarningsSupplement.pdf | Segment schedules - Other information | 2,061</t>
      </text>
    </comment>
    <comment ref="B309" authorId="0">
      <text>
        <t>1Q26EarningsSupplement.pdf | Segment schedules - Other information (1Q25 column, pre-2Q26 segment basis) | 4,476</t>
      </text>
    </comment>
    <comment ref="C309" authorId="0">
      <text>
        <t>2Q26EarningsSupplement.pdf | Segment schedules - Other information | 4,320</t>
      </text>
    </comment>
    <comment ref="D309" authorId="0">
      <text>
        <t>2Q26EarningsSupplement.pdf | Segment schedules - Other information | 4,374</t>
      </text>
    </comment>
    <comment ref="E309" authorId="0">
      <text>
        <t>2Q26EarningsSupplement.pdf | Segment schedules - Other information | 4,428</t>
      </text>
    </comment>
    <comment ref="G309" authorId="0">
      <text>
        <t>2Q26EarningsSupplement.pdf | Segment schedules - Other information | 4,458</t>
      </text>
    </comment>
    <comment ref="H309" authorId="0">
      <text>
        <t>2Q26EarningsSupplement.pdf | Segment schedules - Other information | 4,457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B10" authorId="0">
      <text>
        <t>1Q26EarningsSupplement.pdf | Segment schedules - Other information (1Q25 column, pre-2Q26 segment basis) | 34,960</t>
      </text>
    </comment>
    <comment ref="C10" authorId="0">
      <text>
        <t>2Q26EarningsSupplement.pdf | Segment schedules - Other information | 38,132</t>
      </text>
    </comment>
    <comment ref="D10" authorId="0">
      <text>
        <t>2Q26EarningsSupplement.pdf | Segment schedules - Other information | 38,581</t>
      </text>
    </comment>
    <comment ref="E10" authorId="0">
      <text>
        <t>2Q26EarningsSupplement.pdf | Segment schedules - Other information | 39,651</t>
      </text>
    </comment>
    <comment ref="G10" authorId="0">
      <text>
        <t>2Q26EarningsSupplement.pdf | Segment schedules - Other information | 36,999</t>
      </text>
    </comment>
    <comment ref="H10" authorId="0">
      <text>
        <t>2Q26EarningsSupplement.pdf | Segment schedules - Other information | 41,000</t>
      </text>
    </comment>
    <comment ref="B13" authorId="0">
      <text>
        <t>1Q26EarningsSupplement.pdf | Segment schedules - Other information (1Q25 column, pre-2Q26 segment basis) | 24,501</t>
      </text>
    </comment>
    <comment ref="C13" authorId="0">
      <text>
        <t>2Q26EarningsSupplement.pdf | Segment schedules - Other information | 26,264</t>
      </text>
    </comment>
    <comment ref="D13" authorId="0">
      <text>
        <t>2Q26EarningsSupplement.pdf | Segment schedules - Other information | 26,327</t>
      </text>
    </comment>
    <comment ref="E13" authorId="0">
      <text>
        <t>2Q26EarningsSupplement.pdf | Segment schedules - Other information | 26,894</t>
      </text>
    </comment>
    <comment ref="G13" authorId="0">
      <text>
        <t>2Q26EarningsSupplement.pdf | Segment schedules - Other information | 26,072</t>
      </text>
    </comment>
    <comment ref="H13" authorId="0">
      <text>
        <t>2Q26EarningsSupplement.pdf | Segment schedules - Other information | 28,312</t>
      </text>
    </comment>
    <comment ref="B16" authorId="0">
      <text>
        <t>1Q26EarningsSupplement.pdf | Segment schedules - Other information (1Q25 column, pre-2Q26 segment basis) | 1,529</t>
      </text>
    </comment>
    <comment ref="C16" authorId="0">
      <text>
        <t>2Q26EarningsSupplement.pdf | Segment schedules - Other information | 1,556</t>
      </text>
    </comment>
    <comment ref="D16" authorId="0">
      <text>
        <t>2Q26EarningsSupplement.pdf | Segment schedules - Other information | 1,609</t>
      </text>
    </comment>
    <comment ref="E16" authorId="0">
      <text>
        <t>2Q26EarningsSupplement.pdf | Segment schedules - Other information | 2,080</t>
      </text>
    </comment>
    <comment ref="G16" authorId="0">
      <text>
        <t>2Q26EarningsSupplement.pdf | Segment schedules - Other information | 1,920</t>
      </text>
    </comment>
    <comment ref="H16" authorId="0">
      <text>
        <t>2Q26EarningsSupplement.pdf | Segment schedules - Other information | 1,961</t>
      </text>
    </comment>
    <comment ref="B19" authorId="0">
      <text>
        <t>1Q26EarningsSupplement.pdf | Segment schedules - Other information (1Q25 column, pre-2Q26 segment basis) | 21,612</t>
      </text>
    </comment>
    <comment ref="C19" authorId="0">
      <text>
        <t>2Q26EarningsSupplement.pdf | Segment schedules - Other information | 22,317</t>
      </text>
    </comment>
    <comment ref="D19" authorId="0">
      <text>
        <t>2Q26EarningsSupplement.pdf | Segment schedules - Other information | 23,312</t>
      </text>
    </comment>
    <comment ref="E19" authorId="0">
      <text>
        <t>2Q26EarningsSupplement.pdf | Segment schedules - Other information | 21,413</t>
      </text>
    </comment>
    <comment ref="G19" authorId="0">
      <text>
        <t>2Q26EarningsSupplement.pdf | Segment schedules - Other information | 22,688</t>
      </text>
    </comment>
    <comment ref="H19" authorId="0">
      <text>
        <t>2Q26EarningsSupplement.pdf | Segment schedules - Other information | 25,227</t>
      </text>
    </comment>
    <comment ref="B22" authorId="0">
      <text>
        <t>1Q26EarningsSupplement.pdf | Segment schedules - Other information (1Q25 column, pre-2Q26 segment basis) | 143,505</t>
      </text>
    </comment>
    <comment ref="C22" authorId="0">
      <text>
        <t>2Q26EarningsSupplement.pdf | Segment schedules - Other information | 155,853</t>
      </text>
    </comment>
    <comment ref="D22" authorId="0">
      <text>
        <t>2Q26EarningsSupplement.pdf | Segment schedules - Other information | 157,540</t>
      </text>
    </comment>
    <comment ref="E22" authorId="0">
      <text>
        <t>2Q26EarningsSupplement.pdf | Segment schedules - Other information | 145,144</t>
      </text>
    </comment>
    <comment ref="G22" authorId="0">
      <text>
        <t>2Q26EarningsSupplement.pdf | Segment schedules - Other information | 145,093</t>
      </text>
    </comment>
    <comment ref="H22" authorId="0">
      <text>
        <t>2Q26EarningsSupplement.pdf | Segment schedules - Other information | 155,934</t>
      </text>
    </comment>
    <comment ref="B28" authorId="0">
      <text>
        <t>1Q26EarningsSupplement.pdf | Segment schedules - Other information (1Q25 column, pre-2Q26 segment basis) | 2,015</t>
      </text>
    </comment>
    <comment ref="C28" authorId="0">
      <text>
        <t>2Q26EarningsSupplement.pdf | Segment schedules - Other information | 2,260</t>
      </text>
    </comment>
    <comment ref="D28" authorId="0">
      <text>
        <t>2Q26EarningsSupplement.pdf | Segment schedules - Other information | 2,305</t>
      </text>
    </comment>
    <comment ref="E28" authorId="0">
      <text>
        <t>2Q26EarningsSupplement.pdf | Segment schedules - Other information | 2,195</t>
      </text>
    </comment>
    <comment ref="G28" authorId="0">
      <text>
        <t>2Q26EarningsSupplement.pdf | Segment schedules - Other information | 2,049</t>
      </text>
    </comment>
    <comment ref="H28" authorId="0">
      <text>
        <t>2Q26EarningsSupplement.pdf | Segment schedules - Other information | 2,259</t>
      </text>
    </comment>
    <comment ref="B36" authorId="0">
      <text>
        <t>1Q26EarningsSupplement.pdf | Segment schedules - Average balance sheet (1Q25 column, pre-2Q26 segment basis) | 6,388</t>
      </text>
    </comment>
    <comment ref="C36" authorId="0">
      <text>
        <t>2Q26EarningsSupplement.pdf | Segment schedules - Average balance sheet | 6,653</t>
      </text>
    </comment>
    <comment ref="D36" authorId="0">
      <text>
        <t>2Q26EarningsSupplement.pdf | Segment schedules - Average balance sheet | 6,750</t>
      </text>
    </comment>
    <comment ref="E36" authorId="0">
      <text>
        <t>2Q26EarningsSupplement.pdf | Segment schedules - Average balance sheet | 6,798</t>
      </text>
    </comment>
    <comment ref="G36" authorId="0">
      <text>
        <t>2Q26EarningsSupplement.pdf | Segment schedules - Average balance sheet | 6,541</t>
      </text>
    </comment>
    <comment ref="H36" authorId="0">
      <text>
        <t>2Q26EarningsSupplement.pdf | Segment schedules - Average balance sheet | 7,426</t>
      </text>
    </comment>
    <comment ref="B44" authorId="0">
      <text>
        <t>1Q26EarningsSupplement.pdf | Segment schedules - Average balance sheet (1Q25 column, pre-2Q26 segment basis) | 35,083</t>
      </text>
    </comment>
    <comment ref="C44" authorId="0">
      <text>
        <t>2Q26EarningsSupplement.pdf | Segment schedules - Average balance sheet | 35,439</t>
      </text>
    </comment>
    <comment ref="D44" authorId="0">
      <text>
        <t>2Q26EarningsSupplement.pdf | Segment schedules - Average balance sheet | 36,079</t>
      </text>
    </comment>
    <comment ref="E44" authorId="0">
      <text>
        <t>2Q26EarningsSupplement.pdf | Segment schedules - Average balance sheet | 37,019</t>
      </text>
    </comment>
    <comment ref="G44" authorId="0">
      <text>
        <t>2Q26EarningsSupplement.pdf | Segment schedules - Average balance sheet | 37,341</t>
      </text>
    </comment>
    <comment ref="H44" authorId="0">
      <text>
        <t>2Q26EarningsSupplement.pdf | Segment schedules - Average balance sheet | 38,403</t>
      </text>
    </comment>
    <comment ref="B48" authorId="0">
      <text>
        <t>1Q26EarningsSupplement.pdf | Segment schedules - Average balance sheet (1Q25 column, pre-2Q26 segment basis) | 136</t>
      </text>
    </comment>
    <comment ref="C48" authorId="0">
      <text>
        <t>2Q26EarningsSupplement.pdf | Segment schedules - Average balance sheet | 132</t>
      </text>
    </comment>
    <comment ref="D48" authorId="0">
      <text>
        <t>2Q26EarningsSupplement.pdf | Segment schedules - Average balance sheet | 128</t>
      </text>
    </comment>
    <comment ref="E48" authorId="0">
      <text>
        <t>2Q26EarningsSupplement.pdf | Segment schedules - Average balance sheet | 126</t>
      </text>
    </comment>
    <comment ref="G48" authorId="0">
      <text>
        <t>2Q26EarningsSupplement.pdf | Segment schedules - Average balance sheet | 121</t>
      </text>
    </comment>
    <comment ref="H48" authorId="0">
      <text>
        <t>2Q26EarningsSupplement.pdf | Segment schedules - Average balance sheet | 118</t>
      </text>
    </comment>
    <comment ref="B55" authorId="0">
      <text>
        <t>1Q26EarningsSupplement.pdf | Segment schedules - Average balance sheet (1Q25 column, pre-2Q26 segment basis) | 57</t>
      </text>
    </comment>
    <comment ref="C55" authorId="0">
      <text>
        <t>2Q26EarningsSupplement.pdf | Segment schedules - Average balance sheet | 5</t>
      </text>
    </comment>
    <comment ref="D55" authorId="0">
      <text>
        <t>2Q26EarningsSupplement.pdf | Segment schedules - Average balance sheet | 5</t>
      </text>
    </comment>
    <comment ref="E55" authorId="0">
      <text>
        <t>2Q26EarningsSupplement.pdf | Segment schedules - Average balance sheet | 5</t>
      </text>
    </comment>
    <comment ref="G55" authorId="0">
      <text>
        <t>2Q26EarningsSupplement.pdf | Segment schedules - Average balance sheet | 5</t>
      </text>
    </comment>
    <comment ref="H55" authorId="0">
      <text>
        <t>2Q26EarningsSupplement.pdf | Segment schedules - Average balance sheet | 7</t>
      </text>
    </comment>
    <comment ref="B62" authorId="0">
      <text>
        <t>1Q26EarningsSupplement.pdf | Segment schedules - Average balance sheet (1Q25 column, pre-2Q26 segment basis) | 2,616</t>
      </text>
    </comment>
    <comment ref="C62" authorId="0">
      <text>
        <t>2Q26EarningsSupplement.pdf | Segment schedules - Average balance sheet | 2,439</t>
      </text>
    </comment>
    <comment ref="D62" authorId="0">
      <text>
        <t>2Q26EarningsSupplement.pdf | Segment schedules - Average balance sheet | 2,370</t>
      </text>
    </comment>
    <comment ref="E62" authorId="0">
      <text>
        <t>2Q26EarningsSupplement.pdf | Segment schedules - Average balance sheet | 2,432</t>
      </text>
    </comment>
    <comment ref="G62" authorId="0">
      <text>
        <t>2Q26EarningsSupplement.pdf | Segment schedules - Average balance sheet | 2,425</t>
      </text>
    </comment>
    <comment ref="H62" authorId="0">
      <text>
        <t>2Q26EarningsSupplement.pdf | Segment schedules - Average balance sheet | 2,390</t>
      </text>
    </comment>
    <comment ref="B66" authorId="0">
      <text>
        <t>1Q26EarningsSupplement.pdf | Segment schedules - Average balance sheet (1Q25 column, pre-2Q26 segment basis) | 1</t>
      </text>
    </comment>
    <comment ref="C66" authorId="0">
      <text>
        <t>2Q26EarningsSupplement.pdf | Segment schedules - Average balance sheet | 1</t>
      </text>
    </comment>
    <comment ref="D66" authorId="0">
      <text>
        <t>2Q26EarningsSupplement.pdf | Segment schedules - Average balance sheet | 0</t>
      </text>
    </comment>
    <comment ref="E66" authorId="0">
      <text>
        <t>2Q26EarningsSupplement.pdf | Segment schedules - Average balance sheet | 1</t>
      </text>
    </comment>
    <comment ref="G66" authorId="0">
      <text>
        <t>2Q26EarningsSupplement.pdf | Segment schedules - Average balance sheet | 1</t>
      </text>
    </comment>
    <comment ref="H66" authorId="0">
      <text>
        <t>2Q26EarningsSupplement.pdf | Segment schedules - Average balance sheet | 0</t>
      </text>
    </comment>
    <comment ref="B69" authorId="0">
      <text>
        <t>1Q26EarningsSupplement.pdf | Segment schedules - Average balance sheet (1Q25 column, pre-2Q26 segment basis) | 92</t>
      </text>
    </comment>
    <comment ref="C69" authorId="0">
      <text>
        <t>2Q26EarningsSupplement.pdf | Segment schedules - Average balance sheet | 93</t>
      </text>
    </comment>
    <comment ref="D69" authorId="0">
      <text>
        <t>2Q26EarningsSupplement.pdf | Segment schedules - Average balance sheet | 94</t>
      </text>
    </comment>
    <comment ref="E69" authorId="0">
      <text>
        <t>2Q26EarningsSupplement.pdf | Segment schedules - Average balance sheet | 93</t>
      </text>
    </comment>
    <comment ref="G69" authorId="0">
      <text>
        <t>2Q26EarningsSupplement.pdf | Segment schedules - Average balance sheet | 92</t>
      </text>
    </comment>
    <comment ref="H69" authorId="0">
      <text>
        <t>2Q26EarningsSupplement.pdf | Segment schedules - Average balance sheet | 92</t>
      </text>
    </comment>
    <comment ref="B73" authorId="0">
      <text>
        <t>1Q26EarningsSupplement.pdf | Segment schedules - Average balance sheet (1Q25 column, pre-2Q26 segment basis) | 1</t>
      </text>
    </comment>
    <comment ref="C73" authorId="0">
      <text>
        <t>2Q26EarningsSupplement.pdf | Segment schedules - Average balance sheet | 1</t>
      </text>
    </comment>
    <comment ref="D73" authorId="0">
      <text>
        <t>2Q26EarningsSupplement.pdf | Segment schedules - Average balance sheet | 1</t>
      </text>
    </comment>
    <comment ref="E73" authorId="0">
      <text>
        <t>2Q26EarningsSupplement.pdf | Segment schedules - Average balance sheet | 1</t>
      </text>
    </comment>
    <comment ref="G73" authorId="0">
      <text>
        <t>2Q26EarningsSupplement.pdf | Segment schedules - Average balance sheet | 1</t>
      </text>
    </comment>
    <comment ref="H73" authorId="0">
      <text>
        <t>2Q26EarningsSupplement.pdf | Segment schedules - Average balance sheet | 1</t>
      </text>
    </comment>
    <comment ref="B103" authorId="0">
      <text>
        <t>1Q26EarningsSupplement.pdf | Segment schedules - Income statement | 7.22</t>
      </text>
    </comment>
    <comment ref="C103" authorId="0">
      <text>
        <t>2Q26EarningsSupplement.pdf | Segment schedules - Income statement | 6.93</t>
      </text>
    </comment>
    <comment ref="D103" authorId="0">
      <text>
        <t>2Q26EarningsSupplement.pdf | Segment schedules - Income statement | 7.21</t>
      </text>
    </comment>
    <comment ref="E103" authorId="0">
      <text>
        <t>2Q26EarningsSupplement.pdf | Segment schedules - Income statement | 7.17</t>
      </text>
    </comment>
    <comment ref="G103" authorId="0">
      <text>
        <t>2Q26EarningsSupplement.pdf | Segment schedules - Income statement | 7.32</t>
      </text>
    </comment>
    <comment ref="H103" authorId="0">
      <text>
        <t>2Q26EarningsSupplement.pdf | Segment schedules - Income statement | 6.76</t>
      </text>
    </comment>
    <comment ref="B106" authorId="0">
      <text>
        <t>1Q26EarningsSupplement.pdf | Segment schedules - Income statement (1Q25 column, pre-2Q26 segment basis) | 742</t>
      </text>
    </comment>
    <comment ref="C106" authorId="0">
      <text>
        <t>2Q26EarningsSupplement.pdf | Segment schedules - Income statement | 730</t>
      </text>
    </comment>
    <comment ref="D106" authorId="0">
      <text>
        <t>2Q26EarningsSupplement.pdf | Segment schedules - Income statement | 781</t>
      </text>
    </comment>
    <comment ref="E106" authorId="0">
      <text>
        <t>2Q26EarningsSupplement.pdf | Segment schedules - Income statement | 794</t>
      </text>
    </comment>
    <comment ref="G106" authorId="0">
      <text>
        <t>2Q26EarningsSupplement.pdf | Segment schedules - Income statement | 794</t>
      </text>
    </comment>
    <comment ref="H106" authorId="0">
      <text>
        <t>2Q26EarningsSupplement.pdf | Segment schedules - Income statement | 774</t>
      </text>
    </comment>
    <comment ref="B114" authorId="0">
      <text>
        <t>1Q26EarningsSupplement.pdf | Segment schedules - Income statement (1Q25 column, pre-2Q26 segment basis) | 249</t>
      </text>
    </comment>
    <comment ref="C114" authorId="0">
      <text>
        <t>2Q26EarningsSupplement.pdf | Segment schedules - Income statement | 278</t>
      </text>
    </comment>
    <comment ref="D114" authorId="0">
      <text>
        <t>2Q26EarningsSupplement.pdf | Segment schedules - Income statement | 279</t>
      </text>
    </comment>
    <comment ref="E114" authorId="0">
      <text>
        <t>2Q26EarningsSupplement.pdf | Segment schedules - Income statement | 291</t>
      </text>
    </comment>
    <comment ref="G114" authorId="0">
      <text>
        <t>2Q26EarningsSupplement.pdf | Segment schedules - Income statement | 263</t>
      </text>
    </comment>
    <comment ref="H114" authorId="0">
      <text>
        <t>2Q26EarningsSupplement.pdf | Segment schedules - Income statement | 295</t>
      </text>
    </comment>
    <comment ref="B124" authorId="0">
      <text>
        <t>1Q26EarningsSupplement.pdf | Segment schedules - Income statement (1Q25 column, pre-2Q26 segment basis) | 213</t>
      </text>
    </comment>
    <comment ref="C124" authorId="0">
      <text>
        <t>2Q26EarningsSupplement.pdf | Segment schedules - Income statement | 221</t>
      </text>
    </comment>
    <comment ref="D124" authorId="0">
      <text>
        <t>2Q26EarningsSupplement.pdf | Segment schedules - Income statement | 220</t>
      </text>
    </comment>
    <comment ref="E124" authorId="0">
      <text>
        <t>2Q26EarningsSupplement.pdf | Segment schedules - Income statement | 217</t>
      </text>
    </comment>
    <comment ref="G124" authorId="0">
      <text>
        <t>2Q26EarningsSupplement.pdf | Segment schedules - Income statement | 217</t>
      </text>
    </comment>
    <comment ref="H124" authorId="0">
      <text>
        <t>2Q26EarningsSupplement.pdf | Segment schedules - Income statement | 247</t>
      </text>
    </comment>
    <comment ref="B134" authorId="0">
      <text>
        <t>1Q26EarningsSupplement.pdf | Segment schedules - Income statement (1Q25 column, pre-2Q26 segment basis) | 415</t>
      </text>
    </comment>
    <comment ref="C134" authorId="0">
      <text>
        <t>2Q26EarningsSupplement.pdf | Segment schedules - Income statement | 474</t>
      </text>
    </comment>
    <comment ref="D134" authorId="0">
      <text>
        <t>2Q26EarningsSupplement.pdf | Segment schedules - Income statement | 463</t>
      </text>
    </comment>
    <comment ref="E134" authorId="0">
      <text>
        <t>2Q26EarningsSupplement.pdf | Segment schedules - Income statement | 440</t>
      </text>
    </comment>
    <comment ref="G134" authorId="0">
      <text>
        <t>2Q26EarningsSupplement.pdf | Segment schedules - Income statement | 436</t>
      </text>
    </comment>
    <comment ref="H134" authorId="0">
      <text>
        <t>2Q26EarningsSupplement.pdf | Segment schedules - Income statement | 485</t>
      </text>
    </comment>
    <comment ref="B144" authorId="0">
      <text>
        <t>1Q26EarningsSupplement.pdf | Segment schedules - Income statement (1Q25 column, pre-2Q26 segment basis) | 35</t>
      </text>
    </comment>
    <comment ref="C144" authorId="0">
      <text>
        <t>2Q26EarningsSupplement.pdf | Segment schedules - Income statement | 11</t>
      </text>
    </comment>
    <comment ref="D144" authorId="0">
      <text>
        <t>2Q26EarningsSupplement.pdf | Segment schedules - Income statement | 11</t>
      </text>
    </comment>
    <comment ref="E144" authorId="0">
      <text>
        <t>2Q26EarningsSupplement.pdf | Segment schedules - Income statement | 21</t>
      </text>
    </comment>
    <comment ref="G144" authorId="0">
      <text>
        <t>2Q26EarningsSupplement.pdf | Segment schedules - Income statement | 9</t>
      </text>
    </comment>
    <comment ref="H144" authorId="0">
      <text>
        <t>2Q26EarningsSupplement.pdf | Segment schedules - Income statement | 11</t>
      </text>
    </comment>
    <comment ref="B157" authorId="0">
      <text>
        <t>1Q26EarningsSupplement.pdf | Segment schedules - Income statement (1Q25 column, pre-2Q26 segment basis) | 912</t>
      </text>
    </comment>
    <comment ref="C157" authorId="0">
      <text>
        <t>2Q26EarningsSupplement.pdf | Segment schedules - Income statement | 984</t>
      </text>
    </comment>
    <comment ref="D157" authorId="0">
      <text>
        <t>2Q26EarningsSupplement.pdf | Segment schedules - Income statement | 973</t>
      </text>
    </comment>
    <comment ref="E157" authorId="0">
      <text>
        <t>2Q26EarningsSupplement.pdf | Segment schedules - Income statement | 969</t>
      </text>
    </comment>
    <comment ref="G157" authorId="0">
      <text>
        <t>2Q26EarningsSupplement.pdf | Segment schedules - Income statement | 925</t>
      </text>
    </comment>
    <comment ref="H157" authorId="0">
      <text>
        <t>2Q26EarningsSupplement.pdf | Segment schedules - Income statement | 1,038</t>
      </text>
    </comment>
    <comment ref="B174" authorId="0">
      <text>
        <t>1Q26EarningsSupplement.pdf | Segment schedules - Income statement (1Q25 column, pre-2Q26 segment basis) | 212</t>
      </text>
    </comment>
    <comment ref="C174" authorId="0">
      <text>
        <t>2Q26EarningsSupplement.pdf | Segment schedules - Income statement | 221</t>
      </text>
    </comment>
    <comment ref="D174" authorId="0">
      <text>
        <t>2Q26EarningsSupplement.pdf | Segment schedules - Income statement | 230</t>
      </text>
    </comment>
    <comment ref="E174" authorId="0">
      <text>
        <t>2Q26EarningsSupplement.pdf | Segment schedules - Income statement | 235</t>
      </text>
    </comment>
    <comment ref="G174" authorId="0">
      <text>
        <t>2Q26EarningsSupplement.pdf | Segment schedules - Income statement | 236</t>
      </text>
    </comment>
    <comment ref="H174" authorId="0">
      <text>
        <t>2Q26EarningsSupplement.pdf | Segment schedules - Income statement | 240</t>
      </text>
    </comment>
    <comment ref="B178" authorId="0">
      <text>
        <t>1Q26EarningsSupplement.pdf | Segment schedules - Income statement (1Q25 column, pre-2Q26 segment basis) | 18</t>
      </text>
    </comment>
    <comment ref="C178" authorId="0">
      <text>
        <t>2Q26EarningsSupplement.pdf | Segment schedules - Income statement | 20</t>
      </text>
    </comment>
    <comment ref="D178" authorId="0">
      <text>
        <t>2Q26EarningsSupplement.pdf | Segment schedules - Income statement | 20</t>
      </text>
    </comment>
    <comment ref="E178" authorId="0">
      <text>
        <t>2Q26EarningsSupplement.pdf | Segment schedules - Income statement | 21</t>
      </text>
    </comment>
    <comment ref="G178" authorId="0">
      <text>
        <t>2Q26EarningsSupplement.pdf | Segment schedules - Income statement | 18</t>
      </text>
    </comment>
    <comment ref="H178" authorId="0">
      <text>
        <t>2Q26EarningsSupplement.pdf | Segment schedules - Income statement | 19</t>
      </text>
    </comment>
    <comment ref="B182" authorId="0">
      <text>
        <t>1Q26EarningsSupplement.pdf | Segment schedules - Income statement (1Q25 column, pre-2Q26 segment basis) | 582</t>
      </text>
    </comment>
    <comment ref="C182" authorId="0">
      <text>
        <t>2Q26EarningsSupplement.pdf | Segment schedules - Income statement | 532</t>
      </text>
    </comment>
    <comment ref="D182" authorId="0">
      <text>
        <t>2Q26EarningsSupplement.pdf | Segment schedules - Income statement | 539</t>
      </text>
    </comment>
    <comment ref="E182" authorId="0">
      <text>
        <t>2Q26EarningsSupplement.pdf | Segment schedules - Income statement | 553</t>
      </text>
    </comment>
    <comment ref="G182" authorId="0">
      <text>
        <t>2Q26EarningsSupplement.pdf | Segment schedules - Income statement | 505</t>
      </text>
    </comment>
    <comment ref="H182" authorId="0">
      <text>
        <t>2Q26EarningsSupplement.pdf | Segment schedules - Income statement | 520</t>
      </text>
    </comment>
    <comment ref="B186" authorId="0">
      <text>
        <t>1Q26EarningsSupplement.pdf | Segment schedules - Income statement (1Q25 column, pre-2Q26 segment basis) | 216</t>
      </text>
    </comment>
    <comment ref="C186" authorId="0">
      <text>
        <t>2Q26EarningsSupplement.pdf | Segment schedules - Income statement | 243</t>
      </text>
    </comment>
    <comment ref="D186" authorId="0">
      <text>
        <t>2Q26EarningsSupplement.pdf | Segment schedules - Income statement | 243</t>
      </text>
    </comment>
    <comment ref="E186" authorId="0">
      <text>
        <t>2Q26EarningsSupplement.pdf | Segment schedules - Income statement | 280</t>
      </text>
    </comment>
    <comment ref="G186" authorId="0">
      <text>
        <t>2Q26EarningsSupplement.pdf | Segment schedules - Income statement | 250</t>
      </text>
    </comment>
    <comment ref="H186" authorId="0">
      <text>
        <t>2Q26EarningsSupplement.pdf | Segment schedules - Income statement | 348</t>
      </text>
    </comment>
    <comment ref="B199" authorId="0">
      <text>
        <t>1Q26EarningsSupplement.pdf | Segment schedules - Credit quality (1Q25 column, pre-2Q26 segment basis) | 1</t>
      </text>
    </comment>
    <comment ref="C199" authorId="0">
      <text>
        <t>2Q26EarningsSupplement.pdf | Segment schedules - Credit quality | 1</t>
      </text>
    </comment>
    <comment ref="D199" authorId="0">
      <text>
        <t>2Q26EarningsSupplement.pdf | Segment schedules - Credit quality | 0</t>
      </text>
    </comment>
    <comment ref="E199" authorId="0">
      <text>
        <t>2Q26EarningsSupplement.pdf | Segment schedules - Credit quality | 1</t>
      </text>
    </comment>
    <comment ref="G199" authorId="0">
      <text>
        <t>2Q26EarningsSupplement.pdf | Segment schedules - Credit quality | 1</t>
      </text>
    </comment>
    <comment ref="H199" authorId="0">
      <text>
        <t>2Q26EarningsSupplement.pdf | Segment schedules - Credit quality | 0</t>
      </text>
    </comment>
    <comment ref="B203" authorId="0">
      <text>
        <t>1Q26EarningsSupplement.pdf | Segment schedules - Credit quality (1Q25 column, pre-2Q26 segment basis) | 387</t>
      </text>
    </comment>
    <comment ref="C203" authorId="0">
      <text>
        <t>2Q26EarningsSupplement.pdf | Segment schedules - Credit quality | 380</t>
      </text>
    </comment>
    <comment ref="D203" authorId="0">
      <text>
        <t>2Q26EarningsSupplement.pdf | Segment schedules - Credit quality | 346</t>
      </text>
    </comment>
    <comment ref="E203" authorId="0">
      <text>
        <t>2Q26EarningsSupplement.pdf | Segment schedules - Credit quality | 358</t>
      </text>
    </comment>
    <comment ref="G203" authorId="0">
      <text>
        <t>2Q26EarningsSupplement.pdf | Segment schedules - Credit quality | 365</t>
      </text>
    </comment>
    <comment ref="H203" authorId="0">
      <text>
        <t>2Q26EarningsSupplement.pdf | Segment schedules - Credit quality | 367</t>
      </text>
    </comment>
    <comment ref="B207" authorId="0">
      <text>
        <t>1Q26EarningsSupplement.pdf | Segment schedules - Credit quality (1Q25 column, pre-2Q26 segment basis) | 1</t>
      </text>
    </comment>
    <comment ref="C207" authorId="0">
      <text>
        <t>2Q26EarningsSupplement.pdf | Segment schedules - Credit quality | 0</t>
      </text>
    </comment>
    <comment ref="D207" authorId="0">
      <text>
        <t>2Q26EarningsSupplement.pdf | Segment schedules - Credit quality | 1</t>
      </text>
    </comment>
    <comment ref="E207" authorId="0">
      <text>
        <t>2Q26EarningsSupplement.pdf | Segment schedules - Credit quality | 1</t>
      </text>
    </comment>
    <comment ref="G207" authorId="0">
      <text>
        <t>2Q26EarningsSupplement.pdf | Segment schedules - Credit quality | 1</t>
      </text>
    </comment>
    <comment ref="H207" authorId="0">
      <text>
        <t>2Q26EarningsSupplement.pdf | Segment schedules - Credit quality | 1</t>
      </text>
    </comment>
    <comment ref="B220" authorId="0">
      <text>
        <t>1Q26EarningsSupplement.pdf | Segment schedules - Income statement (1Q25 column, pre-2Q26 segment basis) | 317</t>
      </text>
    </comment>
    <comment ref="C220" authorId="0">
      <text>
        <t>2Q26EarningsSupplement.pdf | Segment schedules - Income statement | 384</t>
      </text>
    </comment>
    <comment ref="D220" authorId="0">
      <text>
        <t>2Q26EarningsSupplement.pdf | Segment schedules - Income statement | 409</t>
      </text>
    </comment>
    <comment ref="E220" authorId="0">
      <text>
        <t>2Q26EarningsSupplement.pdf | Segment schedules - Income statement | 461</t>
      </text>
    </comment>
    <comment ref="G220" authorId="0">
      <text>
        <t>2Q26EarningsSupplement.pdf | Segment schedules - Income statement | 347</t>
      </text>
    </comment>
    <comment ref="H220" authorId="0">
      <text>
        <t>2Q26EarningsSupplement.pdf | Segment schedules - Income statement | 385</t>
      </text>
    </comment>
    <comment ref="B225" authorId="0">
      <text>
        <t>1Q26EarningsSupplement.pdf | Segment schedules - Income statement (1Q25 column, pre-2Q26 segment basis) | 77</t>
      </text>
    </comment>
    <comment ref="C225" authorId="0">
      <text>
        <t>2Q26EarningsSupplement.pdf | Segment schedules - Income statement | 79</t>
      </text>
    </comment>
    <comment ref="D225" authorId="0">
      <text>
        <t>2Q26EarningsSupplement.pdf | Segment schedules - Income statement | 78</t>
      </text>
    </comment>
    <comment ref="E225" authorId="0">
      <text>
        <t>2Q26EarningsSupplement.pdf | Segment schedules - Income statement | 53</t>
      </text>
    </comment>
    <comment ref="G225" authorId="0">
      <text>
        <t>2Q26EarningsSupplement.pdf | Segment schedules - Income statement | 91</t>
      </text>
    </comment>
    <comment ref="H225" authorId="0">
      <text>
        <t>2Q26EarningsSupplement.pdf | Segment schedules - Income statement | 75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B10" authorId="0">
      <text>
        <t>1Q26EarningsSupplement.pdf | Segment schedules - Average balance sheet (1Q25 column, pre-2Q26 segment basis) | 1,317</t>
      </text>
    </comment>
    <comment ref="C10" authorId="0">
      <text>
        <t>2Q26EarningsSupplement.pdf | Segment schedules - Average balance sheet | 1,258</t>
      </text>
    </comment>
    <comment ref="D10" authorId="0">
      <text>
        <t>2Q26EarningsSupplement.pdf | Segment schedules - Average balance sheet | 1,329</t>
      </text>
    </comment>
    <comment ref="E10" authorId="0">
      <text>
        <t>2Q26EarningsSupplement.pdf | Segment schedules - Average balance sheet | 1,346</t>
      </text>
    </comment>
    <comment ref="G10" authorId="0">
      <text>
        <t>2Q26EarningsSupplement.pdf | Segment schedules - Average balance sheet | 1,414</t>
      </text>
    </comment>
    <comment ref="H10" authorId="0">
      <text>
        <t>2Q26EarningsSupplement.pdf | Segment schedules - Average balance sheet | 1,564</t>
      </text>
    </comment>
    <comment ref="B14" authorId="0">
      <text>
        <t>1Q26EarningsSupplement.pdf | Segment schedules - Average balance sheet (1Q25 column, pre-2Q26 segment basis) | 7</t>
      </text>
    </comment>
    <comment ref="C14" authorId="0">
      <text>
        <t>2Q26EarningsSupplement.pdf | Segment schedules - Average balance sheet | 2</t>
      </text>
    </comment>
    <comment ref="D14" authorId="0">
      <text>
        <t>2Q26EarningsSupplement.pdf | Segment schedules - Average balance sheet | 3</t>
      </text>
    </comment>
    <comment ref="E14" authorId="0">
      <text>
        <t>2Q26EarningsSupplement.pdf | Segment schedules - Average balance sheet | 2</t>
      </text>
    </comment>
    <comment ref="G14" authorId="0">
      <text>
        <t>2Q26EarningsSupplement.pdf | Segment schedules - Average balance sheet | 3</t>
      </text>
    </comment>
    <comment ref="H14" authorId="0">
      <text>
        <t>2Q26EarningsSupplement.pdf | Segment schedules - Average balance sheet | 5</t>
      </text>
    </comment>
    <comment ref="B21" authorId="0">
      <text>
        <t>1Q26EarningsSupplement.pdf | Segment schedules - Average balance sheet (1Q25 column, pre-2Q26 segment basis) | 216,225</t>
      </text>
    </comment>
    <comment ref="C21" authorId="0">
      <text>
        <t>2Q26EarningsSupplement.pdf | Segment schedules - Average balance sheet | 216,003</t>
      </text>
    </comment>
    <comment ref="D21" authorId="0">
      <text>
        <t>2Q26EarningsSupplement.pdf | Segment schedules - Average balance sheet | 224,122</t>
      </text>
    </comment>
    <comment ref="E21" authorId="0">
      <text>
        <t>2Q26EarningsSupplement.pdf | Segment schedules - Average balance sheet | 219,700</t>
      </text>
    </comment>
    <comment ref="G21" authorId="0">
      <text>
        <t>2Q26EarningsSupplement.pdf | Segment schedules - Average balance sheet | 212,810</t>
      </text>
    </comment>
    <comment ref="H21" authorId="0">
      <text>
        <t>2Q26EarningsSupplement.pdf | Segment schedules - Average balance sheet | 204,751</t>
      </text>
    </comment>
    <comment ref="B28" authorId="0">
      <text>
        <t>1Q26EarningsSupplement.pdf | Segment schedules - Average balance sheet (1Q25 column, pre-2Q26 segment basis) | 1,875</t>
      </text>
    </comment>
    <comment ref="C28" authorId="0">
      <text>
        <t>2Q26EarningsSupplement.pdf | Segment schedules - Average balance sheet | 1,716</t>
      </text>
    </comment>
    <comment ref="D28" authorId="0">
      <text>
        <t>2Q26EarningsSupplement.pdf | Segment schedules - Average balance sheet | 1,682</t>
      </text>
    </comment>
    <comment ref="E28" authorId="0">
      <text>
        <t>2Q26EarningsSupplement.pdf | Segment schedules - Average balance sheet | 1,900</t>
      </text>
    </comment>
    <comment ref="G28" authorId="0">
      <text>
        <t>2Q26EarningsSupplement.pdf | Segment schedules - Average balance sheet | 2,027</t>
      </text>
    </comment>
    <comment ref="H28" authorId="0">
      <text>
        <t>2Q26EarningsSupplement.pdf | Segment schedules - Average balance sheet | 1,712</t>
      </text>
    </comment>
    <comment ref="B32" authorId="0">
      <text>
        <t>1Q26EarningsSupplement.pdf | Segment schedules - Average balance sheet (1Q25 column, pre-2Q26 segment basis) | 8,721</t>
      </text>
    </comment>
    <comment ref="C32" authorId="0">
      <text>
        <t>2Q26EarningsSupplement.pdf | Segment schedules - Average balance sheet | 9,509</t>
      </text>
    </comment>
    <comment ref="D32" authorId="0">
      <text>
        <t>2Q26EarningsSupplement.pdf | Segment schedules - Average balance sheet | 8,782</t>
      </text>
    </comment>
    <comment ref="E32" authorId="0">
      <text>
        <t>2Q26EarningsSupplement.pdf | Segment schedules - Average balance sheet | 2,494</t>
      </text>
    </comment>
    <comment ref="G32" authorId="0">
      <text>
        <t>2Q26EarningsSupplement.pdf | Segment schedules - Average balance sheet | 506</t>
      </text>
    </comment>
    <comment ref="H32" authorId="0">
      <text>
        <t>2Q26EarningsSupplement.pdf | Segment schedules - Average balance sheet | 258</t>
      </text>
    </comment>
    <comment ref="B41" authorId="0">
      <text>
        <t>1Q26EarningsSupplement.pdf | Segment schedules - Income statement (1Q25 column, pre-2Q26 segment basis) | (97)</t>
      </text>
    </comment>
    <comment ref="C41" authorId="0">
      <text>
        <t>2Q26EarningsSupplement.pdf | Segment schedules - Income statement | (215)</t>
      </text>
    </comment>
    <comment ref="D41" authorId="0">
      <text>
        <t>2Q26EarningsSupplement.pdf | Segment schedules - Income statement | (146)</t>
      </text>
    </comment>
    <comment ref="E41" authorId="0">
      <text>
        <t>2Q26EarningsSupplement.pdf | Segment schedules - Income statement | (39)</t>
      </text>
    </comment>
    <comment ref="G41" authorId="0">
      <text>
        <t>2Q26EarningsSupplement.pdf | Segment schedules - Income statement | (176)</t>
      </text>
    </comment>
    <comment ref="H41" authorId="0">
      <text>
        <t>2Q26EarningsSupplement.pdf | Segment schedules - Income statement | (160)</t>
      </text>
    </comment>
    <comment ref="B47" authorId="0">
      <text>
        <t>1Q26EarningsSupplement.pdf | Segment schedules - Income statement (1Q25 column, pre-2Q26 segment basis) | 2</t>
      </text>
    </comment>
    <comment ref="C47" authorId="0">
      <text>
        <t>2Q26EarningsSupplement.pdf | Segment schedules - Income statement | 2</t>
      </text>
    </comment>
    <comment ref="D47" authorId="0">
      <text>
        <t>2Q26EarningsSupplement.pdf | Segment schedules - Income statement | 0</t>
      </text>
    </comment>
    <comment ref="E47" authorId="0">
      <text>
        <t>2Q26EarningsSupplement.pdf | Segment schedules - Income statement | 0</t>
      </text>
    </comment>
    <comment ref="G47" authorId="0">
      <text>
        <t>2Q26EarningsSupplement.pdf | Segment schedules - Income statement | 0</t>
      </text>
    </comment>
    <comment ref="H47" authorId="0">
      <text>
        <t>2Q26EarningsSupplement.pdf | Segment schedules - Income statement | 0</t>
      </text>
    </comment>
    <comment ref="B50" authorId="0">
      <text>
        <t>1Q26EarningsSupplement.pdf | Segment schedules - Income statement (1Q25 column, pre-2Q26 segment basis) | (7)</t>
      </text>
    </comment>
    <comment ref="C50" authorId="0">
      <text>
        <t>2Q26EarningsSupplement.pdf | Segment schedules - Income statement | (6)</t>
      </text>
    </comment>
    <comment ref="D50" authorId="0">
      <text>
        <t>2Q26EarningsSupplement.pdf | Segment schedules - Income statement | (2)</t>
      </text>
    </comment>
    <comment ref="E50" authorId="0">
      <text>
        <t>2Q26EarningsSupplement.pdf | Segment schedules - Income statement | 4</t>
      </text>
    </comment>
    <comment ref="G50" authorId="0">
      <text>
        <t>2Q26EarningsSupplement.pdf | Segment schedules - Income statement | (6)</t>
      </text>
    </comment>
    <comment ref="H50" authorId="0">
      <text>
        <t>2Q26EarningsSupplement.pdf | Segment schedules - Income statement | (2)</t>
      </text>
    </comment>
    <comment ref="B53" authorId="0">
      <text>
        <t>1Q26EarningsSupplement.pdf | Segment schedules - Income statement (1Q25 column, pre-2Q26 segment basis) | 0</t>
      </text>
    </comment>
    <comment ref="C53" authorId="0">
      <text>
        <t>2Q26EarningsSupplement.pdf | Segment schedules - Income statement | (57)</t>
      </text>
    </comment>
    <comment ref="D53" authorId="0">
      <text>
        <t>2Q26EarningsSupplement.pdf | Segment schedules - Income statement | (7)</t>
      </text>
    </comment>
    <comment ref="E53" authorId="0">
      <text>
        <t>2Q26EarningsSupplement.pdf | Segment schedules - Income statement | 3</t>
      </text>
    </comment>
    <comment ref="G53" authorId="0">
      <text>
        <t>2Q26EarningsSupplement.pdf | Segment schedules - Income statement | (35)</t>
      </text>
    </comment>
    <comment ref="H53" authorId="0">
      <text>
        <t>2Q26EarningsSupplement.pdf | Segment schedules - Income statement | (49)</t>
      </text>
    </comment>
    <comment ref="B56" authorId="0">
      <text>
        <t>1Q26EarningsSupplement.pdf | Segment schedules - Income statement (1Q25 column, pre-2Q26 segment basis) | (23)</t>
      </text>
    </comment>
    <comment ref="C56" authorId="0">
      <text>
        <t>2Q26EarningsSupplement.pdf | Segment schedules - Income statement | (30)</t>
      </text>
    </comment>
    <comment ref="D56" authorId="0">
      <text>
        <t>2Q26EarningsSupplement.pdf | Segment schedules - Income statement | (22)</t>
      </text>
    </comment>
    <comment ref="E56" authorId="0">
      <text>
        <t>2Q26EarningsSupplement.pdf | Segment schedules - Income statement | (39)</t>
      </text>
    </comment>
    <comment ref="G56" authorId="0">
      <text>
        <t>2Q26EarningsSupplement.pdf | Segment schedules - Income statement | (10)</t>
      </text>
    </comment>
    <comment ref="H56" authorId="0">
      <text>
        <t>2Q26EarningsSupplement.pdf | Segment schedules - Income statement | (33)</t>
      </text>
    </comment>
    <comment ref="B62" authorId="0">
      <text>
        <t>1Q26EarningsSupplement.pdf | Segment schedules - Income statement (1Q25 column, pre-2Q26 segment basis) | (28)</t>
      </text>
    </comment>
    <comment ref="C62" authorId="0">
      <text>
        <t>2Q26EarningsSupplement.pdf | Segment schedules - Income statement | (91)</t>
      </text>
    </comment>
    <comment ref="D62" authorId="0">
      <text>
        <t>2Q26EarningsSupplement.pdf | Segment schedules - Income statement | (31)</t>
      </text>
    </comment>
    <comment ref="E62" authorId="0">
      <text>
        <t>2Q26EarningsSupplement.pdf | Segment schedules - Income statement | (32)</t>
      </text>
    </comment>
    <comment ref="G62" authorId="0">
      <text>
        <t>2Q26EarningsSupplement.pdf | Segment schedules - Income statement | (51)</t>
      </text>
    </comment>
    <comment ref="H62" authorId="0">
      <text>
        <t>2Q26EarningsSupplement.pdf | Segment schedules - Income statement | (84)</t>
      </text>
    </comment>
    <comment ref="B70" authorId="0">
      <text>
        <t>1Q26EarningsSupplement.pdf | Segment schedules - Income statement (1Q25 column, pre-2Q26 segment basis) | 1,347</t>
      </text>
    </comment>
    <comment ref="C70" authorId="0">
      <text>
        <t>2Q26EarningsSupplement.pdf | Segment schedules - Income statement | 1,237</t>
      </text>
    </comment>
    <comment ref="D70" authorId="0">
      <text>
        <t>2Q26EarningsSupplement.pdf | Segment schedules - Income statement | 1,197</t>
      </text>
    </comment>
    <comment ref="E70" authorId="0">
      <text>
        <t>2Q26EarningsSupplement.pdf | Segment schedules - Income statement | 1,152</t>
      </text>
    </comment>
    <comment ref="G70" authorId="0">
      <text>
        <t>2Q26EarningsSupplement.pdf | Segment schedules - Income statement | 1,246</t>
      </text>
    </comment>
    <comment ref="H70" authorId="0">
      <text>
        <t>2Q26EarningsSupplement.pdf | Segment schedules - Income statement | 1,215</t>
      </text>
    </comment>
    <comment ref="B73" authorId="0">
      <text>
        <t>1Q26EarningsSupplement.pdf | Segment schedules - Income statement (1Q25 column, pre-2Q26 segment basis) | (1,755)</t>
      </text>
    </comment>
    <comment ref="C73" authorId="0">
      <text>
        <t>2Q26EarningsSupplement.pdf | Segment schedules - Income statement | (1,692)</t>
      </text>
    </comment>
    <comment ref="D73" authorId="0">
      <text>
        <t>2Q26EarningsSupplement.pdf | Segment schedules - Income statement | (1,715)</t>
      </text>
    </comment>
    <comment ref="E73" authorId="0">
      <text>
        <t>2Q26EarningsSupplement.pdf | Segment schedules - Income statement | (1,731)</t>
      </text>
    </comment>
    <comment ref="G73" authorId="0">
      <text>
        <t>2Q26EarningsSupplement.pdf | Segment schedules - Income statement | (1,649)</t>
      </text>
    </comment>
    <comment ref="H73" authorId="0">
      <text>
        <t>2Q26EarningsSupplement.pdf | Segment schedules - Income statement | (1,681)</t>
      </text>
    </comment>
    <comment ref="B75" authorId="0">
      <text>
        <t>1Q26EarningsSupplement.pdf | Segment schedules - Income statement (1Q25 column, pre-2Q26 segment basis) | 690</t>
      </text>
    </comment>
    <comment ref="C75" authorId="0">
      <text>
        <t>2Q26EarningsSupplement.pdf | Segment schedules - Income statement | 626</t>
      </text>
    </comment>
    <comment ref="D75" authorId="0">
      <text>
        <t>2Q26EarningsSupplement.pdf | Segment schedules - Income statement | 664</t>
      </text>
    </comment>
    <comment ref="E75" authorId="0">
      <text>
        <t>2Q26EarningsSupplement.pdf | Segment schedules - Income statement | 656</t>
      </text>
    </comment>
    <comment ref="G75" authorId="0">
      <text>
        <t>2Q26EarningsSupplement.pdf | Segment schedules - Income statement | 700</t>
      </text>
    </comment>
    <comment ref="H75" authorId="0">
      <text>
        <t>2Q26EarningsSupplement.pdf | Segment schedules - Income statement | 655</t>
      </text>
    </comment>
    <comment ref="B83" authorId="0">
      <text>
        <t>1Q26EarningsSupplement.pdf | Segment schedules - Credit quality (1Q25 column, pre-2Q26 segment basis) | 0</t>
      </text>
    </comment>
    <comment ref="C83" authorId="0">
      <text>
        <t>2Q26EarningsSupplement.pdf | Segment schedules - Credit quality | 0</t>
      </text>
    </comment>
    <comment ref="D83" authorId="0">
      <text>
        <t>2Q26EarningsSupplement.pdf | Segment schedules - Credit quality | (1)</t>
      </text>
    </comment>
    <comment ref="E83" authorId="0">
      <text>
        <t>2Q26EarningsSupplement.pdf | Segment schedules - Credit quality | 0</t>
      </text>
    </comment>
    <comment ref="G83" authorId="0">
      <text>
        <t>2Q26EarningsSupplement.pdf | Segment schedules - Credit quality | 0</t>
      </text>
    </comment>
    <comment ref="H83" authorId="0">
      <text>
        <t>2Q26EarningsSupplement.pdf | Segment schedules - Credit quality | 0</t>
      </text>
    </comment>
    <comment ref="B86" authorId="0">
      <text>
        <t>1Q26EarningsSupplement.pdf | Segment schedules - Income statement (1Q25 column, pre-2Q26 segment basis) | 116</t>
      </text>
    </comment>
    <comment ref="C86" authorId="0">
      <text>
        <t>2Q26EarningsSupplement.pdf | Segment schedules - Income statement | (98)</t>
      </text>
    </comment>
    <comment ref="D86" authorId="0">
      <text>
        <t>2Q26EarningsSupplement.pdf | Segment schedules - Income statement | (96)</t>
      </text>
    </comment>
    <comment ref="E86" authorId="0">
      <text>
        <t>2Q26EarningsSupplement.pdf | Segment schedules - Income statement | (117)</t>
      </text>
    </comment>
    <comment ref="G86" authorId="0">
      <text>
        <t>2Q26EarningsSupplement.pdf | Segment schedules - Income statement | 92</t>
      </text>
    </comment>
    <comment ref="H86" authorId="0">
      <text>
        <t>2Q26EarningsSupplement.pdf | Segment schedules - Income statement | (54)</t>
      </text>
    </comment>
    <comment ref="B91" authorId="0">
      <text>
        <t>1Q26EarningsSupplement.pdf | Segment schedules - Income statement (1Q25 column, pre-2Q26 segment basis) | (205)</t>
      </text>
    </comment>
    <comment ref="C91" authorId="0">
      <text>
        <t>2Q26EarningsSupplement.pdf | Segment schedules - Income statement | (175)</t>
      </text>
    </comment>
    <comment ref="D91" authorId="0">
      <text>
        <t>2Q26EarningsSupplement.pdf | Segment schedules - Income statement | (144)</t>
      </text>
    </comment>
    <comment ref="E91" authorId="0">
      <text>
        <t>2Q26EarningsSupplement.pdf | Segment schedules - Income statement | (138)</t>
      </text>
    </comment>
    <comment ref="G91" authorId="0">
      <text>
        <t>2Q26EarningsSupplement.pdf | Segment schedules - Income statement | (269)</t>
      </text>
    </comment>
    <comment ref="H91" authorId="0">
      <text>
        <t>2Q26EarningsSupplement.pdf | Segment schedules - Income statement | (218)</t>
      </text>
    </comment>
    <comment ref="B93" authorId="0">
      <text>
        <t>1Q26EarningsSupplement.pdf | Segment schedules - Income statement (1Q25 column, pre-2Q26 segment basis) | (7)</t>
      </text>
    </comment>
    <comment ref="C93" authorId="0">
      <text>
        <t>2Q26EarningsSupplement.pdf | Segment schedules - Income statement | (6)</t>
      </text>
    </comment>
    <comment ref="D93" authorId="0">
      <text>
        <t>2Q26EarningsSupplement.pdf | Segment schedules - Income statement | (7)</t>
      </text>
    </comment>
    <comment ref="E93" authorId="0">
      <text>
        <t>2Q26EarningsSupplement.pdf | Segment schedules - Income statement | (6)</t>
      </text>
    </comment>
    <comment ref="G93" authorId="0">
      <text>
        <t>2Q26EarningsSupplement.pdf | Segment schedules - Income statement | (5)</t>
      </text>
    </comment>
    <comment ref="H93" authorId="0">
      <text>
        <t>2Q26EarningsSupplement.pdf | Segment schedules - Income statement | (6)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B10" authorId="0">
      <text>
        <t>1Q26EarningsSupplement.pdf | Quarterly consolidated statement of income | 5,533</t>
      </text>
    </comment>
    <comment ref="C10" authorId="0">
      <text>
        <t>2Q26EarningsSupplement.pdf | Quarterly consolidated statement of income | 5,548</t>
      </text>
    </comment>
    <comment ref="D10" authorId="0">
      <text>
        <t>2Q26EarningsSupplement.pdf | Quarterly consolidated statement of income | 5,688</t>
      </text>
    </comment>
    <comment ref="E10" authorId="0">
      <text>
        <t>2Q26EarningsSupplement.pdf | Quarterly consolidated statement of income | 5,599</t>
      </text>
    </comment>
    <comment ref="G10" authorId="0">
      <text>
        <t>2Q26EarningsSupplement.pdf | Quarterly consolidated statement of income | 5,526</t>
      </text>
    </comment>
    <comment ref="H10" authorId="0">
      <text>
        <t>2Q26EarningsSupplement.pdf | Quarterly consolidated statement of income | 5,728</t>
      </text>
    </comment>
    <comment ref="B14" authorId="0">
      <text>
        <t>1Q26EarningsSupplement.pdf | Quarterly consolidated statement of income | 28</t>
      </text>
    </comment>
    <comment ref="C14" authorId="0">
      <text>
        <t>2Q26EarningsSupplement.pdf | Quarterly consolidated statement of income | 59</t>
      </text>
    </comment>
    <comment ref="D14" authorId="0">
      <text>
        <t>2Q26EarningsSupplement.pdf | Quarterly consolidated statement of income | 35</t>
      </text>
    </comment>
    <comment ref="E14" authorId="0">
      <text>
        <t>2Q26EarningsSupplement.pdf | Quarterly consolidated statement of income | 43</t>
      </text>
    </comment>
    <comment ref="G14" authorId="0">
      <text>
        <t>2Q26EarningsSupplement.pdf | Quarterly consolidated statement of income | 35</t>
      </text>
    </comment>
    <comment ref="H14" authorId="0">
      <text>
        <t>2Q26EarningsSupplement.pdf | Quarterly consolidated statement of income | 43</t>
      </text>
    </comment>
    <comment ref="B18" authorId="0">
      <text>
        <t>1Q26EarningsSupplement.pdf | Quarterly consolidated statement of income | 1,308</t>
      </text>
    </comment>
    <comment ref="C18" authorId="0">
      <text>
        <t>2Q26EarningsSupplement.pdf | Quarterly consolidated statement of income | 1,355</t>
      </text>
    </comment>
    <comment ref="D18" authorId="0">
      <text>
        <t>2Q26EarningsSupplement.pdf | Quarterly consolidated statement of income | 1,392</t>
      </text>
    </comment>
    <comment ref="E18" authorId="0">
      <text>
        <t>2Q26EarningsSupplement.pdf | Quarterly consolidated statement of income | 1,343</t>
      </text>
    </comment>
    <comment ref="G18" authorId="0">
      <text>
        <t>2Q26EarningsSupplement.pdf | Quarterly consolidated statement of income | 1,303</t>
      </text>
    </comment>
    <comment ref="H18" authorId="0">
      <text>
        <t>2Q26EarningsSupplement.pdf | Quarterly consolidated statement of income | 1,344</t>
      </text>
    </comment>
    <comment ref="B22" authorId="0">
      <text>
        <t>1Q26EarningsSupplement.pdf | Quarterly consolidated statement of income | 647</t>
      </text>
    </comment>
    <comment ref="C22" authorId="0">
      <text>
        <t>2Q26EarningsSupplement.pdf | Quarterly consolidated statement of income | 642</t>
      </text>
    </comment>
    <comment ref="D22" authorId="0">
      <text>
        <t>2Q26EarningsSupplement.pdf | Quarterly consolidated statement of income | 687</t>
      </text>
    </comment>
    <comment ref="E22" authorId="0">
      <text>
        <t>2Q26EarningsSupplement.pdf | Quarterly consolidated statement of income | 615</t>
      </text>
    </comment>
    <comment ref="G22" authorId="0">
      <text>
        <t>2Q26EarningsSupplement.pdf | Quarterly consolidated statement of income | 543</t>
      </text>
    </comment>
    <comment ref="H22" authorId="0">
      <text>
        <t>2Q26EarningsSupplement.pdf | Quarterly consolidated statement of income | 483</t>
      </text>
    </comment>
    <comment ref="B26" authorId="0">
      <text>
        <t>1Q26EarningsSupplement.pdf | Quarterly consolidated statement of income | 2,511</t>
      </text>
    </comment>
    <comment ref="C26" authorId="0">
      <text>
        <t>2Q26EarningsSupplement.pdf | Quarterly consolidated statement of income | 2,541</t>
      </text>
    </comment>
    <comment ref="D26" authorId="0">
      <text>
        <t>2Q26EarningsSupplement.pdf | Quarterly consolidated statement of income | 2,648</t>
      </text>
    </comment>
    <comment ref="E26" authorId="0">
      <text>
        <t>2Q26EarningsSupplement.pdf | Quarterly consolidated statement of income | 2,451</t>
      </text>
    </comment>
    <comment ref="G26" authorId="0">
      <text>
        <t>2Q26EarningsSupplement.pdf | Quarterly consolidated statement of income | 2,284</t>
      </text>
    </comment>
    <comment ref="H26" authorId="0">
      <text>
        <t>2Q26EarningsSupplement.pdf | Quarterly consolidated statement of income | 2,330</t>
      </text>
    </comment>
    <comment ref="B30" authorId="0">
      <text>
        <t>1Q26EarningsSupplement.pdf | Quarterly consolidated statement of income | 249</t>
      </text>
    </comment>
    <comment ref="C30" authorId="0">
      <text>
        <t>2Q26EarningsSupplement.pdf | Quarterly consolidated statement of income | 291</t>
      </text>
    </comment>
    <comment ref="D30" authorId="0">
      <text>
        <t>2Q26EarningsSupplement.pdf | Quarterly consolidated statement of income | 203</t>
      </text>
    </comment>
    <comment ref="E30" authorId="0">
      <text>
        <t>2Q26EarningsSupplement.pdf | Quarterly consolidated statement of income | 182</t>
      </text>
    </comment>
    <comment ref="G30" authorId="0">
      <text>
        <t>2Q26EarningsSupplement.pdf | Quarterly consolidated statement of income | 214</t>
      </text>
    </comment>
    <comment ref="H30" authorId="0">
      <text>
        <t>2Q26EarningsSupplement.pdf | Quarterly consolidated statement of income | 249</t>
      </text>
    </comment>
    <comment ref="B34" authorId="0">
      <text>
        <t>1Q26EarningsSupplement.pdf | Quarterly consolidated statement of income | 664</t>
      </text>
    </comment>
    <comment ref="C34" authorId="0">
      <text>
        <t>2Q26EarningsSupplement.pdf | Quarterly consolidated statement of income | 721</t>
      </text>
    </comment>
    <comment ref="D34" authorId="0">
      <text>
        <t>2Q26EarningsSupplement.pdf | Quarterly consolidated statement of income | 729</t>
      </text>
    </comment>
    <comment ref="E34" authorId="0">
      <text>
        <t>2Q26EarningsSupplement.pdf | Quarterly consolidated statement of income | 683</t>
      </text>
    </comment>
    <comment ref="G34" authorId="0">
      <text>
        <t>2Q26EarningsSupplement.pdf | Quarterly consolidated statement of income | 646</t>
      </text>
    </comment>
    <comment ref="H34" authorId="0">
      <text>
        <t>2Q26EarningsSupplement.pdf | Quarterly consolidated statement of income | 658</t>
      </text>
    </comment>
    <comment ref="B41" authorId="0">
      <text>
        <t>1Q26EarningsSupplement.pdf | Quarterly consolidated statement of income | 4,092</t>
      </text>
    </comment>
    <comment ref="C41" authorId="0">
      <text>
        <t>2Q26EarningsSupplement.pdf | Quarterly consolidated statement of income | 4,051</t>
      </text>
    </comment>
    <comment ref="D41" authorId="0">
      <text>
        <t>2Q26EarningsSupplement.pdf | Quarterly consolidated statement of income | 4,222</t>
      </text>
    </comment>
    <comment ref="E41" authorId="0">
      <text>
        <t>2Q26EarningsSupplement.pdf | Quarterly consolidated statement of income | 4,284</t>
      </text>
    </comment>
    <comment ref="G41" authorId="0">
      <text>
        <t>2Q26EarningsSupplement.pdf | Quarterly consolidated statement of income | 4,263</t>
      </text>
    </comment>
    <comment ref="H41" authorId="0">
      <text>
        <t>2Q26EarningsSupplement.pdf | Quarterly consolidated statement of income | 4,361</t>
      </text>
    </comment>
    <comment ref="B43" authorId="0">
      <text>
        <t>a1q26earningsrelease.htm | Non-GAAP financial measures | 30</t>
      </text>
    </comment>
    <comment ref="C43" authorId="0">
      <text>
        <t>a1q26earningsrelease.htm | Non-GAAP financial measures | 29</t>
      </text>
    </comment>
    <comment ref="D43" authorId="0">
      <text>
        <t>a1q26earningsrelease.htm | Non-GAAP financial measures | 29</t>
      </text>
    </comment>
    <comment ref="E43" authorId="0">
      <text>
        <t>a1q26earningsrelease.htm | Non-GAAP financial measures | 28</t>
      </text>
    </comment>
    <comment ref="G43" authorId="0">
      <text>
        <t>a2q26earningsrelease.htm | Non-GAAP financial measures | 28</t>
      </text>
    </comment>
    <comment ref="H43" authorId="0">
      <text>
        <t>a2q26earningsrelease.htm | Non-GAAP financial measures | 26</t>
      </text>
    </comment>
    <comment ref="B55" authorId="0">
      <text>
        <t>1Q26EarningsSupplement.pdf | Quarterly consolidated statement of income | 374</t>
      </text>
    </comment>
    <comment ref="C55" authorId="0">
      <text>
        <t>2Q26EarningsSupplement.pdf | Quarterly consolidated statement of income | 413</t>
      </text>
    </comment>
    <comment ref="D55" authorId="0">
      <text>
        <t>2Q26EarningsSupplement.pdf | Quarterly consolidated statement of income | 415</t>
      </text>
    </comment>
    <comment ref="E55" authorId="0">
      <text>
        <t>2Q26EarningsSupplement.pdf | Quarterly consolidated statement of income | 427</t>
      </text>
    </comment>
    <comment ref="G55" authorId="0">
      <text>
        <t>2Q26EarningsSupplement.pdf | Quarterly consolidated statement of income | 391</t>
      </text>
    </comment>
    <comment ref="H55" authorId="0">
      <text>
        <t>2Q26EarningsSupplement.pdf | Quarterly consolidated statement of income | 435</t>
      </text>
    </comment>
    <comment ref="B62" authorId="0">
      <text>
        <t>1Q26EarningsSupplement.pdf | Quarterly consolidated statement of income | 400</t>
      </text>
    </comment>
    <comment ref="C62" authorId="0">
      <text>
        <t>2Q26EarningsSupplement.pdf | Quarterly consolidated statement of income | 421</t>
      </text>
    </comment>
    <comment ref="D62" authorId="0">
      <text>
        <t>2Q26EarningsSupplement.pdf | Quarterly consolidated statement of income | 407</t>
      </text>
    </comment>
    <comment ref="E62" authorId="0">
      <text>
        <t>2Q26EarningsSupplement.pdf | Quarterly consolidated statement of income | 396</t>
      </text>
    </comment>
    <comment ref="G62" authorId="0">
      <text>
        <t>2Q26EarningsSupplement.pdf | Quarterly consolidated statement of income | 408</t>
      </text>
    </comment>
    <comment ref="H62" authorId="0">
      <text>
        <t>2Q26EarningsSupplement.pdf | Quarterly consolidated statement of income | 440</t>
      </text>
    </comment>
    <comment ref="B69" authorId="0">
      <text>
        <t>1Q26EarningsSupplement.pdf | Quarterly consolidated statement of income | 415</t>
      </text>
    </comment>
    <comment ref="C69" authorId="0">
      <text>
        <t>2Q26EarningsSupplement.pdf | Quarterly consolidated statement of income | 474</t>
      </text>
    </comment>
    <comment ref="D69" authorId="0">
      <text>
        <t>2Q26EarningsSupplement.pdf | Quarterly consolidated statement of income | 463</t>
      </text>
    </comment>
    <comment ref="E69" authorId="0">
      <text>
        <t>2Q26EarningsSupplement.pdf | Quarterly consolidated statement of income | 440</t>
      </text>
    </comment>
    <comment ref="G69" authorId="0">
      <text>
        <t>2Q26EarningsSupplement.pdf | Quarterly consolidated statement of income | 436</t>
      </text>
    </comment>
    <comment ref="H69" authorId="0">
      <text>
        <t>2Q26EarningsSupplement.pdf | Quarterly consolidated statement of income | 485</t>
      </text>
    </comment>
    <comment ref="B76" authorId="0">
      <text>
        <t>1Q26EarningsSupplement.pdf | Quarterly consolidated statement of income | 680</t>
      </text>
    </comment>
    <comment ref="C76" authorId="0">
      <text>
        <t>2Q26EarningsSupplement.pdf | Quarterly consolidated statement of income | 703</t>
      </text>
    </comment>
    <comment ref="D76" authorId="0">
      <text>
        <t>2Q26EarningsSupplement.pdf | Quarterly consolidated statement of income | 730</t>
      </text>
    </comment>
    <comment ref="E76" authorId="0">
      <text>
        <t>2Q26EarningsSupplement.pdf | Quarterly consolidated statement of income | 756</t>
      </text>
    </comment>
    <comment ref="G76" authorId="0">
      <text>
        <t>2Q26EarningsSupplement.pdf | Quarterly consolidated statement of income | 745</t>
      </text>
    </comment>
    <comment ref="H76" authorId="0">
      <text>
        <t>2Q26EarningsSupplement.pdf | Quarterly consolidated statement of income | 785</t>
      </text>
    </comment>
    <comment ref="B83" authorId="0">
      <text>
        <t>1Q26EarningsSupplement.pdf | Quarterly consolidated statement of income | 266</t>
      </text>
    </comment>
    <comment ref="C83" authorId="0">
      <text>
        <t>2Q26EarningsSupplement.pdf | Quarterly consolidated statement of income | 277</t>
      </text>
    </comment>
    <comment ref="D83" authorId="0">
      <text>
        <t>2Q26EarningsSupplement.pdf | Quarterly consolidated statement of income | 290</t>
      </text>
    </comment>
    <comment ref="E83" authorId="0">
      <text>
        <t>2Q26EarningsSupplement.pdf | Quarterly consolidated statement of income | 302</t>
      </text>
    </comment>
    <comment ref="G83" authorId="0">
      <text>
        <t>2Q26EarningsSupplement.pdf | Quarterly consolidated statement of income | 294</t>
      </text>
    </comment>
    <comment ref="H83" authorId="0">
      <text>
        <t>2Q26EarningsSupplement.pdf | Quarterly consolidated statement of income | 308</t>
      </text>
    </comment>
    <comment ref="B90" authorId="0">
      <text>
        <t>1Q26EarningsSupplement.pdf | Quarterly consolidated statement of income | 292</t>
      </text>
    </comment>
    <comment ref="C90" authorId="0">
      <text>
        <t>2Q26EarningsSupplement.pdf | Quarterly consolidated statement of income | 315</t>
      </text>
    </comment>
    <comment ref="D90" authorId="0">
      <text>
        <t>2Q26EarningsSupplement.pdf | Quarterly consolidated statement of income | 378</t>
      </text>
    </comment>
    <comment ref="E90" authorId="0">
      <text>
        <t>2Q26EarningsSupplement.pdf | Quarterly consolidated statement of income | 389</t>
      </text>
    </comment>
    <comment ref="G90" authorId="0">
      <text>
        <t>2Q26EarningsSupplement.pdf | Quarterly consolidated statement of income | 377</t>
      </text>
    </comment>
    <comment ref="H90" authorId="0">
      <text>
        <t>2Q26EarningsSupplement.pdf | Quarterly consolidated statement of income | 512</t>
      </text>
    </comment>
    <comment ref="B97" authorId="0">
      <text>
        <t>1Q26EarningsSupplement.pdf | Quarterly consolidated statement of income | 173</t>
      </text>
    </comment>
    <comment ref="C97" authorId="0">
      <text>
        <t>2Q26EarningsSupplement.pdf | Quarterly consolidated statement of income | 162</t>
      </text>
    </comment>
    <comment ref="D97" authorId="0">
      <text>
        <t>2Q26EarningsSupplement.pdf | Quarterly consolidated statement of income | 180</t>
      </text>
    </comment>
    <comment ref="E97" authorId="0">
      <text>
        <t>2Q26EarningsSupplement.pdf | Quarterly consolidated statement of income | 130</t>
      </text>
    </comment>
    <comment ref="G97" authorId="0">
      <text>
        <t>2Q26EarningsSupplement.pdf | Quarterly consolidated statement of income | 161</t>
      </text>
    </comment>
    <comment ref="H97" authorId="0">
      <text>
        <t>2Q26EarningsSupplement.pdf | Quarterly consolidated statement of income | 169</t>
      </text>
    </comment>
    <comment ref="B104" authorId="0">
      <text>
        <t>1Q26EarningsSupplement.pdf | Quarterly consolidated statement of income | 87</t>
      </text>
    </comment>
    <comment ref="C104" authorId="0">
      <text>
        <t>2Q26EarningsSupplement.pdf | Quarterly consolidated statement of income | 90</t>
      </text>
    </comment>
    <comment ref="D104" authorId="0">
      <text>
        <t>2Q26EarningsSupplement.pdf | Quarterly consolidated statement of income | 97</t>
      </text>
    </comment>
    <comment ref="E104" authorId="0">
      <text>
        <t>2Q26EarningsSupplement.pdf | Quarterly consolidated statement of income | 101</t>
      </text>
    </comment>
    <comment ref="G104" authorId="0">
      <text>
        <t>2Q26EarningsSupplement.pdf | Quarterly consolidated statement of income | 97</t>
      </text>
    </comment>
    <comment ref="H104" authorId="0">
      <text>
        <t>2Q26EarningsSupplement.pdf | Quarterly consolidated statement of income | 102</t>
      </text>
    </comment>
    <comment ref="B111" authorId="0">
      <text>
        <t>1Q26EarningsSupplement.pdf | Quarterly consolidated statement of income | 149</t>
      </text>
    </comment>
    <comment ref="C111" authorId="0">
      <text>
        <t>2Q26EarningsSupplement.pdf | Quarterly consolidated statement of income | 126</t>
      </text>
    </comment>
    <comment ref="D111" authorId="0">
      <text>
        <t>2Q26EarningsSupplement.pdf | Quarterly consolidated statement of income | 125</t>
      </text>
    </comment>
    <comment ref="E111" authorId="0">
      <text>
        <t>2Q26EarningsSupplement.pdf | Quarterly consolidated statement of income | 109</t>
      </text>
    </comment>
    <comment ref="G111" authorId="0">
      <text>
        <t>2Q26EarningsSupplement.pdf | Quarterly consolidated statement of income | 123</t>
      </text>
    </comment>
    <comment ref="H111" authorId="0">
      <text>
        <t>2Q26EarningsSupplement.pdf | Quarterly consolidated statement of income | 138</t>
      </text>
    </comment>
    <comment ref="B125" authorId="0">
      <text>
        <t>1Q26EarningsSupplement.pdf | Quarterly consolidated statement of income | 0</t>
      </text>
    </comment>
    <comment ref="C125" authorId="0">
      <text>
        <t>2Q26EarningsSupplement.pdf | Quarterly consolidated statement of income | (57)</t>
      </text>
    </comment>
    <comment ref="D125" authorId="0">
      <text>
        <t>2Q26EarningsSupplement.pdf | Quarterly consolidated statement of income | (7)</t>
      </text>
    </comment>
    <comment ref="E125" authorId="0">
      <text>
        <t>2Q26EarningsSupplement.pdf | Quarterly consolidated statement of income | 3</t>
      </text>
    </comment>
    <comment ref="G125" authorId="0">
      <text>
        <t>2Q26EarningsSupplement.pdf | Quarterly consolidated statement of income | (35)</t>
      </text>
    </comment>
    <comment ref="H125" authorId="0">
      <text>
        <t>2Q26EarningsSupplement.pdf | Quarterly consolidated statement of income | (49)</t>
      </text>
    </comment>
    <comment ref="B128" authorId="0">
      <text>
        <t>1Q26EarningsSupplement.pdf | Quarterly consolidated statement of income | 2,836</t>
      </text>
    </comment>
    <comment ref="C128" authorId="0">
      <text>
        <t>2Q26EarningsSupplement.pdf | Quarterly consolidated statement of income | 2,924</t>
      </text>
    </comment>
    <comment ref="D128" authorId="0">
      <text>
        <t>2Q26EarningsSupplement.pdf | Quarterly consolidated statement of income | 3,078</t>
      </text>
    </comment>
    <comment ref="E128" authorId="0">
      <text>
        <t>2Q26EarningsSupplement.pdf | Quarterly consolidated statement of income | 3,053</t>
      </text>
    </comment>
    <comment ref="G128" authorId="0">
      <text>
        <t>2Q26EarningsSupplement.pdf | Quarterly consolidated statement of income | 2,997</t>
      </text>
    </comment>
    <comment ref="H128" authorId="0">
      <text>
        <t>2Q26EarningsSupplement.pdf | Quarterly consolidated statement of income | 3,325</t>
      </text>
    </comment>
    <comment ref="B144" authorId="0">
      <text>
        <t>1Q26EarningsSupplement.pdf | Quarterly consolidated statement of income | 2,637</t>
      </text>
    </comment>
    <comment ref="C144" authorId="0">
      <text>
        <t>2Q26EarningsSupplement.pdf | Quarterly consolidated statement of income | 2,600</t>
      </text>
    </comment>
    <comment ref="D144" authorId="0">
      <text>
        <t>2Q26EarningsSupplement.pdf | Quarterly consolidated statement of income | 2,561</t>
      </text>
    </comment>
    <comment ref="E144" authorId="0">
      <text>
        <t>2Q26EarningsSupplement.pdf | Quarterly consolidated statement of income | 2,529</t>
      </text>
    </comment>
    <comment ref="G144" authorId="0">
      <text>
        <t>2Q26EarningsSupplement.pdf | Quarterly consolidated statement of income | 2,628</t>
      </text>
    </comment>
    <comment ref="H144" authorId="0">
      <text>
        <t>2Q26EarningsSupplement.pdf | Quarterly consolidated statement of income | 2,685</t>
      </text>
    </comment>
    <comment ref="B148" authorId="0">
      <text>
        <t>1Q26EarningsSupplement.pdf | Quarterly consolidated statement of income | 306</t>
      </text>
    </comment>
    <comment ref="C148" authorId="0">
      <text>
        <t>2Q26EarningsSupplement.pdf | Quarterly consolidated statement of income | 301</t>
      </text>
    </comment>
    <comment ref="D148" authorId="0">
      <text>
        <t>2Q26EarningsSupplement.pdf | Quarterly consolidated statement of income | 300</t>
      </text>
    </comment>
    <comment ref="E148" authorId="0">
      <text>
        <t>2Q26EarningsSupplement.pdf | Quarterly consolidated statement of income | 320</t>
      </text>
    </comment>
    <comment ref="G148" authorId="0">
      <text>
        <t>2Q26EarningsSupplement.pdf | Quarterly consolidated statement of income | 304</t>
      </text>
    </comment>
    <comment ref="H148" authorId="0">
      <text>
        <t>2Q26EarningsSupplement.pdf | Quarterly consolidated statement of income | 303</t>
      </text>
    </comment>
    <comment ref="B152" authorId="0">
      <text>
        <t>1Q26EarningsSupplement.pdf | Quarterly consolidated statement of income | 98</t>
      </text>
    </comment>
    <comment ref="C152" authorId="0">
      <text>
        <t>2Q26EarningsSupplement.pdf | Quarterly consolidated statement of income | 109</t>
      </text>
    </comment>
    <comment ref="D152" authorId="0">
      <text>
        <t>2Q26EarningsSupplement.pdf | Quarterly consolidated statement of income | 117</t>
      </text>
    </comment>
    <comment ref="E152" authorId="0">
      <text>
        <t>2Q26EarningsSupplement.pdf | Quarterly consolidated statement of income | 144</t>
      </text>
    </comment>
    <comment ref="G152" authorId="0">
      <text>
        <t>2Q26EarningsSupplement.pdf | Quarterly consolidated statement of income | 92</t>
      </text>
    </comment>
    <comment ref="H152" authorId="0">
      <text>
        <t>2Q26EarningsSupplement.pdf | Quarterly consolidated statement of income | 112</t>
      </text>
    </comment>
    <comment ref="B156" authorId="0">
      <text>
        <t>1Q26EarningsSupplement.pdf | Quarterly consolidated statement of income | 182</t>
      </text>
    </comment>
    <comment ref="C156" authorId="0">
      <text>
        <t>2Q26EarningsSupplement.pdf | Quarterly consolidated statement of income | 161</t>
      </text>
    </comment>
    <comment ref="D156" authorId="0">
      <text>
        <t>2Q26EarningsSupplement.pdf | Quarterly consolidated statement of income | 175</t>
      </text>
    </comment>
    <comment ref="E156" authorId="0">
      <text>
        <t>2Q26EarningsSupplement.pdf | Quarterly consolidated statement of income | 187</t>
      </text>
    </comment>
    <comment ref="G156" authorId="0">
      <text>
        <t>2Q26EarningsSupplement.pdf | Quarterly consolidated statement of income | 217</t>
      </text>
    </comment>
    <comment ref="H156" authorId="0">
      <text>
        <t>2Q26EarningsSupplement.pdf | Quarterly consolidated statement of income | 216</t>
      </text>
    </comment>
    <comment ref="B160" authorId="0">
      <text>
        <t>1Q26EarningsSupplement.pdf | Quarterly consolidated statement of income | 533</t>
      </text>
    </comment>
    <comment ref="C160" authorId="0">
      <text>
        <t>2Q26EarningsSupplement.pdf | Quarterly consolidated statement of income | 534</t>
      </text>
    </comment>
    <comment ref="D160" authorId="0">
      <text>
        <t>2Q26EarningsSupplement.pdf | Quarterly consolidated statement of income | 560</t>
      </text>
    </comment>
    <comment ref="E160" authorId="0">
      <text>
        <t>2Q26EarningsSupplement.pdf | Quarterly consolidated statement of income | 584</t>
      </text>
    </comment>
    <comment ref="G160" authorId="0">
      <text>
        <t>2Q26EarningsSupplement.pdf | Quarterly consolidated statement of income | 573</t>
      </text>
    </comment>
    <comment ref="H160" authorId="0">
      <text>
        <t>2Q26EarningsSupplement.pdf | Quarterly consolidated statement of income | 601</t>
      </text>
    </comment>
    <comment ref="B164" authorId="0">
      <text>
        <t>1Q26EarningsSupplement.pdf | Quarterly consolidated statement of income | 123</t>
      </text>
    </comment>
    <comment ref="C164" authorId="0">
      <text>
        <t>2Q26EarningsSupplement.pdf | Quarterly consolidated statement of income | 124</t>
      </text>
    </comment>
    <comment ref="D164" authorId="0">
      <text>
        <t>2Q26EarningsSupplement.pdf | Quarterly consolidated statement of income | 125</t>
      </text>
    </comment>
    <comment ref="E164" authorId="0">
      <text>
        <t>2Q26EarningsSupplement.pdf | Quarterly consolidated statement of income | 126</t>
      </text>
    </comment>
    <comment ref="G164" authorId="0">
      <text>
        <t>2Q26EarningsSupplement.pdf | Quarterly consolidated statement of income | 110</t>
      </text>
    </comment>
    <comment ref="H164" authorId="0">
      <text>
        <t>2Q26EarningsSupplement.pdf | Quarterly consolidated statement of income | 114</t>
      </text>
    </comment>
    <comment ref="B168" authorId="0">
      <text>
        <t>1Q26EarningsSupplement.pdf | Quarterly consolidated statement of income | 353</t>
      </text>
    </comment>
    <comment ref="C168" authorId="0">
      <text>
        <t>2Q26EarningsSupplement.pdf | Quarterly consolidated statement of income | 352</t>
      </text>
    </comment>
    <comment ref="D168" authorId="0">
      <text>
        <t>2Q26EarningsSupplement.pdf | Quarterly consolidated statement of income | 359</t>
      </text>
    </comment>
    <comment ref="E168" authorId="0">
      <text>
        <t>2Q26EarningsSupplement.pdf | Quarterly consolidated statement of income | 337</t>
      </text>
    </comment>
    <comment ref="G168" authorId="0">
      <text>
        <t>2Q26EarningsSupplement.pdf | Quarterly consolidated statement of income | 341</t>
      </text>
    </comment>
    <comment ref="H168" authorId="0">
      <text>
        <t>2Q26EarningsSupplement.pdf | Quarterly consolidated statement of income | 397</t>
      </text>
    </comment>
    <comment ref="B175" authorId="0">
      <text>
        <t>1Q26EarningsSupplement.pdf | Quarterly consolidated statement of income | 4,232</t>
      </text>
    </comment>
    <comment ref="C175" authorId="0">
      <text>
        <t>2Q26EarningsSupplement.pdf | Quarterly consolidated statement of income | 4,181</t>
      </text>
    </comment>
    <comment ref="D175" authorId="0">
      <text>
        <t>2Q26EarningsSupplement.pdf | Quarterly consolidated statement of income | 4,197</t>
      </text>
    </comment>
    <comment ref="E175" authorId="0">
      <text>
        <t>2Q26EarningsSupplement.pdf | Quarterly consolidated statement of income | 4,227</t>
      </text>
    </comment>
    <comment ref="G175" authorId="0">
      <text>
        <t>2Q26EarningsSupplement.pdf | Quarterly consolidated statement of income | 4,265</t>
      </text>
    </comment>
    <comment ref="H175" authorId="0">
      <text>
        <t>2Q26EarningsSupplement.pdf | Quarterly consolidated statement of income | 4,428</t>
      </text>
    </comment>
    <comment ref="B179" authorId="0">
      <text>
        <t>1Q26EarningsSupplement.pdf | Quarterly consolidated statement of income | 537</t>
      </text>
    </comment>
    <comment ref="C179" authorId="0">
      <text>
        <t>2Q26EarningsSupplement.pdf | Quarterly consolidated statement of income | 501</t>
      </text>
    </comment>
    <comment ref="D179" authorId="0">
      <text>
        <t>2Q26EarningsSupplement.pdf | Quarterly consolidated statement of income | 571</t>
      </text>
    </comment>
    <comment ref="E179" authorId="0">
      <text>
        <t>2Q26EarningsSupplement.pdf | Quarterly consolidated statement of income | 577</t>
      </text>
    </comment>
    <comment ref="G179" authorId="0">
      <text>
        <t>2Q26EarningsSupplement.pdf | Quarterly consolidated statement of income | 576</t>
      </text>
    </comment>
    <comment ref="H179" authorId="0">
      <text>
        <t>2Q26EarningsSupplement.pdf | Quarterly consolidated statement of income | 538</t>
      </text>
    </comment>
    <comment ref="B185" authorId="0">
      <text>
        <t>1Q26EarningsSupplement.pdf | Quarterly consolidated statement of income | 2,159</t>
      </text>
    </comment>
    <comment ref="C185" authorId="0">
      <text>
        <t>2Q26EarningsSupplement.pdf | Quarterly consolidated statement of income | 2,293</t>
      </text>
    </comment>
    <comment ref="D185" authorId="0">
      <text>
        <t>2Q26EarningsSupplement.pdf | Quarterly consolidated statement of income | 2,532</t>
      </text>
    </comment>
    <comment ref="E185" authorId="0">
      <text>
        <t>2Q26EarningsSupplement.pdf | Quarterly consolidated statement of income | 2,533</t>
      </text>
    </comment>
    <comment ref="G185" authorId="0">
      <text>
        <t>2Q26EarningsSupplement.pdf | Quarterly consolidated statement of income | 2,419</t>
      </text>
    </comment>
    <comment ref="H185" authorId="0">
      <text>
        <t>2Q26EarningsSupplement.pdf | Quarterly consolidated statement of income | 2,720</t>
      </text>
    </comment>
    <comment ref="B187" authorId="0">
      <text>
        <t>1Q26EarningsSupplement.pdf | Quarterly consolidated statement of income | 443</t>
      </text>
    </comment>
    <comment ref="C187" authorId="0">
      <text>
        <t>2Q26EarningsSupplement.pdf | Quarterly consolidated statement of income | 472</t>
      </text>
    </comment>
    <comment ref="D187" authorId="0">
      <text>
        <t>2Q26EarningsSupplement.pdf | Quarterly consolidated statement of income | 524</t>
      </text>
    </comment>
    <comment ref="E187" authorId="0">
      <text>
        <t>2Q26EarningsSupplement.pdf | Quarterly consolidated statement of income | 482</t>
      </text>
    </comment>
    <comment ref="G187" authorId="0">
      <text>
        <t>2Q26EarningsSupplement.pdf | Quarterly consolidated statement of income | 469</t>
      </text>
    </comment>
    <comment ref="H187" authorId="0">
      <text>
        <t>2Q26EarningsSupplement.pdf | Quarterly consolidated statement of income | 537</t>
      </text>
    </comment>
    <comment ref="B192" authorId="0">
      <text>
        <t>1Q26EarningsSupplement.pdf | Quarterly consolidated statement of income | (7)</t>
      </text>
    </comment>
    <comment ref="C192" authorId="0">
      <text>
        <t>2Q26EarningsSupplement.pdf | Quarterly consolidated statement of income | (6)</t>
      </text>
    </comment>
    <comment ref="D192" authorId="0">
      <text>
        <t>2Q26EarningsSupplement.pdf | Quarterly consolidated statement of income | (7)</t>
      </text>
    </comment>
    <comment ref="E192" authorId="0">
      <text>
        <t>2Q26EarningsSupplement.pdf | Quarterly consolidated statement of income | (6)</t>
      </text>
    </comment>
    <comment ref="G192" authorId="0">
      <text>
        <t>2Q26EarningsSupplement.pdf | Quarterly consolidated statement of income | (5)</t>
      </text>
    </comment>
    <comment ref="H192" authorId="0">
      <text>
        <t>2Q26EarningsSupplement.pdf | Quarterly consolidated statement of income | (6)</t>
      </text>
    </comment>
    <comment ref="B198" authorId="0">
      <text>
        <t>1Q26EarningsSupplement.pdf | Quarterly consolidated statement of income | 1,709</t>
      </text>
    </comment>
    <comment ref="C198" authorId="0">
      <text>
        <t>2Q26EarningsSupplement.pdf | Quarterly consolidated statement of income | 1,815</t>
      </text>
    </comment>
    <comment ref="D198" authorId="0">
      <text>
        <t>2Q26EarningsSupplement.pdf | Quarterly consolidated statement of income | 2,001</t>
      </text>
    </comment>
    <comment ref="E198" authorId="0">
      <text>
        <t>2Q26EarningsSupplement.pdf | Quarterly consolidated statement of income | 2,045</t>
      </text>
    </comment>
    <comment ref="G198" authorId="0">
      <text>
        <t>2Q26EarningsSupplement.pdf | Quarterly consolidated statement of income | 1,945</t>
      </text>
    </comment>
    <comment ref="H198" authorId="0">
      <text>
        <t>2Q26EarningsSupplement.pdf | Quarterly consolidated statement of income | 2,177</t>
      </text>
    </comment>
    <comment ref="B203" authorId="0">
      <text>
        <t>1Q26EarningsSupplement.pdf | Quarterly consolidated statement of income | 1,603</t>
      </text>
    </comment>
    <comment ref="C203" authorId="0">
      <text>
        <t>2Q26EarningsSupplement.pdf | Quarterly consolidated statement of income | 1,733</t>
      </text>
    </comment>
    <comment ref="D203" authorId="0">
      <text>
        <t>2Q26EarningsSupplement.pdf | Quarterly consolidated statement of income | 1,893</t>
      </text>
    </comment>
    <comment ref="E203" authorId="0">
      <text>
        <t>2Q26EarningsSupplement.pdf | Quarterly consolidated statement of income | 1,965</t>
      </text>
    </comment>
    <comment ref="G203" authorId="0">
      <text>
        <t>2Q26EarningsSupplement.pdf | Quarterly consolidated statement of income | 1,841</t>
      </text>
    </comment>
    <comment ref="H203" authorId="0">
      <text>
        <t>2Q26EarningsSupplement.pdf | Quarterly consolidated statement of income | 2,098</t>
      </text>
    </comment>
    <comment ref="B214" authorId="0">
      <text>
        <t>1Q26EarningsSupplement.pdf | Quarterly consolidated statement of income | $1.03</t>
      </text>
    </comment>
    <comment ref="C214" authorId="0">
      <text>
        <t>2Q26EarningsSupplement.pdf | Quarterly consolidated statement of income | $1.11</t>
      </text>
    </comment>
    <comment ref="D214" authorId="0">
      <text>
        <t>2Q26EarningsSupplement.pdf | Quarterly consolidated statement of income | $1.22</t>
      </text>
    </comment>
    <comment ref="E214" authorId="0">
      <text>
        <t>2Q26EarningsSupplement.pdf | Quarterly consolidated statement of income | $1.26</t>
      </text>
    </comment>
    <comment ref="G214" authorId="0">
      <text>
        <t>2Q26EarningsSupplement.pdf | Quarterly consolidated statement of income | $1.18</t>
      </text>
    </comment>
    <comment ref="H214" authorId="0">
      <text>
        <t>2Q26EarningsSupplement.pdf | Quarterly consolidated statement of income | $1.35</t>
      </text>
    </comment>
    <comment ref="F214" authorId="0">
      <text>
        <t>a4q25earningsrelease.htm | Key financial data, Full Year 2025 | $4.62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B10" authorId="0">
      <text>
        <t>1Q26EarningsSupplement.pdf | Consolidated ending balance sheet | 50,013</t>
      </text>
    </comment>
    <comment ref="C10" authorId="0">
      <text>
        <t>2Q26EarningsSupplement.pdf | Consolidated ending balance sheet | 57,807</t>
      </text>
    </comment>
    <comment ref="D10" authorId="0">
      <text>
        <t>2Q26EarningsSupplement.pdf | Consolidated ending balance sheet | 66,637</t>
      </text>
    </comment>
    <comment ref="E10" authorId="0">
      <text>
        <t>2Q26EarningsSupplement.pdf | Consolidated ending balance sheet | 46,890</t>
      </text>
    </comment>
    <comment ref="G10" authorId="0">
      <text>
        <t>2Q26EarningsSupplement.pdf | Consolidated ending balance sheet | 48,420</t>
      </text>
    </comment>
    <comment ref="H10" authorId="0">
      <text>
        <t>2Q26EarningsSupplement.pdf | Consolidated ending balance sheet | 66,491</t>
      </text>
    </comment>
    <comment ref="B13" authorId="0">
      <text>
        <t>1Q26EarningsSupplement.pdf | Consolidated ending balance sheet | 78,008</t>
      </text>
    </comment>
    <comment ref="C13" authorId="0">
      <text>
        <t>2Q26EarningsSupplement.pdf | Consolidated ending balance sheet | 77,879</t>
      </text>
    </comment>
    <comment ref="D13" authorId="0">
      <text>
        <t>2Q26EarningsSupplement.pdf | Consolidated ending balance sheet | 76,931</t>
      </text>
    </comment>
    <comment ref="E13" authorId="0">
      <text>
        <t>2Q26EarningsSupplement.pdf | Consolidated ending balance sheet | 76,170</t>
      </text>
    </comment>
    <comment ref="G13" authorId="0">
      <text>
        <t>2Q26EarningsSupplement.pdf | Consolidated ending balance sheet | 75,442</t>
      </text>
    </comment>
    <comment ref="H13" authorId="0">
      <text>
        <t>2Q26EarningsSupplement.pdf | Consolidated ending balance sheet | 74,085</t>
      </text>
    </comment>
    <comment ref="B17" authorId="0">
      <text>
        <t>1Q26EarningsSupplement.pdf | Consolidated ending balance sheet | 86,774</t>
      </text>
    </comment>
    <comment ref="C17" authorId="0">
      <text>
        <t>2Q26EarningsSupplement.pdf | Consolidated ending balance sheet | 90,577</t>
      </text>
    </comment>
    <comment ref="D17" authorId="0">
      <text>
        <t>2Q26EarningsSupplement.pdf | Consolidated ending balance sheet | 89,065</t>
      </text>
    </comment>
    <comment ref="E17" authorId="0">
      <text>
        <t>2Q26EarningsSupplement.pdf | Consolidated ending balance sheet | 90,838</t>
      </text>
    </comment>
    <comment ref="G17" authorId="0">
      <text>
        <t>2Q26EarningsSupplement.pdf | Consolidated ending balance sheet | 93,464</t>
      </text>
    </comment>
    <comment ref="H17" authorId="0">
      <text>
        <t>2Q26EarningsSupplement.pdf | Consolidated ending balance sheet | 89,085</t>
      </text>
    </comment>
    <comment ref="B23" authorId="0">
      <text>
        <t>1Q26EarningsSupplement.pdf | Consolidated ending balance sheet | 1,746</t>
      </text>
    </comment>
    <comment ref="C23" authorId="0">
      <text>
        <t>2Q26EarningsSupplement.pdf | Consolidated ending balance sheet | 2,288</t>
      </text>
    </comment>
    <comment ref="D23" authorId="0">
      <text>
        <t>2Q26EarningsSupplement.pdf | Consolidated ending balance sheet | 2,490</t>
      </text>
    </comment>
    <comment ref="E23" authorId="0">
      <text>
        <t>2Q26EarningsSupplement.pdf | Consolidated ending balance sheet | 2,538</t>
      </text>
    </comment>
    <comment ref="G23" authorId="0">
      <text>
        <t>2Q26EarningsSupplement.pdf | Consolidated ending balance sheet | 2,928</t>
      </text>
    </comment>
    <comment ref="H23" authorId="0">
      <text>
        <t>2Q26EarningsSupplement.pdf | Consolidated ending balance sheet | 3,038</t>
      </text>
    </comment>
    <comment ref="B28" authorId="0">
      <text>
        <t>1Q26EarningsSupplement.pdf | Consolidated ending balance sheet | 138,331</t>
      </text>
    </comment>
    <comment ref="C28" authorId="0">
      <text>
        <t>2Q26EarningsSupplement.pdf | Consolidated ending balance sheet | 141,582</t>
      </text>
    </comment>
    <comment ref="D28" authorId="0">
      <text>
        <t>2Q26EarningsSupplement.pdf | Consolidated ending balance sheet | 142,574</t>
      </text>
    </comment>
    <comment ref="E28" authorId="0">
      <text>
        <t>2Q26EarningsSupplement.pdf | Consolidated ending balance sheet | 148,161</t>
      </text>
    </comment>
    <comment ref="G28" authorId="0">
      <text>
        <t>2Q26EarningsSupplement.pdf | Consolidated ending balance sheet | 154,095</t>
      </text>
    </comment>
    <comment ref="H28" authorId="0">
      <text>
        <t>2Q26EarningsSupplement.pdf | Consolidated ending balance sheet | 159,655</t>
      </text>
    </comment>
    <comment ref="B32" authorId="0">
      <text>
        <t>1Q26EarningsSupplement.pdf | Consolidated ending balance sheet | 48,334</t>
      </text>
    </comment>
    <comment ref="C32" authorId="0">
      <text>
        <t>2Q26EarningsSupplement.pdf | Consolidated ending balance sheet | 48,181</t>
      </text>
    </comment>
    <comment ref="D32" authorId="0">
      <text>
        <t>2Q26EarningsSupplement.pdf | Consolidated ending balance sheet | 48,244</t>
      </text>
    </comment>
    <comment ref="E32" authorId="0">
      <text>
        <t>2Q26EarningsSupplement.pdf | Consolidated ending balance sheet | 48,920</t>
      </text>
    </comment>
    <comment ref="G32" authorId="0">
      <text>
        <t>2Q26EarningsSupplement.pdf | Consolidated ending balance sheet | 49,971</t>
      </text>
    </comment>
    <comment ref="H32" authorId="0">
      <text>
        <t>2Q26EarningsSupplement.pdf | Consolidated ending balance sheet | 52,348</t>
      </text>
    </comment>
    <comment ref="B36" authorId="0">
      <text>
        <t>1Q26EarningsSupplement.pdf | Consolidated ending balance sheet | 118,907</t>
      </text>
    </comment>
    <comment ref="C36" authorId="0">
      <text>
        <t>2Q26EarningsSupplement.pdf | Consolidated ending balance sheet | 114,475</t>
      </text>
    </comment>
    <comment ref="D36" authorId="0">
      <text>
        <t>2Q26EarningsSupplement.pdf | Consolidated ending balance sheet | 115,046</t>
      </text>
    </comment>
    <comment ref="E36" authorId="0">
      <text>
        <t>2Q26EarningsSupplement.pdf | Consolidated ending balance sheet | 115,885</t>
      </text>
    </comment>
    <comment ref="G36" authorId="0">
      <text>
        <t>2Q26EarningsSupplement.pdf | Consolidated ending balance sheet | 117,285</t>
      </text>
    </comment>
    <comment ref="H36" authorId="0">
      <text>
        <t>2Q26EarningsSupplement.pdf | Consolidated ending balance sheet | 117,311</t>
      </text>
    </comment>
    <comment ref="B40" authorId="0">
      <text>
        <t>1Q26EarningsSupplement.pdf | Consolidated ending balance sheet | 34,973</t>
      </text>
    </comment>
    <comment ref="C40" authorId="0">
      <text>
        <t>2Q26EarningsSupplement.pdf | Consolidated ending balance sheet | 35,857</t>
      </text>
    </comment>
    <comment ref="D40" authorId="0">
      <text>
        <t>2Q26EarningsSupplement.pdf | Consolidated ending balance sheet | 36,434</t>
      </text>
    </comment>
    <comment ref="E40" authorId="0">
      <text>
        <t>2Q26EarningsSupplement.pdf | Consolidated ending balance sheet | 38,031</t>
      </text>
    </comment>
    <comment ref="G40" authorId="0">
      <text>
        <t>2Q26EarningsSupplement.pdf | Consolidated ending balance sheet | 37,654</t>
      </text>
    </comment>
    <comment ref="H40" authorId="0">
      <text>
        <t>2Q26EarningsSupplement.pdf | Consolidated ending balance sheet | 39,079</t>
      </text>
    </comment>
    <comment ref="B44" authorId="0">
      <text>
        <t>1Q26EarningsSupplement.pdf | Consolidated ending balance sheet | 41,274</t>
      </text>
    </comment>
    <comment ref="C44" authorId="0">
      <text>
        <t>2Q26EarningsSupplement.pdf | Consolidated ending balance sheet | 40,148</t>
      </text>
    </comment>
    <comment ref="D44" authorId="0">
      <text>
        <t>2Q26EarningsSupplement.pdf | Consolidated ending balance sheet | 40,219</t>
      </text>
    </comment>
    <comment ref="E44" authorId="0">
      <text>
        <t>2Q26EarningsSupplement.pdf | Consolidated ending balance sheet | 40,338</t>
      </text>
    </comment>
    <comment ref="G44" authorId="0">
      <text>
        <t>2Q26EarningsSupplement.pdf | Consolidated ending balance sheet | 40,791</t>
      </text>
    </comment>
    <comment ref="H44" authorId="0">
      <text>
        <t>2Q26EarningsSupplement.pdf | Consolidated ending balance sheet | 41,907</t>
      </text>
    </comment>
    <comment ref="B61" authorId="0">
      <text>
        <t>1Q26EarningsSupplement.pdf | Consolidated ending balance sheet | (7,584)</t>
      </text>
    </comment>
    <comment ref="C61" authorId="0">
      <text>
        <t>2Q26EarningsSupplement.pdf | Consolidated ending balance sheet | (7,537)</t>
      </text>
    </comment>
    <comment ref="D61" authorId="0">
      <text>
        <t>2Q26EarningsSupplement.pdf | Consolidated ending balance sheet | (7,557)</t>
      </text>
    </comment>
    <comment ref="E61" authorId="0">
      <text>
        <t>2Q26EarningsSupplement.pdf | Consolidated ending balance sheet | (7,605)</t>
      </text>
    </comment>
    <comment ref="G61" authorId="0">
      <text>
        <t>2Q26EarningsSupplement.pdf | Consolidated ending balance sheet | (7,646)</t>
      </text>
    </comment>
    <comment ref="H61" authorId="0">
      <text>
        <t>2Q26EarningsSupplement.pdf | Consolidated ending balance sheet | (7,645)</t>
      </text>
    </comment>
    <comment ref="B65" authorId="0">
      <text>
        <t>1Q26EarningsSupplement.pdf | Consolidated ending balance sheet | 3,582</t>
      </text>
    </comment>
    <comment ref="C65" authorId="0">
      <text>
        <t>2Q26EarningsSupplement.pdf | Consolidated ending balance sheet | 3,625</t>
      </text>
    </comment>
    <comment ref="D65" authorId="0">
      <text>
        <t>2Q26EarningsSupplement.pdf | Consolidated ending balance sheet | 3,695</t>
      </text>
    </comment>
    <comment ref="E65" authorId="0">
      <text>
        <t>2Q26EarningsSupplement.pdf | Consolidated ending balance sheet | 3,768</t>
      </text>
    </comment>
    <comment ref="G65" authorId="0">
      <text>
        <t>2Q26EarningsSupplement.pdf | Consolidated ending balance sheet | 3,819</t>
      </text>
    </comment>
    <comment ref="H65" authorId="0">
      <text>
        <t>2Q26EarningsSupplement.pdf | Consolidated ending balance sheet | 3,847</t>
      </text>
    </comment>
    <comment ref="B69" authorId="0">
      <text>
        <t>1Q26EarningsSupplement.pdf | Consolidated ending balance sheet | 12,555</t>
      </text>
    </comment>
    <comment ref="C69" authorId="0">
      <text>
        <t>2Q26EarningsSupplement.pdf | Consolidated ending balance sheet | 12,637</t>
      </text>
    </comment>
    <comment ref="D69" authorId="0">
      <text>
        <t>2Q26EarningsSupplement.pdf | Consolidated ending balance sheet | 12,634</t>
      </text>
    </comment>
    <comment ref="E69" authorId="0">
      <text>
        <t>2Q26EarningsSupplement.pdf | Consolidated ending balance sheet | 12,635</t>
      </text>
    </comment>
    <comment ref="G69" authorId="0">
      <text>
        <t>2Q26EarningsSupplement.pdf | Consolidated ending balance sheet | 12,625</t>
      </text>
    </comment>
    <comment ref="H69" authorId="0">
      <text>
        <t>2Q26EarningsSupplement.pdf | Consolidated ending balance sheet | 13,234</t>
      </text>
    </comment>
    <comment ref="B73" authorId="0">
      <text>
        <t>1Q26EarningsSupplement.pdf | Consolidated ending balance sheet | 5,381</t>
      </text>
    </comment>
    <comment ref="C73" authorId="0">
      <text>
        <t>2Q26EarningsSupplement.pdf | Consolidated ending balance sheet | 5,285</t>
      </text>
    </comment>
    <comment ref="D73" authorId="0">
      <text>
        <t>2Q26EarningsSupplement.pdf | Consolidated ending balance sheet | 5,152</t>
      </text>
    </comment>
    <comment ref="E73" authorId="0">
      <text>
        <t>2Q26EarningsSupplement.pdf | Consolidated ending balance sheet | 4,904</t>
      </text>
    </comment>
    <comment ref="G73" authorId="0">
      <text>
        <t>2Q26EarningsSupplement.pdf | Consolidated ending balance sheet | 4,799</t>
      </text>
    </comment>
    <comment ref="H73" authorId="0">
      <text>
        <t>2Q26EarningsSupplement.pdf | Consolidated ending balance sheet | 4,999</t>
      </text>
    </comment>
    <comment ref="B76" authorId="0">
      <text>
        <t>1Q26EarningsSupplement.pdf | Consolidated ending balance sheet | 64,195</t>
      </text>
    </comment>
    <comment ref="C76" authorId="0">
      <text>
        <t>2Q26EarningsSupplement.pdf | Consolidated ending balance sheet | 63,566</t>
      </text>
    </comment>
    <comment ref="D76" authorId="0">
      <text>
        <t>2Q26EarningsSupplement.pdf | Consolidated ending balance sheet | 63,793</t>
      </text>
    </comment>
    <comment ref="E76" authorId="0">
      <text>
        <t>2Q26EarningsSupplement.pdf | Consolidated ending balance sheet | 70,872</t>
      </text>
    </comment>
    <comment ref="G76" authorId="0">
      <text>
        <t>2Q26EarningsSupplement.pdf | Consolidated ending balance sheet | 67,351</t>
      </text>
    </comment>
    <comment ref="H76" authorId="0">
      <text>
        <t>2Q26EarningsSupplement.pdf | Consolidated ending balance sheet | 68,484</t>
      </text>
    </comment>
    <comment ref="B80" authorId="0">
      <text>
        <t>1Q26EarningsSupplement.pdf | Consolidated ending balance sheet | 676,489</t>
      </text>
    </comment>
    <comment ref="C80" authorId="0">
      <text>
        <t>2Q26EarningsSupplement.pdf | Consolidated ending balance sheet | 686,370</t>
      </text>
    </comment>
    <comment ref="D80" authorId="0">
      <text>
        <t>2Q26EarningsSupplement.pdf | Consolidated ending balance sheet | 695,357</t>
      </text>
    </comment>
    <comment ref="E80" authorId="0">
      <text>
        <t>2Q26EarningsSupplement.pdf | Consolidated ending balance sheet | 692,345</t>
      </text>
    </comment>
    <comment ref="G80" authorId="0">
      <text>
        <t>2Q26EarningsSupplement.pdf | Consolidated ending balance sheet | 700,998</t>
      </text>
    </comment>
    <comment ref="H80" authorId="0">
      <text>
        <t>2Q26EarningsSupplement.pdf | Consolidated ending balance sheet | 725,918</t>
      </text>
    </comment>
    <comment ref="B84" authorId="0">
      <text>
        <t>1Q26EarningsSupplement.pdf | Consolidated ending balance sheet | 84,086</t>
      </text>
    </comment>
    <comment ref="C84" authorId="0">
      <text>
        <t>2Q26EarningsSupplement.pdf | Consolidated ending balance sheet | 86,972</t>
      </text>
    </comment>
    <comment ref="D84" authorId="0">
      <text>
        <t>2Q26EarningsSupplement.pdf | Consolidated ending balance sheet | 91,550</t>
      </text>
    </comment>
    <comment ref="E84" authorId="0">
      <text>
        <t>2Q26EarningsSupplement.pdf | Consolidated ending balance sheet | 84,116</t>
      </text>
    </comment>
    <comment ref="G84" authorId="0">
      <text>
        <t>2Q26EarningsSupplement.pdf | Consolidated ending balance sheet | 85,300</t>
      </text>
    </comment>
    <comment ref="H84" authorId="0">
      <text>
        <t>2Q26EarningsSupplement.pdf | Consolidated ending balance sheet | 85,791</t>
      </text>
    </comment>
    <comment ref="B88" authorId="0">
      <text>
        <t>1Q26EarningsSupplement.pdf | Consolidated ending balance sheet | 428,439</t>
      </text>
    </comment>
    <comment ref="C88" authorId="0">
      <text>
        <t>2Q26EarningsSupplement.pdf | Consolidated ending balance sheet | 431,745</t>
      </text>
    </comment>
    <comment ref="D88" authorId="0">
      <text>
        <t>2Q26EarningsSupplement.pdf | Consolidated ending balance sheet | 434,599</t>
      </text>
    </comment>
    <comment ref="E88" authorId="0">
      <text>
        <t>2Q26EarningsSupplement.pdf | Consolidated ending balance sheet | 438,100</t>
      </text>
    </comment>
    <comment ref="G88" authorId="0">
      <text>
        <t>2Q26EarningsSupplement.pdf | Consolidated ending balance sheet | 442,878</t>
      </text>
    </comment>
    <comment ref="H88" authorId="0">
      <text>
        <t>2Q26EarningsSupplement.pdf | Consolidated ending balance sheet | 446,275</t>
      </text>
    </comment>
    <comment ref="B100" authorId="0">
      <text>
        <t>1Q26EarningsSupplement.pdf | Consolidated ending balance sheet | 17,158</t>
      </text>
    </comment>
    <comment ref="C100" authorId="0">
      <text>
        <t>2Q26EarningsSupplement.pdf | Consolidated ending balance sheet | 15,039</t>
      </text>
    </comment>
    <comment ref="D100" authorId="0">
      <text>
        <t>2Q26EarningsSupplement.pdf | Consolidated ending balance sheet | 15,449</t>
      </text>
    </comment>
    <comment ref="E100" authorId="0">
      <text>
        <t>2Q26EarningsSupplement.pdf | Consolidated ending balance sheet | 17,162</t>
      </text>
    </comment>
    <comment ref="G100" authorId="0">
      <text>
        <t>2Q26EarningsSupplement.pdf | Consolidated ending balance sheet | 17,859</t>
      </text>
    </comment>
    <comment ref="H100" authorId="0">
      <text>
        <t>2Q26EarningsSupplement.pdf | Consolidated ending balance sheet | 37,337</t>
      </text>
    </comment>
    <comment ref="B104" authorId="0">
      <text>
        <t>1Q26EarningsSupplement.pdf | Consolidated ending balance sheet | 59,859</t>
      </text>
    </comment>
    <comment ref="C104" authorId="0">
      <text>
        <t>2Q26EarningsSupplement.pdf | Consolidated ending balance sheet | 64,013</t>
      </text>
    </comment>
    <comment ref="D104" authorId="0">
      <text>
        <t>2Q26EarningsSupplement.pdf | Consolidated ending balance sheet | 62,535</t>
      </text>
    </comment>
    <comment ref="E104" authorId="0">
      <text>
        <t>2Q26EarningsSupplement.pdf | Consolidated ending balance sheet | 60,764</t>
      </text>
    </comment>
    <comment ref="G104" authorId="0">
      <text>
        <t>2Q26EarningsSupplement.pdf | Consolidated ending balance sheet | 61,361</t>
      </text>
    </comment>
    <comment ref="H104" authorId="0">
      <text>
        <t>2Q26EarningsSupplement.pdf | Consolidated ending balance sheet | 58,671</t>
      </text>
    </comment>
    <comment ref="B108" authorId="0">
      <text>
        <t>1Q26EarningsSupplement.pdf | Consolidated ending balance sheet | 26,389</t>
      </text>
    </comment>
    <comment ref="C108" authorId="0">
      <text>
        <t>2Q26EarningsSupplement.pdf | Consolidated ending balance sheet | 26,705</t>
      </text>
    </comment>
    <comment ref="D108" authorId="0">
      <text>
        <t>2Q26EarningsSupplement.pdf | Consolidated ending balance sheet | 27,426</t>
      </text>
    </comment>
    <comment ref="E108" authorId="0">
      <text>
        <t>2Q26EarningsSupplement.pdf | Consolidated ending balance sheet | 26,552</t>
      </text>
    </comment>
    <comment ref="G108" authorId="0">
      <text>
        <t>2Q26EarningsSupplement.pdf | Consolidated ending balance sheet | 27,353</t>
      </text>
    </comment>
    <comment ref="H108" authorId="0">
      <text>
        <t>2Q26EarningsSupplement.pdf | Consolidated ending balance sheet | 29,949</t>
      </text>
    </comment>
    <comment ref="B115" authorId="0">
      <text>
        <t>1Q26EarningsSupplement.pdf | Consolidated ending balance sheet | 6,808</t>
      </text>
    </comment>
    <comment ref="C115" authorId="0">
      <text>
        <t>2Q26EarningsSupplement.pdf | Consolidated ending balance sheet | 6,808</t>
      </text>
    </comment>
    <comment ref="D115" authorId="0">
      <text>
        <t>2Q26EarningsSupplement.pdf | Consolidated ending balance sheet | 6,808</t>
      </text>
    </comment>
    <comment ref="E115" authorId="0">
      <text>
        <t>2Q26EarningsSupplement.pdf | Consolidated ending balance sheet | 6,808</t>
      </text>
    </comment>
    <comment ref="G115" authorId="0">
      <text>
        <t>2Q26EarningsSupplement.pdf | Consolidated ending balance sheet | 6,808</t>
      </text>
    </comment>
    <comment ref="H115" authorId="0">
      <text>
        <t>2Q26EarningsSupplement.pdf | Consolidated ending balance sheet | 6,808</t>
      </text>
    </comment>
    <comment ref="B119" authorId="0">
      <text>
        <t>1Q26EarningsSupplement.pdf | Consolidated ending balance sheet | 21</t>
      </text>
    </comment>
    <comment ref="C119" authorId="0">
      <text>
        <t>2Q26EarningsSupplement.pdf | Consolidated ending balance sheet | 21</t>
      </text>
    </comment>
    <comment ref="D119" authorId="0">
      <text>
        <t>2Q26EarningsSupplement.pdf | Consolidated ending balance sheet | 21</t>
      </text>
    </comment>
    <comment ref="E119" authorId="0">
      <text>
        <t>2Q26EarningsSupplement.pdf | Consolidated ending balance sheet | 21</t>
      </text>
    </comment>
    <comment ref="G119" authorId="0">
      <text>
        <t>2Q26EarningsSupplement.pdf | Consolidated ending balance sheet | 21</t>
      </text>
    </comment>
    <comment ref="H119" authorId="0">
      <text>
        <t>2Q26EarningsSupplement.pdf | Consolidated ending balance sheet | 21</t>
      </text>
    </comment>
    <comment ref="B123" authorId="0">
      <text>
        <t>1Q26EarningsSupplement.pdf | Consolidated ending balance sheet | 8,678</t>
      </text>
    </comment>
    <comment ref="C123" authorId="0">
      <text>
        <t>2Q26EarningsSupplement.pdf | Consolidated ending balance sheet | 8,706</t>
      </text>
    </comment>
    <comment ref="D123" authorId="0">
      <text>
        <t>2Q26EarningsSupplement.pdf | Consolidated ending balance sheet | 8,745</t>
      </text>
    </comment>
    <comment ref="E123" authorId="0">
      <text>
        <t>2Q26EarningsSupplement.pdf | Consolidated ending balance sheet | 8,728</t>
      </text>
    </comment>
    <comment ref="G123" authorId="0">
      <text>
        <t>2Q26EarningsSupplement.pdf | Consolidated ending balance sheet | 8,623</t>
      </text>
    </comment>
    <comment ref="H123" authorId="0">
      <text>
        <t>2Q26EarningsSupplement.pdf | Consolidated ending balance sheet | 8,773</t>
      </text>
    </comment>
    <comment ref="B127" authorId="0">
      <text>
        <t>1Q26EarningsSupplement.pdf | Consolidated ending balance sheet | 77,691</t>
      </text>
    </comment>
    <comment ref="C127" authorId="0">
      <text>
        <t>2Q26EarningsSupplement.pdf | Consolidated ending balance sheet | 78,652</t>
      </text>
    </comment>
    <comment ref="D127" authorId="0">
      <text>
        <t>2Q26EarningsSupplement.pdf | Consolidated ending balance sheet | 79,742</t>
      </text>
    </comment>
    <comment ref="E127" authorId="0">
      <text>
        <t>2Q26EarningsSupplement.pdf | Consolidated ending balance sheet | 80,906</t>
      </text>
    </comment>
    <comment ref="G127" authorId="0">
      <text>
        <t>2Q26EarningsSupplement.pdf | Consolidated ending balance sheet | 81,944</t>
      </text>
    </comment>
    <comment ref="H127" authorId="0">
      <text>
        <t>2Q26EarningsSupplement.pdf | Consolidated ending balance sheet | 83,241</t>
      </text>
    </comment>
    <comment ref="B130" authorId="0">
      <text>
        <t>1Q26EarningsSupplement.pdf | Consolidated ending balance sheet | (24,060)</t>
      </text>
    </comment>
    <comment ref="C130" authorId="0">
      <text>
        <t>2Q26EarningsSupplement.pdf | Consolidated ending balance sheet | (24,140)</t>
      </text>
    </comment>
    <comment ref="D130" authorId="0">
      <text>
        <t>2Q26EarningsSupplement.pdf | Consolidated ending balance sheet | (24,228)</t>
      </text>
    </comment>
    <comment ref="E130" authorId="0">
      <text>
        <t>2Q26EarningsSupplement.pdf | Consolidated ending balance sheet | (24,283)</t>
      </text>
    </comment>
    <comment ref="G130" authorId="0">
      <text>
        <t>2Q26EarningsSupplement.pdf | Consolidated ending balance sheet | (24,387)</t>
      </text>
    </comment>
    <comment ref="H130" authorId="0">
      <text>
        <t>2Q26EarningsSupplement.pdf | Consolidated ending balance sheet | (24,300)</t>
      </text>
    </comment>
    <comment ref="B133" authorId="0">
      <text>
        <t>1Q26EarningsSupplement.pdf | Consolidated ending balance sheet | (9,042)</t>
      </text>
    </comment>
    <comment ref="C133" authorId="0">
      <text>
        <t>2Q26EarningsSupplement.pdf | Consolidated ending balance sheet | (8,609)</t>
      </text>
    </comment>
    <comment ref="D133" authorId="0">
      <text>
        <t>2Q26EarningsSupplement.pdf | Consolidated ending balance sheet | (7,748)</t>
      </text>
    </comment>
    <comment ref="E133" authorId="0">
      <text>
        <t>2Q26EarningsSupplement.pdf | Consolidated ending balance sheet | (6,987)</t>
      </text>
    </comment>
    <comment ref="G133" authorId="0">
      <text>
        <t>2Q26EarningsSupplement.pdf | Consolidated ending balance sheet | (7,223)</t>
      </text>
    </comment>
    <comment ref="H133" authorId="0">
      <text>
        <t>2Q26EarningsSupplement.pdf | Consolidated ending balance sheet | (7,111)</t>
      </text>
    </comment>
    <comment ref="B143" authorId="0">
      <text>
        <t>1Q26EarningsSupplement.pdf | Consolidated ending balance sheet | 462</t>
      </text>
    </comment>
    <comment ref="C143" authorId="0">
      <text>
        <t>2Q26EarningsSupplement.pdf | Consolidated ending balance sheet | 458</t>
      </text>
    </comment>
    <comment ref="D143" authorId="0">
      <text>
        <t>2Q26EarningsSupplement.pdf | Consolidated ending balance sheet | 458</t>
      </text>
    </comment>
    <comment ref="E143" authorId="0">
      <text>
        <t>2Q26EarningsSupplement.pdf | Consolidated ending balance sheet | 458</t>
      </text>
    </comment>
    <comment ref="G143" authorId="0">
      <text>
        <t>2Q26EarningsSupplement.pdf | Consolidated ending balance sheet | 461</t>
      </text>
    </comment>
    <comment ref="H143" authorId="0">
      <text>
        <t>2Q26EarningsSupplement.pdf | Consolidated ending balance sheet | 463</t>
      </text>
    </comment>
    <comment ref="B153" authorId="0">
      <text>
        <t>a1q26earningsrelease.htm | Allowance for credit losses | 547</t>
      </text>
    </comment>
    <comment ref="C153" authorId="0">
      <text>
        <t>a2q26earningsrelease.htm | Allowance for credit losses | 554</t>
      </text>
    </comment>
    <comment ref="D153" authorId="0">
      <text>
        <t>a2q26earningsrelease.htm | Allowance for credit losses | 536</t>
      </text>
    </comment>
    <comment ref="E153" authorId="0">
      <text>
        <t>a2q26earningsrelease.htm | Allowance for credit losses | 527</t>
      </text>
    </comment>
    <comment ref="G153" authorId="0">
      <text>
        <t>a2q26earningsrelease.htm | Allowance for credit losses | 546</t>
      </text>
    </comment>
    <comment ref="H153" authorId="0">
      <text>
        <t>a2q26earningsrelease.htm | Allowance for credit losses | 536</t>
      </text>
    </comment>
    <comment ref="C160" authorId="0">
      <text>
        <t>a2q26earningsrelease.htm | Capital position | 10.7</t>
      </text>
    </comment>
    <comment ref="D160" authorId="0">
      <text>
        <t>a2q26earningsrelease.htm | Capital position | 10.9</t>
      </text>
    </comment>
    <comment ref="E160" authorId="0">
      <text>
        <t>a2q26earningsrelease.htm | Capital position | 10.8</t>
      </text>
    </comment>
    <comment ref="G160" authorId="0">
      <text>
        <t>a2q26earningsrelease.htm | Capital position | 10.8</t>
      </text>
    </comment>
    <comment ref="H160" authorId="0">
      <text>
        <t>a2q26earningsrelease.htm | Capital position | 10.8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B10" authorId="0">
      <text>
        <t>a1q26earningsrelease.htm | Common shares table | 1,560</t>
      </text>
    </comment>
    <comment ref="C10" authorId="0">
      <text>
        <t>a1q26earningsrelease.htm | Common shares table | 1,560</t>
      </text>
    </comment>
    <comment ref="D10" authorId="0">
      <text>
        <t>a1q26earningsrelease.htm | Common shares table | 1,558</t>
      </text>
    </comment>
    <comment ref="E10" authorId="0">
      <text>
        <t>a1q26earningsrelease.htm | Common shares table | 1,556</t>
      </text>
    </comment>
    <comment ref="G10" authorId="0">
      <text>
        <t>a2q26earningsrelease.htm | Common shares table | 1,555</t>
      </text>
    </comment>
    <comment ref="H10" authorId="0">
      <text>
        <t>a2q26earningsrelease.htm | Common shares table | 1,555</t>
      </text>
    </comment>
    <comment ref="B11" authorId="0">
      <text>
        <t>a1q26earningsrelease.htm | Common shares table | 4</t>
      </text>
    </comment>
    <comment ref="C11" authorId="0">
      <text>
        <t>a1q26earningsrelease.htm | Common shares table | 0</t>
      </text>
    </comment>
    <comment ref="D11" authorId="0">
      <text>
        <t>a1q26earningsrelease.htm | Common shares table | 0</t>
      </text>
    </comment>
    <comment ref="E11" authorId="0">
      <text>
        <t>a1q26earningsrelease.htm | Common shares table | 2</t>
      </text>
    </comment>
    <comment ref="G11" authorId="0">
      <text>
        <t>a2q26earningsrelease.htm | Common shares table | 5</t>
      </text>
    </comment>
    <comment ref="H11" authorId="0">
      <text>
        <t>a2q26earningsrelease.htm | Common shares table | 6</t>
      </text>
    </comment>
    <comment ref="B14" authorId="0">
      <text>
        <t>a1q26earningsrelease.htm | Common shares table | 4</t>
      </text>
    </comment>
    <comment ref="C14" authorId="0">
      <text>
        <t>a1q26earningsrelease.htm | Common shares table | 2</t>
      </text>
    </comment>
    <comment ref="D14" authorId="0">
      <text>
        <t>a1q26earningsrelease.htm | Common shares table | 2</t>
      </text>
    </comment>
    <comment ref="E14" authorId="0">
      <text>
        <t>a1q26earningsrelease.htm | Common shares table | 3</t>
      </text>
    </comment>
    <comment ref="G14" authorId="0">
      <text>
        <t>a2q26earningsrelease.htm | Common shares table | 5</t>
      </text>
    </comment>
    <comment ref="H14" authorId="0">
      <text>
        <t>a2q26earningsrelease.htm | Common shares table | 3</t>
      </text>
    </comment>
    <comment ref="B18" authorId="0">
      <text>
        <t>a1q26earningsrelease.htm | Common shares table | 1,560</t>
      </text>
    </comment>
    <comment ref="C18" authorId="0">
      <text>
        <t>a1q26earningsrelease.htm | Common shares table | 1,558</t>
      </text>
    </comment>
    <comment ref="D18" authorId="0">
      <text>
        <t>a1q26earningsrelease.htm | Common shares table | 1,556</t>
      </text>
    </comment>
    <comment ref="E18" authorId="0">
      <text>
        <t>a1q26earningsrelease.htm | Common shares table | 1,555</t>
      </text>
    </comment>
    <comment ref="G18" authorId="0">
      <text>
        <t>a2q26earningsrelease.htm | Common shares table | 1,555</t>
      </text>
    </comment>
    <comment ref="H18" authorId="0">
      <text>
        <t>a2q26earningsrelease.htm | Common shares table | 1,558</t>
      </text>
    </comment>
    <comment ref="B22" authorId="0">
      <text>
        <t>1Q26EarningsSupplement.pdf | Quarterly consolidated statement of income | 1,559</t>
      </text>
    </comment>
    <comment ref="C22" authorId="0">
      <text>
        <t>2Q26EarningsSupplement.pdf | Quarterly consolidated statement of income | 1,559</t>
      </text>
    </comment>
    <comment ref="D22" authorId="0">
      <text>
        <t>2Q26EarningsSupplement.pdf | Quarterly consolidated statement of income | 1,557</t>
      </text>
    </comment>
    <comment ref="E22" authorId="0">
      <text>
        <t>2Q26EarningsSupplement.pdf | Quarterly consolidated statement of income | 1,555</t>
      </text>
    </comment>
    <comment ref="G22" authorId="0">
      <text>
        <t>2Q26EarningsSupplement.pdf | Quarterly consolidated statement of income | 1,554</t>
      </text>
    </comment>
    <comment ref="H22" authorId="0">
      <text>
        <t>2Q26EarningsSupplement.pdf | Quarterly consolidated statement of income | 1,554</t>
      </text>
    </comment>
    <comment ref="B31" authorId="0">
      <text>
        <t>1Q26EarningsSupplement.pdf | Quarterly consolidated statement of income | 1,560</t>
      </text>
    </comment>
    <comment ref="C31" authorId="0">
      <text>
        <t>2Q26EarningsSupplement.pdf | Quarterly consolidated statement of income | 1,559</t>
      </text>
    </comment>
    <comment ref="D31" authorId="0">
      <text>
        <t>2Q26EarningsSupplement.pdf | Quarterly consolidated statement of income | 1,557</t>
      </text>
    </comment>
    <comment ref="E31" authorId="0">
      <text>
        <t>2Q26EarningsSupplement.pdf | Quarterly consolidated statement of income | 1,556</t>
      </text>
    </comment>
    <comment ref="G31" authorId="0">
      <text>
        <t>2Q26EarningsSupplement.pdf | Quarterly consolidated statement of income | 1,555</t>
      </text>
    </comment>
    <comment ref="H31" authorId="0">
      <text>
        <t>2Q26EarningsSupplement.pdf | Quarterly consolidated statement of income | 1,555</t>
      </text>
    </comment>
    <comment ref="B41" authorId="0">
      <text>
        <t>1Q26EarningsSupplement.pdf | Quarterly consolidated statement of income | 0.50</t>
      </text>
    </comment>
    <comment ref="C41" authorId="0">
      <text>
        <t>2Q26EarningsSupplement.pdf | Quarterly consolidated statement of income | 0.50</t>
      </text>
    </comment>
    <comment ref="D41" authorId="0">
      <text>
        <t>2Q26EarningsSupplement.pdf | Quarterly consolidated statement of income | 0.52</t>
      </text>
    </comment>
    <comment ref="E41" authorId="0">
      <text>
        <t>2Q26EarningsSupplement.pdf | Quarterly consolidated statement of income | 0.52</t>
      </text>
    </comment>
    <comment ref="G41" authorId="0">
      <text>
        <t>2Q26EarningsSupplement.pdf | Quarterly consolidated statement of income | 0.52</t>
      </text>
    </comment>
    <comment ref="H41" authorId="0">
      <text>
        <t>2Q26EarningsSupplement.pdf | Quarterly consolidated statement of income | 0.52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D6" authorId="0">
      <text>
        <t>S17 | 3Q25 guidance ($mm) | 4100</t>
      </text>
    </comment>
    <comment ref="E6" authorId="0">
      <text>
        <t>S17 | 3Q25 guidance ($mm) | 4200</t>
      </text>
    </comment>
    <comment ref="D7" authorId="0">
      <text>
        <t>S17 | 3Q25 guidance ($mm (~)) | 3000</t>
      </text>
    </comment>
    <comment ref="E7" authorId="0">
      <text>
        <t>S17 | 3Q25 guidance ($mm (~)) | 3000</t>
      </text>
    </comment>
    <comment ref="E8" authorId="0">
      <text>
        <t>S17 | 3Q25 guidance ($mm (or lower)) | 4200</t>
      </text>
    </comment>
    <comment ref="D9" authorId="0">
      <text>
        <t>S16 | 4Q25 guidance (% Q/Q (relatively stable)) | 0.0</t>
      </text>
    </comment>
    <comment ref="E9" authorId="0">
      <text>
        <t>S16 | 4Q25 guidance (% Q/Q (relatively stable)) | 0.0</t>
      </text>
    </comment>
    <comment ref="D10" authorId="0">
      <text>
        <t>S16 | 4Q25 guidance ($mm (~)) | 3000</t>
      </text>
    </comment>
    <comment ref="E10" authorId="0">
      <text>
        <t>S16 | 4Q25 guidance ($mm (~)) | 3000</t>
      </text>
    </comment>
    <comment ref="D11" authorId="0">
      <text>
        <t>S16 | 4Q25 guidance (% Q/Q) | 0.01</t>
      </text>
    </comment>
    <comment ref="E11" authorId="0">
      <text>
        <t>S16 | 4Q25 guidance (% Q/Q) | 0.015</t>
      </text>
    </comment>
    <comment ref="D12" authorId="0">
      <text>
        <t>S15 | 1Q26 guidance (% Y/Y) | 0.03</t>
      </text>
    </comment>
    <comment ref="E12" authorId="0">
      <text>
        <t>S15 | 1Q26 guidance (% Y/Y) | 0.04</t>
      </text>
    </comment>
    <comment ref="D13" authorId="0">
      <text>
        <t>S15 | 1Q26 guidance (% Y/Y) | 0.05</t>
      </text>
    </comment>
    <comment ref="E13" authorId="0">
      <text>
        <t>S15 | 1Q26 guidance (% Y/Y) | 0.06</t>
      </text>
    </comment>
    <comment ref="D14" authorId="0">
      <text>
        <t>S15 | 1Q26 guidance (% Y/Y (~1%)) | 0.01</t>
      </text>
    </comment>
    <comment ref="E14" authorId="0">
      <text>
        <t>S15 | 1Q26 guidance (% Y/Y (~1%)) | 0.01</t>
      </text>
    </comment>
    <comment ref="D15" authorId="0">
      <text>
        <t>S15 | FY26 guidance (% Y/Y) | 0.04</t>
      </text>
    </comment>
    <comment ref="E15" authorId="0">
      <text>
        <t>S15 | FY26 guidance (% Y/Y) | 0.06</t>
      </text>
    </comment>
    <comment ref="D16" authorId="0">
      <text>
        <t>S14 | 2Q26 guidance (% Y/Y) | 0.06</t>
      </text>
    </comment>
    <comment ref="E16" authorId="0">
      <text>
        <t>S14 | 2Q26 guidance (% Y/Y) | 0.07</t>
      </text>
    </comment>
    <comment ref="D17" authorId="0">
      <text>
        <t>S14 | 2Q26 guidance (% Y/Y) | 0.06</t>
      </text>
    </comment>
    <comment ref="E17" authorId="0">
      <text>
        <t>S14 | 2Q26 guidance (% Y/Y) | 0.07</t>
      </text>
    </comment>
    <comment ref="D18" authorId="0">
      <text>
        <t>S14 | 2Q26 guidance (% Y/Y) | 0.03</t>
      </text>
    </comment>
    <comment ref="E18" authorId="0">
      <text>
        <t>S14 | 2Q26 guidance (% Y/Y) | 0.04</t>
      </text>
    </comment>
    <comment ref="D19" authorId="0">
      <text>
        <t>S12 | 3Q26 guidance (% Y/Y) | 0.04</t>
      </text>
    </comment>
    <comment ref="E19" authorId="0">
      <text>
        <t>S12 | 3Q26 guidance (% Y/Y) | 0.06</t>
      </text>
    </comment>
    <comment ref="D20" authorId="0">
      <text>
        <t>S12 | 3Q26 guidance (% Y/Y) | 0.12</t>
      </text>
    </comment>
    <comment ref="E20" authorId="0">
      <text>
        <t>S12 | 3Q26 guidance (% Y/Y) | 0.14</t>
      </text>
    </comment>
    <comment ref="D21" authorId="0">
      <text>
        <t>S12 | 3Q26 guidance (% Y/Y (~8%)) | 0.08</t>
      </text>
    </comment>
    <comment ref="E21" authorId="0">
      <text>
        <t>S12 | 3Q26 guidance (% Y/Y (~8%)) | 0.08</t>
      </text>
    </comment>
    <comment ref="D22" authorId="0">
      <text>
        <t>S12 | 3Q26 guidance ($mm (~)) | 160</t>
      </text>
    </comment>
    <comment ref="E22" authorId="0">
      <text>
        <t>S12 | 3Q26 guidance ($mm (~)) | 160</t>
      </text>
    </comment>
    <comment ref="D23" authorId="0">
      <text>
        <t>S12 | 3Q26 guidance ($mm (~)) | 200</t>
      </text>
    </comment>
    <comment ref="E23" authorId="0">
      <text>
        <t>S12 | 3Q26 guidance ($mm (~)) | 200</t>
      </text>
    </comment>
    <comment ref="D24" authorId="0">
      <text>
        <t>S12 | 2H26 guidance ($mm (~)) | 60</t>
      </text>
    </comment>
    <comment ref="E24" authorId="0">
      <text>
        <t>S12 | 2H26 guidance ($mm (~)) | 60</t>
      </text>
    </comment>
    <comment ref="D25" authorId="0">
      <text>
        <t>S12 | FY26 guidance (% Y/Y) | 0.07</t>
      </text>
    </comment>
    <comment ref="E25" authorId="0">
      <text>
        <t>S12 | FY26 guidance (% Y/Y) | 0.09</t>
      </text>
    </comment>
    <comment ref="D26" authorId="0">
      <text>
        <t>S13 | 3Q26 guidance (% Y/Y ("high end" of 4-6%)) | 0.06</t>
      </text>
    </comment>
    <comment ref="E26" authorId="0">
      <text>
        <t>S13 | 3Q26 guidance (% Y/Y ("high end" of 4-6%)) | 0.06</t>
      </text>
    </comment>
    <comment ref="D27" authorId="0">
      <text>
        <t>S13 | 3Q26 guidance (% Y/Y ("high end" of 12-14%, maybe above)) | 0.14</t>
      </text>
    </comment>
    <comment ref="E27" authorId="0">
      <text>
        <t>S13 | 3Q26 guidance (% Y/Y ("high end" of 12-14%, maybe above)) | 0.14</t>
      </text>
    </comment>
    <comment ref="D28" authorId="0">
      <text>
        <t>S13 | 3Q26 guidance (% Y/Y ("as expected")) | 0.08</t>
      </text>
    </comment>
    <comment ref="E28" authorId="0">
      <text>
        <t>S13 | 3Q26 guidance (% Y/Y ("as expected")) | 0.08</t>
      </text>
    </comment>
    <comment ref="K30" authorId="0">
      <text>
        <t>a2q26earningsrelease.htm | 2Q26 Financial Highlights | $84 million of noninterest expense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B12" authorId="0">
      <text>
        <t>USB_consensus.json | analyst_count | 15</t>
      </text>
    </comment>
    <comment ref="B13" authorId="0">
      <text>
        <t>USB_consensus.json | consensus_eps | 1.33</t>
      </text>
    </comment>
    <comment ref="B15" authorId="0">
      <text>
        <t>USB_consensus.json | consensus_revenue_m | 8006.85</t>
      </text>
    </comment>
    <comment ref="B29" authorId="0">
      <text>
        <t>USB_consensus.json | summary_row.capiq_company_id | 305304</t>
      </text>
    </comment>
    <comment ref="B36" authorId="0">
      <text>
        <t>USB_consensus.json | summary_row.analysts_covering | 24</t>
      </text>
    </comment>
    <comment ref="B37" authorId="0">
      <text>
        <t>USB_consensus.json | summary_row.eps_normalized_mean | 1.33</t>
      </text>
    </comment>
    <comment ref="B38" authorId="0">
      <text>
        <t>USB_consensus.json | summary_row.eps_normalized_median | 1.33</t>
      </text>
    </comment>
    <comment ref="B39" authorId="0">
      <text>
        <t>USB_consensus.json | summary_row.eps_normalized_high | 1.41</t>
      </text>
    </comment>
    <comment ref="B40" authorId="0">
      <text>
        <t>USB_consensus.json | summary_row.eps_normalized_low | 1.25</t>
      </text>
    </comment>
    <comment ref="B41" authorId="0">
      <text>
        <t>USB_consensus.json | summary_row.eps_normalized_std_dev | 0.04</t>
      </text>
    </comment>
    <comment ref="B42" authorId="0">
      <text>
        <t>USB_consensus.json | summary_row.eps_normalized_n_est | 15</t>
      </text>
    </comment>
    <comment ref="B46" authorId="0">
      <text>
        <t>USB_consensus.json | summary_row.eps_gaap_mean | 1.32</t>
      </text>
    </comment>
    <comment ref="B47" authorId="0">
      <text>
        <t>USB_consensus.json | summary_row.eps_gaap_median | 1.31</t>
      </text>
    </comment>
    <comment ref="B48" authorId="0">
      <text>
        <t>USB_consensus.json | summary_row.eps_gaap_high | 1.38</t>
      </text>
    </comment>
    <comment ref="B49" authorId="0">
      <text>
        <t>USB_consensus.json | summary_row.eps_gaap_low | 1.24</t>
      </text>
    </comment>
    <comment ref="B50" authorId="0">
      <text>
        <t>USB_consensus.json | summary_row.eps_gaap_std_dev | 0.03</t>
      </text>
    </comment>
    <comment ref="B51" authorId="0">
      <text>
        <t>USB_consensus.json | summary_row.eps_gaap_n_est | 19</t>
      </text>
    </comment>
    <comment ref="B53" authorId="0">
      <text>
        <t>USB_consensus.json | summary_row.revenue_m_mean | 8006.85</t>
      </text>
    </comment>
    <comment ref="B54" authorId="0">
      <text>
        <t>USB_consensus.json | summary_row.revenue_m_median | 8012.0</t>
      </text>
    </comment>
    <comment ref="B55" authorId="0">
      <text>
        <t>USB_consensus.json | summary_row.revenue_m_high | 8048.0</t>
      </text>
    </comment>
    <comment ref="B56" authorId="0">
      <text>
        <t>USB_consensus.json | summary_row.revenue_m_low | 7866.0</t>
      </text>
    </comment>
    <comment ref="B57" authorId="0">
      <text>
        <t>USB_consensus.json | summary_row.revenue_m_std_dev | 43.88</t>
      </text>
    </comment>
    <comment ref="B58" authorId="0">
      <text>
        <t>USB_consensus.json | summary_row.revenue_m_n_est | 13</t>
      </text>
    </comment>
    <comment ref="B63" authorId="0">
      <text>
        <t>USB_consensus.json | summary_row.ebit_m | 3476.29</t>
      </text>
    </comment>
    <comment ref="B64" authorId="0">
      <text>
        <t>USB_consensus.json | summary_row.ebt_excl_excep_m | 2723.74</t>
      </text>
    </comment>
    <comment ref="B65" authorId="0">
      <text>
        <t>USB_consensus.json | summary_row.ebt_gaap_m | 2717.04</t>
      </text>
    </comment>
    <comment ref="B66" authorId="0">
      <text>
        <t>USB_consensus.json | summary_row.net_income_excl_excep_m | 2086.87</t>
      </text>
    </comment>
    <comment ref="B67" authorId="0">
      <text>
        <t>USB_consensus.json | summary_row.net_income_gaap_m | 2062.14</t>
      </text>
    </comment>
    <comment ref="B68" authorId="0">
      <text>
        <t>USB_consensus.json | summary_row.gross_margin_pct | 2.82</t>
      </text>
    </comment>
    <comment ref="B69" authorId="0">
      <text>
        <t>USB_consensus.json | summary_row.effective_tax_rate_pct | 20.56</t>
      </text>
    </comment>
    <comment ref="B79" authorId="0">
      <text>
        <t>USB_consensus.json | summary_row.nav_m | 47220.2</t>
      </text>
    </comment>
    <comment ref="B81" authorId="0">
      <text>
        <t>USB_consensus.json | summary_row.roe_pct | 13.18</t>
      </text>
    </comment>
    <comment ref="B82" authorId="0">
      <text>
        <t>USB_consensus.json | summary_row.target_price_mean | 69.0</t>
      </text>
    </comment>
    <comment ref="B83" authorId="0">
      <text>
        <t>USB_consensus.json | summary_row.target_price_median | 68.0</t>
      </text>
    </comment>
    <comment ref="B84" authorId="0">
      <text>
        <t>USB_consensus.json | summary_row.target_price_high | 76.0</t>
      </text>
    </comment>
    <comment ref="B85" authorId="0">
      <text>
        <t>USB_consensus.json | summary_row.target_price_low | 64.0</t>
      </text>
    </comment>
    <comment ref="B86" authorId="0">
      <text>
        <t>USB_consensus.json | summary_row.target_price_std_dev | 3.66</t>
      </text>
    </comment>
    <comment ref="B87" authorId="0">
      <text>
        <t>USB_consensus.json | summary_row.target_price_n_est | 22</t>
      </text>
    </comment>
    <comment ref="B89" authorId="0">
      <text>
        <t>USB_consensus.json | summary_row.recommendation_score | 1.79</t>
      </text>
    </comment>
    <comment ref="B90" authorId="0">
      <text>
        <t>USB_consensus.json | summary_row.last_close_price | 57.08</t>
      </text>
    </comment>
    <comment ref="C100" authorId="0">
      <text>
        <t>USB_history.csv | 2025-03-31 eps_normalized_consensus | 0.97</t>
      </text>
    </comment>
    <comment ref="D100" authorId="0">
      <text>
        <t>USB_history.csv | 2025-03-31 eps_normalized_actual | 1.03</t>
      </text>
    </comment>
    <comment ref="E100" authorId="0">
      <text>
        <t>USB_history.csv | 2025-03-31 eps_gaap_consensus | 0.98</t>
      </text>
    </comment>
    <comment ref="F100" authorId="0">
      <text>
        <t>USB_history.csv | 2025-03-31 eps_gaap_actual | 1.03</t>
      </text>
    </comment>
    <comment ref="G100" authorId="0">
      <text>
        <t>USB_history.csv | 2025-03-31 revenue_m_consensus | 6906.15</t>
      </text>
    </comment>
    <comment ref="H100" authorId="0">
      <text>
        <t>USB_history.csv | 2025-03-31 revenue_m_actual | 6958.0</t>
      </text>
    </comment>
    <comment ref="C101" authorId="0">
      <text>
        <t>USB_history.csv | 2025-06-30 eps_normalized_consensus | 1.07</t>
      </text>
    </comment>
    <comment ref="D101" authorId="0">
      <text>
        <t>USB_history.csv | 2025-06-30 eps_normalized_actual | 1.11</t>
      </text>
    </comment>
    <comment ref="E101" authorId="0">
      <text>
        <t>USB_history.csv | 2025-06-30 eps_gaap_consensus | 1.07</t>
      </text>
    </comment>
    <comment ref="F101" authorId="0">
      <text>
        <t>USB_history.csv | 2025-06-30 eps_gaap_actual | 1.11</t>
      </text>
    </comment>
    <comment ref="G101" authorId="0">
      <text>
        <t>USB_history.csv | 2025-06-30 revenue_m_consensus | 7054.79</t>
      </text>
    </comment>
    <comment ref="H101" authorId="0">
      <text>
        <t>USB_history.csv | 2025-06-30 revenue_m_actual | 7004.0</t>
      </text>
    </comment>
    <comment ref="C102" authorId="0">
      <text>
        <t>USB_history.csv | 2025-09-30 eps_normalized_consensus | 1.12</t>
      </text>
    </comment>
    <comment ref="D102" authorId="0">
      <text>
        <t>USB_history.csv | 2025-09-30 eps_normalized_actual | 1.22</t>
      </text>
    </comment>
    <comment ref="E102" authorId="0">
      <text>
        <t>USB_history.csv | 2025-09-30 eps_gaap_consensus | 1.12</t>
      </text>
    </comment>
    <comment ref="F102" authorId="0">
      <text>
        <t>USB_history.csv | 2025-09-30 eps_gaap_actual | 1.22</t>
      </text>
    </comment>
    <comment ref="G102" authorId="0">
      <text>
        <t>USB_history.csv | 2025-09-30 revenue_m_consensus | 7177.94</t>
      </text>
    </comment>
    <comment ref="H102" authorId="0">
      <text>
        <t>USB_history.csv | 2025-09-30 revenue_m_actual | 7329.0</t>
      </text>
    </comment>
    <comment ref="C103" authorId="0">
      <text>
        <t>USB_history.csv | 2025-12-31 eps_normalized_consensus | 1.19</t>
      </text>
    </comment>
    <comment ref="D103" authorId="0">
      <text>
        <t>USB_history.csv | 2025-12-31 eps_normalized_actual | 1.26</t>
      </text>
    </comment>
    <comment ref="E103" authorId="0">
      <text>
        <t>USB_history.csv | 2025-12-31 eps_gaap_consensus | 1.19</t>
      </text>
    </comment>
    <comment ref="F103" authorId="0">
      <text>
        <t>USB_history.csv | 2025-12-31 eps_gaap_actual | 1.26</t>
      </text>
    </comment>
    <comment ref="G103" authorId="0">
      <text>
        <t>USB_history.csv | 2025-12-31 revenue_m_consensus | 7319.94</t>
      </text>
    </comment>
    <comment ref="H103" authorId="0">
      <text>
        <t>USB_history.csv | 2025-12-31 revenue_m_actual | 7365.0</t>
      </text>
    </comment>
    <comment ref="C104" authorId="0">
      <text>
        <t>USB_history.csv | 2026-03-31 eps_normalized_consensus | 1.14</t>
      </text>
    </comment>
    <comment ref="D104" authorId="0">
      <text>
        <t>USB_history.csv | 2026-03-31 eps_normalized_actual | 1.2</t>
      </text>
    </comment>
    <comment ref="E104" authorId="0">
      <text>
        <t>USB_history.csv | 2026-03-31 eps_gaap_consensus | 1.14</t>
      </text>
    </comment>
    <comment ref="F104" authorId="0">
      <text>
        <t>USB_history.csv | 2026-03-31 eps_gaap_actual | 1.18</t>
      </text>
    </comment>
    <comment ref="G104" authorId="0">
      <text>
        <t>USB_history.csv | 2026-03-31 revenue_m_consensus | 7286.5</t>
      </text>
    </comment>
    <comment ref="H104" authorId="0">
      <text>
        <t>USB_history.csv | 2026-03-31 revenue_m_actual | 7288.0</t>
      </text>
    </comment>
    <comment ref="C105" authorId="0">
      <text>
        <t>USB_history.csv | 2026-06-30 eps_normalized_consensus | 1.28</t>
      </text>
    </comment>
    <comment ref="D105" authorId="0">
      <text>
        <t>USB_history.csv | 2026-06-30 eps_normalized_actual | 1.37</t>
      </text>
    </comment>
    <comment ref="E105" authorId="0">
      <text>
        <t>USB_history.csv | 2026-06-30 eps_gaap_consensus | 1.28</t>
      </text>
    </comment>
    <comment ref="F105" authorId="0">
      <text>
        <t>USB_history.csv | 2026-06-30 eps_gaap_actual | 1.35</t>
      </text>
    </comment>
    <comment ref="G105" authorId="0">
      <text>
        <t>USB_history.csv | 2026-06-30 revenue_m_consensus | 7609.56</t>
      </text>
    </comment>
    <comment ref="H105" authorId="0">
      <text>
        <t>USB_history.csv | 2026-06-30 revenue_m_actual | 7712.0</t>
      </text>
    </comment>
    <comment ref="B109" authorId="0">
      <text>
        <t>stockanalysis.com/stocks/usb/market-cap | Oct 9, 2026 | $88.93 billion</t>
      </text>
    </comment>
    <comment ref="B130" authorId="0">
      <text>
        <t>USB-1Q26-10-Q.pdf | Consolidated Statement of Cash Flows - Net income attributable to U.S. Bancorp | 1,709</t>
      </text>
    </comment>
    <comment ref="C130" authorId="0">
      <text>
        <t>USB-2Q26-10-Q.pdf | Consolidated Statement of Cash Flows - Net income attributable to U.S. Bancorp | 3,524</t>
      </text>
    </comment>
    <comment ref="D130" authorId="0">
      <text>
        <t>3Q25 10-Q R8.htm | Consolidated Statement of Cash Flows - Net income attributable to U.S. Bancorp | 5,525</t>
      </text>
    </comment>
    <comment ref="E130" authorId="0">
      <text>
        <t>FY2025 10-K R8.htm | Consolidated Statement of Cash Flows - Net income attributable to U.S. Bancorp | 7,570</t>
      </text>
    </comment>
    <comment ref="F130" authorId="0">
      <text>
        <t>USB-1Q26-10-Q.pdf | Consolidated Statement of Cash Flows - Net income attributable to U.S. Bancorp | 1,945</t>
      </text>
    </comment>
    <comment ref="G130" authorId="0">
      <text>
        <t>USB-2Q26-10-Q.pdf | Consolidated Statement of Cash Flows - Net income attributable to U.S. Bancorp | 4,122</t>
      </text>
    </comment>
    <comment ref="B131" authorId="0">
      <text>
        <t>USB-1Q26-10-Q.pdf | Consolidated Statement of Cash Flows - Provision for credit losses | 537</t>
      </text>
    </comment>
    <comment ref="C131" authorId="0">
      <text>
        <t>USB-2Q26-10-Q.pdf | Consolidated Statement of Cash Flows - Provision for credit losses | 1,038</t>
      </text>
    </comment>
    <comment ref="D131" authorId="0">
      <text>
        <t>3Q25 10-Q R8.htm | Consolidated Statement of Cash Flows - Provision for credit losses | 1,609</t>
      </text>
    </comment>
    <comment ref="E131" authorId="0">
      <text>
        <t>FY2025 10-K R8.htm | Consolidated Statement of Cash Flows - Provision for credit losses | 2,186</t>
      </text>
    </comment>
    <comment ref="F131" authorId="0">
      <text>
        <t>USB-1Q26-10-Q.pdf | Consolidated Statement of Cash Flows - Provision for credit losses | 576</t>
      </text>
    </comment>
    <comment ref="G131" authorId="0">
      <text>
        <t>USB-2Q26-10-Q.pdf | Consolidated Statement of Cash Flows - Provision for credit losses | 1,114</t>
      </text>
    </comment>
    <comment ref="B132" authorId="0">
      <text>
        <t>USB-1Q26-10-Q.pdf | Consolidated Statement of Cash Flows - Depreciation &amp; amortization of premises | 92</t>
      </text>
    </comment>
    <comment ref="C132" authorId="0">
      <text>
        <t>USB-2Q26-10-Q.pdf | Consolidated Statement of Cash Flows - Depreciation &amp; amortization of premises | 185</t>
      </text>
    </comment>
    <comment ref="D132" authorId="0">
      <text>
        <t>3Q25 10-Q R8.htm | Consolidated Statement of Cash Flows - Depreciation &amp; amortization of premises | 276</t>
      </text>
    </comment>
    <comment ref="E132" authorId="0">
      <text>
        <t>FY2025 10-K R8.htm | Consolidated Statement of Cash Flows - Depreciation &amp; amortization of premises | 377</t>
      </text>
    </comment>
    <comment ref="F132" authorId="0">
      <text>
        <t>USB-1Q26-10-Q.pdf | Consolidated Statement of Cash Flows - Depreciation &amp; amortization of premises | 94</t>
      </text>
    </comment>
    <comment ref="G132" authorId="0">
      <text>
        <t>USB-2Q26-10-Q.pdf | Consolidated Statement of Cash Flows - Depreciation &amp; amortization of premises | 189</t>
      </text>
    </comment>
    <comment ref="B133" authorId="0">
      <text>
        <t>USB-1Q26-10-Q.pdf | Consolidated Statement of Cash Flows - Amortization of intangibles | 123</t>
      </text>
    </comment>
    <comment ref="C133" authorId="0">
      <text>
        <t>USB-2Q26-10-Q.pdf | Consolidated Statement of Cash Flows - Amortization of intangibles | 247</t>
      </text>
    </comment>
    <comment ref="D133" authorId="0">
      <text>
        <t>3Q25 10-Q R8.htm | Consolidated Statement of Cash Flows - Amortization of intangibles | 372</t>
      </text>
    </comment>
    <comment ref="E133" authorId="0">
      <text>
        <t>FY2025 10-K R8.htm | Consolidated Statement of Cash Flows - Amortization of intangibles | 498</t>
      </text>
    </comment>
    <comment ref="F133" authorId="0">
      <text>
        <t>USB-1Q26-10-Q.pdf | Consolidated Statement of Cash Flows - Amortization of intangibles | 110</t>
      </text>
    </comment>
    <comment ref="G133" authorId="0">
      <text>
        <t>USB-2Q26-10-Q.pdf | Consolidated Statement of Cash Flows - Amortization of intangibles | 224</t>
      </text>
    </comment>
    <comment ref="B134" authorId="0">
      <text>
        <t>USB-1Q26-10-Q.pdf | Consolidated Statement of Cash Flows - (Gain) loss on sales of loans held for sale | (44)</t>
      </text>
    </comment>
    <comment ref="C134" authorId="0">
      <text>
        <t>USB-2Q26-10-Q.pdf | Consolidated Statement of Cash Flows - (Gain) loss on sales of loans held for sale | (108)</t>
      </text>
    </comment>
    <comment ref="D134" authorId="0">
      <text>
        <t>3Q25 10-Q R8.htm | Consolidated Statement of Cash Flows - (Gain) loss on sales of loans held for sale | (186)</t>
      </text>
    </comment>
    <comment ref="E134" authorId="0">
      <text>
        <t>FY2025 10-K R8.htm | Consolidated Statement of Cash Flows - (Gain) loss on sales of loans held for sale | (257)</t>
      </text>
    </comment>
    <comment ref="F134" authorId="0">
      <text>
        <t>USB-1Q26-10-Q.pdf | Consolidated Statement of Cash Flows - (Gain) loss on sales of loans held for sale | (49)</t>
      </text>
    </comment>
    <comment ref="G134" authorId="0">
      <text>
        <t>USB-2Q26-10-Q.pdf | Consolidated Statement of Cash Flows - (Gain) loss on sales of loans held for sale | (74)</t>
      </text>
    </comment>
    <comment ref="B135" authorId="0">
      <text>
        <t>USB-1Q26-10-Q.pdf | Consolidated Statement of Cash Flows - (Gain) loss on sales of securities &amp; other | (28)</t>
      </text>
    </comment>
    <comment ref="C135" authorId="0">
      <text>
        <t>USB-2Q26-10-Q.pdf | Consolidated Statement of Cash Flows - (Gain) loss on sales of securities &amp; other | 15</t>
      </text>
    </comment>
    <comment ref="D135" authorId="0">
      <text>
        <t>3Q25 10-Q R8.htm | Consolidated Statement of Cash Flows - (Gain) loss on sales of securities &amp; other | 14</t>
      </text>
    </comment>
    <comment ref="E135" authorId="0">
      <text>
        <t>FY2025 10-K R8.htm | Consolidated Statement of Cash Flows - (Gain) loss on sales of securities &amp; other | 1</t>
      </text>
    </comment>
    <comment ref="F135" authorId="0">
      <text>
        <t>USB-1Q26-10-Q.pdf | Consolidated Statement of Cash Flows - (Gain) loss on sales of securities &amp; other | 27</t>
      </text>
    </comment>
    <comment ref="G135" authorId="0">
      <text>
        <t>USB-2Q26-10-Q.pdf | Consolidated Statement of Cash Flows - (Gain) loss on sales of securities &amp; other | 70</t>
      </text>
    </comment>
    <comment ref="B136" authorId="0">
      <text>
        <t>USB-1Q26-10-Q.pdf | Consolidated Statement of Cash Flows - Loans originated for sale, net of repayments | (4,185)</t>
      </text>
    </comment>
    <comment ref="C136" authorId="0">
      <text>
        <t>USB-2Q26-10-Q.pdf | Consolidated Statement of Cash Flows - Loans originated for sale, net of repayments | (9,847)</t>
      </text>
    </comment>
    <comment ref="D136" authorId="0">
      <text>
        <t>3Q25 10-Q R8.htm | Consolidated Statement of Cash Flows - Loans originated for sale, net of repayments | (15,532)</t>
      </text>
    </comment>
    <comment ref="E136" authorId="0">
      <text>
        <t>FY2025 10-K R8.htm | Consolidated Statement of Cash Flows - Loans originated for sale, net of repayments | (22,116)</t>
      </text>
    </comment>
    <comment ref="F136" authorId="0">
      <text>
        <t>USB-1Q26-10-Q.pdf | Consolidated Statement of Cash Flows - Loans originated for sale, net of repayments | (5,350)</t>
      </text>
    </comment>
    <comment ref="G136" authorId="0">
      <text>
        <t>USB-2Q26-10-Q.pdf | Consolidated Statement of Cash Flows - Loans originated for sale, net of repayments | (11,316)</t>
      </text>
    </comment>
    <comment ref="B137" authorId="0">
      <text>
        <t>USB-1Q26-10-Q.pdf | Consolidated Statement of Cash Flows - Proceeds from sales of loans held for sale | 4,705</t>
      </text>
    </comment>
    <comment ref="C137" authorId="0">
      <text>
        <t>USB-2Q26-10-Q.pdf | Consolidated Statement of Cash Flows - Proceeds from sales of loans held for sale | 9,839</t>
      </text>
    </comment>
    <comment ref="D137" authorId="0">
      <text>
        <t>3Q25 10-Q R8.htm | Consolidated Statement of Cash Flows - Proceeds from sales of loans held for sale | 15,523</t>
      </text>
    </comment>
    <comment ref="E137" authorId="0">
      <text>
        <t>FY2025 10-K R8.htm | Consolidated Statement of Cash Flows - Proceeds from sales of loans held for sale | 22,019</t>
      </text>
    </comment>
    <comment ref="F137" authorId="0">
      <text>
        <t>USB-1Q26-10-Q.pdf | Consolidated Statement of Cash Flows - Proceeds from sales of loans held for sale | 4,937</t>
      </text>
    </comment>
    <comment ref="G137" authorId="0">
      <text>
        <t>USB-2Q26-10-Q.pdf | Consolidated Statement of Cash Flows - Proceeds from sales of loans held for sale | 10,729</t>
      </text>
    </comment>
    <comment ref="B138" authorId="0">
      <text>
        <t>USB-1Q26-10-Q.pdf | Consolidated Statement of Cash Flows - Other, net | (3,217)</t>
      </text>
    </comment>
    <comment ref="C138" authorId="0">
      <text>
        <t>USB-2Q26-10-Q.pdf | Consolidated Statement of Cash Flows - Other, net | (3,288)</t>
      </text>
    </comment>
    <comment ref="D138" authorId="0">
      <text>
        <t>3Q25 10-Q R8.htm | Consolidated Statement of Cash Flows - Other, net | (2,467)</t>
      </text>
    </comment>
    <comment ref="E138" authorId="0">
      <text>
        <t>FY2025 10-K R8.htm | Consolidated Statement of Cash Flows - Other, net | (2,308)</t>
      </text>
    </comment>
    <comment ref="F138" authorId="0">
      <text>
        <t>USB-1Q26-10-Q.pdf | Consolidated Statement of Cash Flows - Other, net | (950)</t>
      </text>
    </comment>
    <comment ref="G138" authorId="0">
      <text>
        <t>USB-2Q26-10-Q.pdf | Consolidated Statement of Cash Flows - Other, net | 1,102</t>
      </text>
    </comment>
    <comment ref="B139" authorId="0">
      <text>
        <t>USB-1Q26-10-Q.pdf | Consolidated Statement of Cash Flows - Proceeds from sales of AFS securities | 1,011</t>
      </text>
    </comment>
    <comment ref="C139" authorId="0">
      <text>
        <t>USB-2Q26-10-Q.pdf | Consolidated Statement of Cash Flows - Proceeds from sales of AFS securities | 3,525</t>
      </text>
    </comment>
    <comment ref="D139" authorId="0">
      <text>
        <t>3Q25 10-Q R8.htm | Consolidated Statement of Cash Flows - Proceeds from sales of AFS securities | 5,608</t>
      </text>
    </comment>
    <comment ref="E139" authorId="0">
      <text>
        <t>FY2025 10-K R8.htm | Consolidated Statement of Cash Flows - Proceeds from sales of AFS securities | 7,118</t>
      </text>
    </comment>
    <comment ref="F139" authorId="0">
      <text>
        <t>USB-1Q26-10-Q.pdf | Consolidated Statement of Cash Flows - Proceeds from sales of AFS securities | 3,104</t>
      </text>
    </comment>
    <comment ref="G139" authorId="0">
      <text>
        <t>USB-2Q26-10-Q.pdf | Consolidated Statement of Cash Flows - Proceeds from sales of AFS securities | 8,146</t>
      </text>
    </comment>
    <comment ref="B140" authorId="0">
      <text>
        <t>USB-1Q26-10-Q.pdf | Consolidated Statement of Cash Flows - Proceeds from maturities of HTM securities | 1,387</t>
      </text>
    </comment>
    <comment ref="C140" authorId="0">
      <text>
        <t>USB-2Q26-10-Q.pdf | Consolidated Statement of Cash Flows - Proceeds from maturities of HTM securities | 3,652</t>
      </text>
    </comment>
    <comment ref="D140" authorId="0">
      <text>
        <t>3Q25 10-Q R8.htm | Consolidated Statement of Cash Flows - Proceeds from maturities of HTM securities | 5,323</t>
      </text>
    </comment>
    <comment ref="E140" authorId="0">
      <text>
        <t>FY2025 10-K R8.htm | Consolidated Statement of Cash Flows - Proceeds from maturities of HTM securities | 6,940</t>
      </text>
    </comment>
    <comment ref="F140" authorId="0">
      <text>
        <t>USB-1Q26-10-Q.pdf | Consolidated Statement of Cash Flows - Proceeds from maturities of HTM securities | 1,579</t>
      </text>
    </comment>
    <comment ref="G140" authorId="0">
      <text>
        <t>USB-2Q26-10-Q.pdf | Consolidated Statement of Cash Flows - Proceeds from maturities of HTM securities | 3,362</t>
      </text>
    </comment>
    <comment ref="B141" authorId="0">
      <text>
        <t>USB-1Q26-10-Q.pdf | Consolidated Statement of Cash Flows - Proceeds from maturities of AFS securities | 1,340</t>
      </text>
    </comment>
    <comment ref="C141" authorId="0">
      <text>
        <t>USB-2Q26-10-Q.pdf | Consolidated Statement of Cash Flows - Proceeds from maturities of AFS securities | 2,860</t>
      </text>
    </comment>
    <comment ref="D141" authorId="0">
      <text>
        <t>3Q25 10-Q R8.htm | Consolidated Statement of Cash Flows - Proceeds from maturities of AFS securities | 4,440</t>
      </text>
    </comment>
    <comment ref="E141" authorId="0">
      <text>
        <t>FY2025 10-K R8.htm | Consolidated Statement of Cash Flows - Proceeds from maturities of AFS securities | 6,981</t>
      </text>
    </comment>
    <comment ref="F141" authorId="0">
      <text>
        <t>USB-1Q26-10-Q.pdf | Consolidated Statement of Cash Flows - Proceeds from maturities of AFS securities | 2,470</t>
      </text>
    </comment>
    <comment ref="G141" authorId="0">
      <text>
        <t>USB-2Q26-10-Q.pdf | Consolidated Statement of Cash Flows - Proceeds from maturities of AFS securities | 5,474</t>
      </text>
    </comment>
    <comment ref="B142" authorId="0">
      <text>
        <t>USB-1Q26-10-Q.pdf | Consolidated Statement of Cash Flows - Purchases of HTM securities | (644)</t>
      </text>
    </comment>
    <comment ref="C142" authorId="0">
      <text>
        <t>USB-2Q26-10-Q.pdf | Consolidated Statement of Cash Flows - Purchases of HTM securities | (2,620)</t>
      </text>
    </comment>
    <comment ref="D142" authorId="0">
      <text>
        <t>3Q25 10-Q R8.htm | Consolidated Statement of Cash Flows - Purchases of HTM securities | (3,211)</t>
      </text>
    </comment>
    <comment ref="E142" authorId="0">
      <text>
        <t>FY2025 10-K R8.htm | Consolidated Statement of Cash Flows - Purchases of HTM securities | (3,956)</t>
      </text>
    </comment>
    <comment ref="F142" authorId="0">
      <text>
        <t>USB-1Q26-10-Q.pdf | Consolidated Statement of Cash Flows - Purchases of HTM securities | (763)</t>
      </text>
    </comment>
    <comment ref="G142" authorId="0">
      <text>
        <t>USB-2Q26-10-Q.pdf | Consolidated Statement of Cash Flows - Purchases of HTM securities | (1,059)</t>
      </text>
    </comment>
    <comment ref="B143" authorId="0">
      <text>
        <t>USB-1Q26-10-Q.pdf | Consolidated Statement of Cash Flows - Purchases of AFS securities (3Q26E: net) | (2,104)</t>
      </text>
    </comment>
    <comment ref="C143" authorId="0">
      <text>
        <t>USB-2Q26-10-Q.pdf | Consolidated Statement of Cash Flows - Purchases of AFS securities (3Q26E: net) | (9,478)</t>
      </text>
    </comment>
    <comment ref="D143" authorId="0">
      <text>
        <t>3Q25 10-Q R8.htm | Consolidated Statement of Cash Flows - Purchases of AFS securities (3Q26E: net) | (10,690)</t>
      </text>
    </comment>
    <comment ref="E143" authorId="0">
      <text>
        <t>FY2025 10-K R8.htm | Consolidated Statement of Cash Flows - Purchases of AFS securities (3Q26E: net) | (15,858)</t>
      </text>
    </comment>
    <comment ref="F143" authorId="0">
      <text>
        <t>USB-1Q26-10-Q.pdf | Consolidated Statement of Cash Flows - Purchases of AFS securities (3Q26E: net) | (7,759)</t>
      </text>
    </comment>
    <comment ref="G143" authorId="0">
      <text>
        <t>USB-2Q26-10-Q.pdf | Consolidated Statement of Cash Flows - Purchases of AFS securities (3Q26E: net) | (12,216)</t>
      </text>
    </comment>
    <comment ref="B144" authorId="0">
      <text>
        <t>USB-1Q26-10-Q.pdf | Consolidated Statement of Cash Flows - Net (increase) decrease in loans | (2,636)</t>
      </text>
    </comment>
    <comment ref="C144" authorId="0">
      <text>
        <t>USB-2Q26-10-Q.pdf | Consolidated Statement of Cash Flows - Net (increase) decrease in loans | (7,168)</t>
      </text>
    </comment>
    <comment ref="D144" authorId="0">
      <text>
        <t>3Q25 10-Q R8.htm | Consolidated Statement of Cash Flows - Net (increase) decrease in loans | (9,676)</t>
      </text>
    </comment>
    <comment ref="E144" authorId="0">
      <text>
        <t>FY2025 10-K R8.htm | Consolidated Statement of Cash Flows - Net (increase) decrease in loans | (18,043)</t>
      </text>
    </comment>
    <comment ref="F144" authorId="0">
      <text>
        <t>USB-1Q26-10-Q.pdf | Consolidated Statement of Cash Flows - Net (increase) decrease in loans | (8,282)</t>
      </text>
    </comment>
    <comment ref="G144" authorId="0">
      <text>
        <t>USB-2Q26-10-Q.pdf | Consolidated Statement of Cash Flows - Net (increase) decrease in loans | (19,309)</t>
      </text>
    </comment>
    <comment ref="B145" authorId="0">
      <text>
        <t>USB-1Q26-10-Q.pdf | Consolidated Statement of Cash Flows - Proceeds from sales of loans | 766</t>
      </text>
    </comment>
    <comment ref="C145" authorId="0">
      <text>
        <t>USB-2Q26-10-Q.pdf | Consolidated Statement of Cash Flows - Proceeds from sales of loans | 6,518</t>
      </text>
    </comment>
    <comment ref="D145" authorId="0">
      <text>
        <t>3Q25 10-Q R8.htm | Consolidated Statement of Cash Flows - Proceeds from sales of loans | 6,641</t>
      </text>
    </comment>
    <comment ref="E145" authorId="0">
      <text>
        <t>FY2025 10-K R8.htm | Consolidated Statement of Cash Flows - Proceeds from sales of loans | 6,797</t>
      </text>
    </comment>
    <comment ref="F145" authorId="0">
      <text>
        <t>USB-1Q26-10-Q.pdf | Consolidated Statement of Cash Flows - Proceeds from sales of loans | 144</t>
      </text>
    </comment>
    <comment ref="G145" authorId="0">
      <text>
        <t>USB-2Q26-10-Q.pdf | Consolidated Statement of Cash Flows - Proceeds from sales of loans | 432</t>
      </text>
    </comment>
    <comment ref="B146" authorId="0">
      <text>
        <t>USB-1Q26-10-Q.pdf | Consolidated Statement of Cash Flows - Purchases of loans | (221)</t>
      </text>
    </comment>
    <comment ref="C146" authorId="0">
      <text>
        <t>USB-2Q26-10-Q.pdf | Consolidated Statement of Cash Flows - Purchases of loans | (696)</t>
      </text>
    </comment>
    <comment ref="D146" authorId="0">
      <text>
        <t>3Q25 10-Q R8.htm | Consolidated Statement of Cash Flows - Purchases of loans | (1,175)</t>
      </text>
    </comment>
    <comment ref="E146" authorId="0">
      <text>
        <t>FY2025 10-K R8.htm | Consolidated Statement of Cash Flows - Purchases of loans | (1,532)</t>
      </text>
    </comment>
    <comment ref="F146" authorId="0">
      <text>
        <t>USB-1Q26-10-Q.pdf | Consolidated Statement of Cash Flows - Purchases of loans | (283)</t>
      </text>
    </comment>
    <comment ref="G146" authorId="0">
      <text>
        <t>USB-2Q26-10-Q.pdf | Consolidated Statement of Cash Flows - Purchases of loans | (856)</t>
      </text>
    </comment>
    <comment ref="B147" authorId="0">
      <text>
        <t>USB-1Q26-10-Q.pdf | Consolidated Statement of Cash Flows - Net (incr.) decr. in resale agreements | (813)</t>
      </text>
    </comment>
    <comment ref="C147" authorId="0">
      <text>
        <t>USB-2Q26-10-Q.pdf | Consolidated Statement of Cash Flows - Net (incr.) decr. in resale agreements | 922</t>
      </text>
    </comment>
    <comment ref="D147" authorId="0">
      <text>
        <t>3Q25 10-Q R8.htm | Consolidated Statement of Cash Flows - Net (incr.) decr. in resale agreements | 1,041</t>
      </text>
    </comment>
    <comment ref="E147" authorId="0">
      <text>
        <t>FY2025 10-K R8.htm | Consolidated Statement of Cash Flows - Net (incr.) decr. in resale agreements | (5,988)</t>
      </text>
    </comment>
    <comment ref="F147" authorId="0">
      <text>
        <t>USB-1Q26-10-Q.pdf | Consolidated Statement of Cash Flows - Net (incr.) decr. in resale agreements | 5,398</t>
      </text>
    </comment>
    <comment ref="G147" authorId="0">
      <text>
        <t>USB-2Q26-10-Q.pdf | Consolidated Statement of Cash Flows - Net (incr.) decr. in resale agreements | 6,673</t>
      </text>
    </comment>
    <comment ref="B148" authorId="0">
      <text>
        <t>USB-1Q26-10-Q.pdf | Consolidated Statement of Cash Flows | line not presented (nil)</t>
      </text>
    </comment>
    <comment ref="C148" authorId="0">
      <text>
        <t>USB-2Q26-10-Q.pdf | Consolidated Statement of Cash Flows - Net cash paid for acquisitions | (35)</t>
      </text>
    </comment>
    <comment ref="D148" authorId="0">
      <text>
        <t>3Q25 10-Q R8.htm | Consolidated Statement of Cash Flows - Net cash paid for acquisitions | (35)</t>
      </text>
    </comment>
    <comment ref="E148" authorId="0">
      <text>
        <t>FY2025 10-K R8.htm | Consolidated Statement of Cash Flows - Net cash paid for acquisitions | (36)</t>
      </text>
    </comment>
    <comment ref="F148" authorId="0">
      <text>
        <t>USB-1Q26-10-Q.pdf | Consolidated Statement of Cash Flows | line not presented (nil)</t>
      </text>
    </comment>
    <comment ref="G148" authorId="0">
      <text>
        <t>USB-2Q26-10-Q.pdf | Consolidated Statement of Cash Flows - Net cash paid for acquisitions | (246)</t>
      </text>
    </comment>
    <comment ref="B149" authorId="0">
      <text>
        <t>USB-1Q26-10-Q.pdf | Consolidated Statement of Cash Flows - Other, net | (634)</t>
      </text>
    </comment>
    <comment ref="C149" authorId="0">
      <text>
        <t>USB-2Q26-10-Q.pdf | Consolidated Statement of Cash Flows - Other, net | (1,398)</t>
      </text>
    </comment>
    <comment ref="D149" authorId="0">
      <text>
        <t>3Q25 10-Q R8.htm | Consolidated Statement of Cash Flows - Other, net | (1,954)</t>
      </text>
    </comment>
    <comment ref="E149" authorId="0">
      <text>
        <t>FY2025 10-K R8.htm | Consolidated Statement of Cash Flows - Other, net | (2,961)</t>
      </text>
    </comment>
    <comment ref="F149" authorId="0">
      <text>
        <t>USB-1Q26-10-Q.pdf | Consolidated Statement of Cash Flows - Other, net | (959)</t>
      </text>
    </comment>
    <comment ref="G149" authorId="0">
      <text>
        <t>USB-2Q26-10-Q.pdf | Consolidated Statement of Cash Flows - Other, net | (2,129)</t>
      </text>
    </comment>
    <comment ref="B150" authorId="0">
      <text>
        <t>USB-1Q26-10-Q.pdf | Consolidated Statement of Cash Flows - Net increase (decrease) in deposits | (5,998)</t>
      </text>
    </comment>
    <comment ref="C150" authorId="0">
      <text>
        <t>USB-2Q26-10-Q.pdf | Consolidated Statement of Cash Flows - Net increase (decrease) in deposits | (199)</t>
      </text>
    </comment>
    <comment ref="D150" authorId="0">
      <text>
        <t>3Q25 10-Q R8.htm | Consolidated Statement of Cash Flows - Net increase (decrease) in deposits | 7,834</t>
      </text>
    </comment>
    <comment ref="E150" authorId="0">
      <text>
        <t>FY2025 10-K R8.htm | Consolidated Statement of Cash Flows - Net increase (decrease) in deposits | 3,330</t>
      </text>
    </comment>
    <comment ref="F150" authorId="0">
      <text>
        <t>USB-1Q26-10-Q.pdf | Consolidated Statement of Cash Flows - Net increase (decrease) in deposits | 6,070</t>
      </text>
    </comment>
    <comment ref="G150" authorId="0">
      <text>
        <t>USB-2Q26-10-Q.pdf | Consolidated Statement of Cash Flows - Net increase (decrease) in deposits | 10,013</t>
      </text>
    </comment>
    <comment ref="B151" authorId="0">
      <text>
        <t>USB-1Q26-10-Q.pdf | Consolidated Statement of Cash Flows - Net increase (decrease) in short-term borrowings | 1,640</t>
      </text>
    </comment>
    <comment ref="C151" authorId="0">
      <text>
        <t>USB-2Q26-10-Q.pdf | Consolidated Statement of Cash Flows - Net increase (decrease) in short-term borrowings | (479)</t>
      </text>
    </comment>
    <comment ref="D151" authorId="0">
      <text>
        <t>3Q25 10-Q R8.htm | Consolidated Statement of Cash Flows - Net increase (decrease) in short-term borrowings | (69)</t>
      </text>
    </comment>
    <comment ref="E151" authorId="0">
      <text>
        <t>FY2025 10-K R8.htm | Consolidated Statement of Cash Flows - Net increase (decrease) in short-term borrowings | 1,644</t>
      </text>
    </comment>
    <comment ref="F151" authorId="0">
      <text>
        <t>USB-1Q26-10-Q.pdf | Consolidated Statement of Cash Flows - Net increase (decrease) in short-term borrowings | 697</t>
      </text>
    </comment>
    <comment ref="G151" authorId="0">
      <text>
        <t>USB-2Q26-10-Q.pdf | Consolidated Statement of Cash Flows - Net increase (decrease) in short-term borrowings | 19,948</t>
      </text>
    </comment>
    <comment ref="B152" authorId="0">
      <text>
        <t>USB-1Q26-10-Q.pdf | Consolidated Statement of Cash Flows - Proceeds from issuance of long-term debt | 3,590</t>
      </text>
    </comment>
    <comment ref="C152" authorId="0">
      <text>
        <t>USB-2Q26-10-Q.pdf | Consolidated Statement of Cash Flows - Proceeds from issuance of long-term debt | 9,327</t>
      </text>
    </comment>
    <comment ref="D152" authorId="0">
      <text>
        <t>3Q25 10-Q R8.htm | Consolidated Statement of Cash Flows - Proceeds from issuance of long-term debt | 10,291</t>
      </text>
    </comment>
    <comment ref="E152" authorId="0">
      <text>
        <t>FY2025 10-K R8.htm | Consolidated Statement of Cash Flows - Proceeds from issuance of long-term debt | 10,360</t>
      </text>
    </comment>
    <comment ref="F152" authorId="0">
      <text>
        <t>USB-1Q26-10-Q.pdf | Consolidated Statement of Cash Flows - Proceeds from issuance of long-term debt | 3,289</t>
      </text>
    </comment>
    <comment ref="G152" authorId="0">
      <text>
        <t>USB-2Q26-10-Q.pdf | Consolidated Statement of Cash Flows - Proceeds from issuance of long-term debt | 7,386</t>
      </text>
    </comment>
    <comment ref="B153" authorId="0">
      <text>
        <t>USB-1Q26-10-Q.pdf | Consolidated Statement of Cash Flows - Principal payments / redemption of long-term debt | (2,101)</t>
      </text>
    </comment>
    <comment ref="C153" authorId="0">
      <text>
        <t>USB-2Q26-10-Q.pdf | Consolidated Statement of Cash Flows - Principal payments / redemption of long-term debt | (3,750)</t>
      </text>
    </comment>
    <comment ref="D153" authorId="0">
      <text>
        <t>3Q25 10-Q R8.htm | Consolidated Statement of Cash Flows - Principal payments / redemption of long-term debt | (6,372)</t>
      </text>
    </comment>
    <comment ref="E153" authorId="0">
      <text>
        <t>FY2025 10-K R8.htm | Consolidated Statement of Cash Flows - Principal payments / redemption of long-term debt | (9,052)</t>
      </text>
    </comment>
    <comment ref="F153" authorId="0">
      <text>
        <t>USB-1Q26-10-Q.pdf | Consolidated Statement of Cash Flows - Principal payments / redemption of long-term debt | (3,225)</t>
      </text>
    </comment>
    <comment ref="G153" authorId="0">
      <text>
        <t>USB-2Q26-10-Q.pdf | Consolidated Statement of Cash Flows - Principal payments / redemption of long-term debt | (9,708)</t>
      </text>
    </comment>
    <comment ref="B154" authorId="0">
      <text>
        <t>USB-1Q26-10-Q.pdf | Consolidated Statement of Cash Flows - Proceeds from issuance of common stock | 16</t>
      </text>
    </comment>
    <comment ref="C154" authorId="0">
      <text>
        <t>USB-2Q26-10-Q.pdf | Consolidated Statement of Cash Flows - Proceeds from issuance of common stock | 22</t>
      </text>
    </comment>
    <comment ref="D154" authorId="0">
      <text>
        <t>3Q25 10-Q R8.htm | Consolidated Statement of Cash Flows - Proceeds from issuance of common stock | 32</t>
      </text>
    </comment>
    <comment ref="E154" authorId="0">
      <text>
        <t>FY2025 10-K R8.htm | Consolidated Statement of Cash Flows - Proceeds from issuance of common stock | 45</t>
      </text>
    </comment>
    <comment ref="F154" authorId="0">
      <text>
        <t>USB-1Q26-10-Q.pdf | Consolidated Statement of Cash Flows - Proceeds from issuance of common stock | 16</t>
      </text>
    </comment>
    <comment ref="G154" authorId="0">
      <text>
        <t>USB-2Q26-10-Q.pdf | Consolidated Statement of Cash Flows - Proceeds from issuance of common stock | 19</t>
      </text>
    </comment>
    <comment ref="B155" authorId="0">
      <text>
        <t>USB-1Q26-10-Q.pdf | Consolidated Statement of Cash Flows - Repurchase of common stock | (160)</t>
      </text>
    </comment>
    <comment ref="C155" authorId="0">
      <text>
        <t>USB-2Q26-10-Q.pdf | Consolidated Statement of Cash Flows - Repurchase of common stock | (266)</t>
      </text>
    </comment>
    <comment ref="D155" authorId="0">
      <text>
        <t>3Q25 10-Q R8.htm | Consolidated Statement of Cash Flows - Repurchase of common stock | (367)</t>
      </text>
    </comment>
    <comment ref="E155" authorId="0">
      <text>
        <t>FY2025 10-K R8.htm | Consolidated Statement of Cash Flows - Repurchase of common stock | (489)</t>
      </text>
    </comment>
    <comment ref="F155" authorId="0">
      <text>
        <t>USB-1Q26-10-Q.pdf | Consolidated Statement of Cash Flows - Repurchase of common stock | (276)</t>
      </text>
    </comment>
    <comment ref="G155" authorId="0">
      <text>
        <t>USB-2Q26-10-Q.pdf | Consolidated Statement of Cash Flows - Repurchase of common stock | (477)</t>
      </text>
    </comment>
    <comment ref="B156" authorId="0">
      <text>
        <t>USB-1Q26-10-Q.pdf | Consolidated Statement of Cash Flows - Cash dividends paid on preferred stock | (72)</t>
      </text>
    </comment>
    <comment ref="C156" authorId="0">
      <text>
        <t>USB-2Q26-10-Q.pdf | Consolidated Statement of Cash Flows - Cash dividends paid on preferred stock | (168)</t>
      </text>
    </comment>
    <comment ref="D156" authorId="0">
      <text>
        <t>3Q25 10-Q R8.htm | Consolidated Statement of Cash Flows - Cash dividends paid on preferred stock | (237)</t>
      </text>
    </comment>
    <comment ref="E156" authorId="0">
      <text>
        <t>FY2025 10-K R8.htm | Consolidated Statement of Cash Flows - Cash dividends paid on preferred stock | (334)</t>
      </text>
    </comment>
    <comment ref="F156" authorId="0">
      <text>
        <t>USB-1Q26-10-Q.pdf | Consolidated Statement of Cash Flows - Cash dividends paid on preferred stock | (68)</t>
      </text>
    </comment>
    <comment ref="G156" authorId="0">
      <text>
        <t>USB-2Q26-10-Q.pdf | Consolidated Statement of Cash Flows - Cash dividends paid on preferred stock | (160)</t>
      </text>
    </comment>
    <comment ref="B157" authorId="0">
      <text>
        <t>USB-1Q26-10-Q.pdf | Consolidated Statement of Cash Flows - Cash dividends paid on common stock | (787)</t>
      </text>
    </comment>
    <comment ref="C157" authorId="0">
      <text>
        <t>USB-2Q26-10-Q.pdf | Consolidated Statement of Cash Flows - Cash dividends paid on common stock | (1,571)</t>
      </text>
    </comment>
    <comment ref="D157" authorId="0">
      <text>
        <t>3Q25 10-Q R8.htm | Consolidated Statement of Cash Flows - Cash dividends paid on common stock | (2,355)</t>
      </text>
    </comment>
    <comment ref="E157" authorId="0">
      <text>
        <t>FY2025 10-K R8.htm | Consolidated Statement of Cash Flows - Cash dividends paid on common stock | (3,168)</t>
      </text>
    </comment>
    <comment ref="F157" authorId="0">
      <text>
        <t>USB-1Q26-10-Q.pdf | Consolidated Statement of Cash Flows - Cash dividends paid on common stock | (816)</t>
      </text>
    </comment>
    <comment ref="G157" authorId="0">
      <text>
        <t>USB-2Q26-10-Q.pdf | Consolidated Statement of Cash Flows - Cash dividends paid on common stock | (1,628)</t>
      </text>
    </comment>
    <comment ref="B158" authorId="0">
      <text>
        <t>USB-1Q26-10-Q.pdf | Consolidated Statement of Cash Flows - Other, net | (24)</t>
      </text>
    </comment>
    <comment ref="C158" authorId="0">
      <text>
        <t>USB-2Q26-10-Q.pdf | Consolidated Statement of Cash Flows - Other, net | (47)</t>
      </text>
    </comment>
    <comment ref="D158" authorId="0">
      <text>
        <t>3Q25 10-Q R8.htm | Consolidated Statement of Cash Flows - Other, net | (68)</t>
      </text>
    </comment>
    <comment ref="E158" authorId="0">
      <text>
        <t>FY2025 10-K R8.htm | Consolidated Statement of Cash Flows - Other, net | (86)</t>
      </text>
    </comment>
    <comment ref="F158" authorId="0">
      <text>
        <t>USB-1Q26-10-Q.pdf | Consolidated Statement of Cash Flows - Other, net | (14)</t>
      </text>
    </comment>
    <comment ref="G158" authorId="0">
      <text>
        <t>USB-2Q26-10-Q.pdf | Consolidated Statement of Cash Flows - Other, net | (25)</t>
      </text>
    </comment>
    <comment ref="B159" authorId="0">
      <text>
        <t>USB-1Q26-10-Q.pdf | Consolidated Statement of Cash Flows - Effect of exchange rate changes on cash | 263</t>
      </text>
    </comment>
    <comment ref="C159" authorId="0">
      <text>
        <t>USB-2Q26-10-Q.pdf | Consolidated Statement of Cash Flows - Effect of exchange rate changes on cash | 749</t>
      </text>
    </comment>
    <comment ref="D159" authorId="0">
      <text>
        <t>3Q25 10-Q R8.htm | Consolidated Statement of Cash Flows | line not presented (FX embedded in other lines)</t>
      </text>
    </comment>
    <comment ref="E159" authorId="0">
      <text>
        <t>FY2025 10-K R8.htm | Consolidated Statement of Cash Flows - Effect of exchange rate changes on cash | 706</t>
      </text>
    </comment>
    <comment ref="F159" authorId="0">
      <text>
        <t>USB-1Q26-10-Q.pdf | Consolidated Statement of Cash Flows - Effect of exchange rate changes on cash | (132)</t>
      </text>
    </comment>
    <comment ref="G159" authorId="0">
      <text>
        <t>USB-2Q26-10-Q.pdf | Consolidated Statement of Cash Flows - Effect of exchange rate changes on cash | (199)</t>
      </text>
    </comment>
    <comment ref="B160" authorId="0">
      <text>
        <t>USB-1Q26-10-Q.pdf | Consolidated Statement of Cash Flows - Cash, beginning of period | 56,502</t>
      </text>
    </comment>
    <comment ref="C160" authorId="0">
      <text>
        <t>USB-2Q26-10-Q.pdf | Consolidated Statement of Cash Flows - Cash, beginning of period | 56,502</t>
      </text>
    </comment>
    <comment ref="D160" authorId="0">
      <text>
        <t>3Q25 10-Q R8.htm | Consolidated Statement of Cash Flows - Cash, beginning of period | 56,502</t>
      </text>
    </comment>
    <comment ref="E160" authorId="0">
      <text>
        <t>FY2025 10-K R8.htm | Consolidated Statement of Cash Flows - Cash, beginning of period | 56,502</t>
      </text>
    </comment>
    <comment ref="F160" authorId="0">
      <text>
        <t>USB-1Q26-10-Q.pdf | Consolidated Statement of Cash Flows - Cash, beginning of period | 46,890</t>
      </text>
    </comment>
    <comment ref="G160" authorId="0">
      <text>
        <t>USB-2Q26-10-Q.pdf | Consolidated Statement of Cash Flows - Cash, beginning of period | 46,890</t>
      </text>
    </comment>
    <comment ref="B161" authorId="0">
      <text>
        <t>USB-1Q26-10-Q.pdf | Consolidated Statement of Cash Flows - Change in cash (reported) | (6,489)</t>
      </text>
    </comment>
    <comment ref="C161" authorId="0">
      <text>
        <t>USB-2Q26-10-Q.pdf | Consolidated Statement of Cash Flows - Change in cash (reported) | 1,305</t>
      </text>
    </comment>
    <comment ref="D161" authorId="0">
      <text>
        <t>3Q25 10-Q R8.htm | Consolidated Statement of Cash Flows - Change in cash (reported) | 10,135</t>
      </text>
    </comment>
    <comment ref="E161" authorId="0">
      <text>
        <t>FY2025 10-K R8.htm | Consolidated Statement of Cash Flows - Change in cash (reported) | (9,612)</t>
      </text>
    </comment>
    <comment ref="F161" authorId="0">
      <text>
        <t>USB-1Q26-10-Q.pdf | Consolidated Statement of Cash Flows - Change in cash (reported) | 1,530</t>
      </text>
    </comment>
    <comment ref="G161" authorId="0">
      <text>
        <t>USB-2Q26-10-Q.pdf | Consolidated Statement of Cash Flows - Change in cash (reported) | 19,601</t>
      </text>
    </comment>
    <comment ref="B162" authorId="0">
      <text>
        <t>USB-1Q26-10-Q.pdf | Consolidated Statement of Cash Flows - Cash, end of period | 50,013</t>
      </text>
    </comment>
    <comment ref="C162" authorId="0">
      <text>
        <t>USB-2Q26-10-Q.pdf | Consolidated Statement of Cash Flows - Cash, end of period | 57,807</t>
      </text>
    </comment>
    <comment ref="D162" authorId="0">
      <text>
        <t>3Q25 10-Q R8.htm | Consolidated Statement of Cash Flows - Cash, end of period | 66,637</t>
      </text>
    </comment>
    <comment ref="E162" authorId="0">
      <text>
        <t>FY2025 10-K R8.htm | Consolidated Statement of Cash Flows - Cash, end of period | 46,890</t>
      </text>
    </comment>
    <comment ref="F162" authorId="0">
      <text>
        <t>USB-1Q26-10-Q.pdf | Consolidated Statement of Cash Flows - Cash, end of period | 48,420</t>
      </text>
    </comment>
    <comment ref="G162" authorId="0">
      <text>
        <t>USB-2Q26-10-Q.pdf | Consolidated Statement of Cash Flows - Cash, end of period | 66,491</t>
      </text>
    </comment>
  </commentList>
</comments>
</file>

<file path=xl/sharedStrings.xml><?xml version="1.0" encoding="utf-8"?>
<sst xmlns="http://schemas.openxmlformats.org/spreadsheetml/2006/main" count="6362" uniqueCount="975">
  <si>
    <t>U.S. Bancorp (NYSE: USB)</t>
  </si>
  <si>
    <t>Cover</t>
  </si>
  <si>
    <t>$ millions, except per share</t>
  </si>
  <si>
    <t>Company Model — built by Shortcut</t>
  </si>
  <si>
    <t>Company</t>
  </si>
  <si>
    <t>U.S. Bancorp</t>
  </si>
  <si>
    <t>Ticker</t>
  </si>
  <si>
    <t>USB</t>
  </si>
  <si>
    <t>Exchange</t>
  </si>
  <si>
    <t>NYSE</t>
  </si>
  <si>
    <t>Fiscal year end</t>
  </si>
  <si>
    <t>Calendar year (ends Dec-31)</t>
  </si>
  <si>
    <t>Reporting currency / units</t>
  </si>
  <si>
    <t>USD; $ millions, except per share</t>
  </si>
  <si>
    <t>EPS basis</t>
  </si>
  <si>
    <t>Normalized diluted EPS (model basis): GAAP excl. securities gains/losses and BTIG integration costs, tax-effected at 25%. CapIQ treatment NOT source-confirmed (unresolved; see row 28 and Income Statement J219/J220/J230)</t>
  </si>
  <si>
    <t>Target period</t>
  </si>
  <si>
    <t>FQ3 2026 - quarter ended 2026-09-30 (calendar quarter end; supplied label 2026-09-30 matches issuer)</t>
  </si>
  <si>
    <t>Information cutoff</t>
  </si>
  <si>
    <t>2026-10-11 22:24 UTC</t>
  </si>
  <si>
    <t>Expected report date</t>
  </si>
  <si>
    <t>2026-10-15, before market open (confirmed by U.S. Bancorp IR release of 2026-10-01, S28)</t>
  </si>
  <si>
    <t>Consensus snapshot</t>
  </si>
  <si>
    <t>S&amp;P Capital IQ, captured 2026-10-11 (normalized EPS: 15 estimates; revenue: 13)</t>
  </si>
  <si>
    <t>Model author</t>
  </si>
  <si>
    <t>Shortcut</t>
  </si>
  <si>
    <t>Headline: 3Q26E vs consensus vs guidance</t>
  </si>
  <si>
    <t>Shortcut estimate</t>
  </si>
  <si>
    <t>Consensus (CapIQ)</t>
  </si>
  <si>
    <t>Variance</t>
  </si>
  <si>
    <t>Variance %</t>
  </si>
  <si>
    <t>Latest guidance (Sep-16)</t>
  </si>
  <si>
    <t>Est. - guidance</t>
  </si>
  <si>
    <t>Basis</t>
  </si>
  <si>
    <t>Total net revenue (FTE)</t>
  </si>
  <si>
    <t>Latest guide = Sep-16 'high end' NII + fee point (Guidance J35); superseded Jul-16 midpoint = Guidance J33 (7,949.6). Est. - guidance is like-for-like (estimate ex-securities)</t>
  </si>
  <si>
    <t>Income before taxes - GAAP</t>
  </si>
  <si>
    <t>n/a</t>
  </si>
  <si>
    <t>Not guided</t>
  </si>
  <si>
    <t>Net income to common - normalized</t>
  </si>
  <si>
    <t>Same basis as normalized EPS; not guided</t>
  </si>
  <si>
    <t>Net income to common - GAAP</t>
  </si>
  <si>
    <t>Diluted EPS - normalized (model basis)</t>
  </si>
  <si>
    <t>Scored metric; consensus = frozen CapIQ mean $1.33</t>
  </si>
  <si>
    <t>Diluted EPS - GAAP</t>
  </si>
  <si>
    <t>P(beat consensus EPS)</t>
  </si>
  <si>
    <t>Confidence</t>
  </si>
  <si>
    <t>Diluted EPS - normalized ex integration add-back</t>
  </si>
  <si>
    <t>Basis sensitivity, not the estimate (Income Statement I230): CapIQ exclusion of BTIG integration costs unconfirmed. Range 1.3117 (GAAP) to 1.3406 (model); like-for-like on CapIQ-implied $24.7mm after-tax exclusion = 1.3276 (model $45mm)</t>
  </si>
  <si>
    <t>Model integrity checks</t>
  </si>
  <si>
    <t>Max |diff|</t>
  </si>
  <si>
    <t>Tolerance</t>
  </si>
  <si>
    <t>Status</t>
  </si>
  <si>
    <t>Scope / note (PASS excludes identities and tolerated exceptions)</t>
  </si>
  <si>
    <t>Identity: GAAP EPS - NI / diluted shares</t>
  </si>
  <si>
    <t>Identity</t>
  </si>
  <si>
    <t>Holds by construction (B25 = B23 / diluted shares); not an independent test, excluded from PASS</t>
  </si>
  <si>
    <t>Overall check result</t>
  </si>
  <si>
    <t>PASS only if every tested group (rows 32-34, 36-40) is within tolerance; rows 30, 35 and 41 disclosed but excluded. PASS = internal tie-outs only, not forecast acceptance</t>
  </si>
  <si>
    <t>Hist. ties: Income Statement ($mm)</t>
  </si>
  <si>
    <t>Income Statement rows 42/129/176/186/199 (computed - reported), 1Q25A-2Q26A incl. FY25</t>
  </si>
  <si>
    <t>Hist. ties: diluted EPS vs reported</t>
  </si>
  <si>
    <t>Income Statement row 215 (rounded computed - reported diluted EPS)</t>
  </si>
  <si>
    <t>Hist. ties: normalized EPS vs CapIQ</t>
  </si>
  <si>
    <t>Income Statement row 228 excl. 2Q25 (C228, shown in row 35)</t>
  </si>
  <si>
    <t>Tolerated exception: 2Q25 norm. EPS vs CapIQ</t>
  </si>
  <si>
    <t>Tolerated</t>
  </si>
  <si>
    <t>Income Statement C228: CapIQ did not add back the $57mm 2Q25 securities loss; disclosed, excluded from PASS</t>
  </si>
  <si>
    <t>Hist. ties: segment builds &amp; ladders</t>
  </si>
  <si>
    <t>Segment build-vs-reported rows (WCCIB 196/280/298, C&amp;B 209, PS 158, T&amp;C 63); Revenue summary rows 81/86/91/96</t>
  </si>
  <si>
    <t>Hist. ties: revenue (Revenue summary)</t>
  </si>
  <si>
    <t>Revenue summary rows 46/48/74/120, 1Q25A-2Q26A (vs Income Statement, CapIQ actuals and reported NII)</t>
  </si>
  <si>
    <t>Hist. ties: balance sheet, NCOs, shares</t>
  </si>
  <si>
    <t>Balance Sheet rows 81/150/154 and Share Count row 19, 1Q25A-2Q26A</t>
  </si>
  <si>
    <t>Hist. ties: cash flow (YTD and quarterly)</t>
  </si>
  <si>
    <t>Inputs rows 163/164 (reported YTD CF) and Cash Flow Statement row 52, 1Q25A-2Q26A</t>
  </si>
  <si>
    <t>3Q26E mapping checks (not independent)</t>
  </si>
  <si>
    <t>Cash Flow Statement I52 (CF lines are balance-sheet differences) and Revenue summary I46/I74 (segment and Income Statement revenue share the same components): zero if mappings are complete; detects omitted mappings only, not independent validation</t>
  </si>
  <si>
    <t>3Q26E identities (not tests)</t>
  </si>
  <si>
    <t>Balance Sheet I150 (cash is the balancing item) and Revenue summary I120 (IS NII defined from segments): zero by construction, excluded from PASS</t>
  </si>
  <si>
    <t>Revenue summary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</si>
  <si>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</si>
  <si>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</si>
  <si>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</si>
  <si>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</si>
  <si>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</si>
  <si>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</si>
  <si>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</si>
  <si>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</si>
  <si>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</si>
  <si>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Notes</t>
  </si>
  <si>
    <t>Period end date</t>
  </si>
  <si>
    <t>Days in period</t>
  </si>
  <si>
    <t>Total net revenue by reported segment ($mm, FTE)</t>
  </si>
  <si>
    <t>Wealth, Corp., Comm. &amp; Inst. Banking</t>
  </si>
  <si>
    <t>% Q/Q</t>
  </si>
  <si>
    <t>% of total net revenue</t>
  </si>
  <si>
    <t>Total growth % Y/Y</t>
  </si>
  <si>
    <t>M&amp;A / scope contribution % Y/Y</t>
  </si>
  <si>
    <t>BTIG (closed 2026-06-01) and Amazon card portfolio (closed mid-Aug 2026) disclosed/guided revenue</t>
  </si>
  <si>
    <t>FX impact % Y/Y</t>
  </si>
  <si>
    <t>Unavailable: USB does not disclose FX impact; foreign operations "not significant" (FY2025 10-K).</t>
  </si>
  <si>
    <t>Organic growth % Y/Y</t>
  </si>
  <si>
    <t>Organic = (1+Y/Y)/((1+M&amp;A)*(1+FX))-1; shows n/a because FX impact is not disclosed.</t>
  </si>
  <si>
    <t>Growth ex-M&amp;A % Y/Y (FX not disclosed)</t>
  </si>
  <si>
    <t>Consumer &amp; Business Banking</t>
  </si>
  <si>
    <t>No acquisitions or disposals in this line in the periods shown (factual zero).</t>
  </si>
  <si>
    <t>Payment Services</t>
  </si>
  <si>
    <t>Treasury &amp; Corporate Support</t>
  </si>
  <si>
    <t>Y/Y change ($mm; % n.m.)</t>
  </si>
  <si>
    <t>Q/Q change ($mm)</t>
  </si>
  <si>
    <t>Growth decomposition n.m. (negative base)</t>
  </si>
  <si>
    <t>Check: segments - Income Statement</t>
  </si>
  <si>
    <t>CapIQ revenue (3Q26 = consensus)</t>
  </si>
  <si>
    <t>Hist = CapIQ actual (USB_history.csv); 3Q26 = frozen consensus mean (USB_consensus.json)</t>
  </si>
  <si>
    <t>Check: model - CapIQ actual</t>
  </si>
  <si>
    <t>Acquired revenue (M&amp;A / scope) used in decomposition</t>
  </si>
  <si>
    <t>BTIG fee revenue (WCCIB)</t>
  </si>
  <si>
    <t>Amazon card revenue (Payment Svcs)</t>
  </si>
  <si>
    <t>Total acquired revenue</t>
  </si>
  <si>
    <t>Net revenue by type ($mm)</t>
  </si>
  <si>
    <t>Net interest income (FTE)</t>
  </si>
  <si>
    <t>% Y/Y</t>
  </si>
  <si>
    <t>Fee revenue (ex-securities)</t>
  </si>
  <si>
    <t>Securities gains (losses), net</t>
  </si>
  <si>
    <t>Check: by type - by segment</t>
  </si>
  <si>
    <t>Consolidated net interest income drivers ($mm, daily average)</t>
  </si>
  <si>
    <t>FY25A balance columns = day-weighted average of the four quarterly daily averages (row 7 days / 365), consistent with Share Count F22/F31. Repair r5 replaced the simple average (e.g. loans 380,248.5 -&gt; 380,259.9; FY25 NIM -0.015bp); no 3Q26E or EPS effect</t>
  </si>
  <si>
    <t>Average loans (sum of segments)</t>
  </si>
  <si>
    <t>Memo: average loans as reported</t>
  </si>
  <si>
    <t>Check: segments - reported</t>
  </si>
  <si>
    <t>Avg earning assets (sum of segments)</t>
  </si>
  <si>
    <t>Memo: avg earning assets as reported</t>
  </si>
  <si>
    <t>Avg interest-bearing deposits (segs)</t>
  </si>
  <si>
    <t>Memo: avg IB deposits as reported</t>
  </si>
  <si>
    <t>Avg total deposits (sum of segments)</t>
  </si>
  <si>
    <t>Memo: avg total deposits as reported</t>
  </si>
  <si>
    <t>Average investment securities</t>
  </si>
  <si>
    <t>3Q26E: blue value = input assumption</t>
  </si>
  <si>
    <t>Average loans held for sale</t>
  </si>
  <si>
    <t>Average short-term borrowings</t>
  </si>
  <si>
    <t>3Q26E: elevated 2Q26 period-end STB ($37.3bn) partly carried into Q3 average</t>
  </si>
  <si>
    <t>Average long-term debt</t>
  </si>
  <si>
    <t>Net interest margin (FTE, computed)</t>
  </si>
  <si>
    <t>Q/Q change (bps)</t>
  </si>
  <si>
    <t>Y/Y change (bps)</t>
  </si>
  <si>
    <t>Memo: NIM as reported</t>
  </si>
  <si>
    <t>Geography: effectively all U.S. - Geo tab omitted (see note)</t>
  </si>
  <si>
    <t>FY2025 10-K: foreign operations (merchant processing in Canada/Europe; corporate trust &amp; fund services in Europe) "are not significant"; no geographic revenue split disclosed.</t>
  </si>
  <si>
    <t>Memo: NII (FTE) - sum of segments</t>
  </si>
  <si>
    <t>Check: seg. NII - consol. (3Q26E identity)</t>
  </si>
  <si>
    <t>1Q25A-2Q26A: segment NII vs reported consolidated NII. 3Q26E: zero by construction (Income Statement I40 is defined from segment NII)</t>
  </si>
  <si>
    <t>Segment - Wealth, Corporate, Commercial &amp; Institutional Banking (WCCIB)</t>
  </si>
  <si>
    <t>Average balance sheet drivers ($mm, daily average)</t>
  </si>
  <si>
    <t>FY25A = day-weighted average of quarterly daily averages (row 7 days / 365); no 3Q26E or EPS effect</t>
  </si>
  <si>
    <t>Commercial loans</t>
  </si>
  <si>
    <t>3Q26E: H.8 shows slower C&amp;I growth; mgmt: pipelines strong</t>
  </si>
  <si>
    <t>Commercial real estate loans</t>
  </si>
  <si>
    <t>Residential mortgages (wealth)</t>
  </si>
  <si>
    <t>Credit card loans</t>
  </si>
  <si>
    <t>Segment reports no card loans ("—" in supplement = zero)</t>
  </si>
  <si>
    <t>Other retail loans</t>
  </si>
  <si>
    <t>Total average loans</t>
  </si>
  <si>
    <t>Other earning assets</t>
  </si>
  <si>
    <t>Total average earning assets</t>
  </si>
  <si>
    <t>Noninterest-bearing deposits</t>
  </si>
  <si>
    <t>3Q26E: CFO (Sep-16) expects deposit growth to outpace loans</t>
  </si>
  <si>
    <t>Interest checking</t>
  </si>
  <si>
    <t>Savings products</t>
  </si>
  <si>
    <t>Time deposits</t>
  </si>
  <si>
    <t>Total average deposits</t>
  </si>
  <si>
    <t>Memo: interest-bearing deposits</t>
  </si>
  <si>
    <t>Loan ladder (average balances):</t>
  </si>
  <si>
    <t>Prior-quarter average loans</t>
  </si>
  <si>
    <t>Add: acquired portfolios</t>
  </si>
  <si>
    <t>No loan acquisitions in this segment (factual zero)</t>
  </si>
  <si>
    <t>Less: net charge-offs</t>
  </si>
  <si>
    <t>Gross originations</t>
  </si>
  <si>
    <t>Unavailable: segment originations not disclosed</t>
  </si>
  <si>
    <t>Paydowns / runoff</t>
  </si>
  <si>
    <t>Unavailable: segment paydowns not disclosed</t>
  </si>
  <si>
    <t>Organic net change</t>
  </si>
  <si>
    <t>Derived; 3Q26E driven by the product-level % Q/Q inputs above</t>
  </si>
  <si>
    <t>Current-quarter average loans</t>
  </si>
  <si>
    <t>Organic growth % Q/Q</t>
  </si>
  <si>
    <t>NCO (churn) rate, annualized</t>
  </si>
  <si>
    <t>Deposit ladder (average balances):</t>
  </si>
  <si>
    <t>Prior-quarter average deposits</t>
  </si>
  <si>
    <t>Net flow - noninterest-bearing</t>
  </si>
  <si>
    <t>Net flow - interest checking</t>
  </si>
  <si>
    <t>Net flow - savings</t>
  </si>
  <si>
    <t>Net flow - time</t>
  </si>
  <si>
    <t>Net deposit inflow / (outflow)</t>
  </si>
  <si>
    <t>Current-quarter average deposits</t>
  </si>
  <si>
    <t>Two-quarter average deposits</t>
  </si>
  <si>
    <t>Deposit growth % Q/Q</t>
  </si>
  <si>
    <t>Loan-to-deposit ratio</t>
  </si>
  <si>
    <t>Net interest income build</t>
  </si>
  <si>
    <t>Net interest margin (FTE)</t>
  </si>
  <si>
    <t>3Q26E assumption: 2Q26 3.38% less mix/deposit-cost drag</t>
  </si>
  <si>
    <t>Unavailable: BTIG contribution to NII not disclosed.</t>
  </si>
  <si>
    <t>Noninterest income build</t>
  </si>
  <si>
    <t>Treasury management</t>
  </si>
  <si>
    <t>Trust and investment management fees:</t>
  </si>
  <si>
    <t>Wealth management</t>
  </si>
  <si>
    <t>U.S. Bancorp Asset Management</t>
  </si>
  <si>
    <t>Global corporate trust</t>
  </si>
  <si>
    <t>Global fund services</t>
  </si>
  <si>
    <t>Institutional trust &amp; custody</t>
  </si>
  <si>
    <t>Other trust</t>
  </si>
  <si>
    <t>Trust and investment management fees</t>
  </si>
  <si>
    <t>Sub-lines tie to the reported segment line ($784mm 2Q26)</t>
  </si>
  <si>
    <t>Capital markets - legacy USB</t>
  </si>
  <si>
    <t>3Q26E: CFO (Sep-16) "low double digit" legacy capital markets growth</t>
  </si>
  <si>
    <t>Capital markets - BTIG (from Jun-26)</t>
  </si>
  <si>
    <t>Pre-June-2026 zero = not owned. 2Q26 ~$98mm (one month, release). 3Q26E = guided ~$200mm/qtr</t>
  </si>
  <si>
    <t>Y/Y change</t>
  </si>
  <si>
    <t>Growth decomposition n.m.: acquired line (100% M&amp;A scope)</t>
  </si>
  <si>
    <t>Capital markets revenue</t>
  </si>
  <si>
    <t>Lending and deposit-related fees</t>
  </si>
  <si>
    <t>Investment products fees</t>
  </si>
  <si>
    <t>Other noninterest income</t>
  </si>
  <si>
    <t>Total noninterest income</t>
  </si>
  <si>
    <t>Memo: noninterest income as reported</t>
  </si>
  <si>
    <t>Check: build - reported</t>
  </si>
  <si>
    <t>Noninterest expense and profit</t>
  </si>
  <si>
    <t>Compensation and employee benefits</t>
  </si>
  <si>
    <t>3Q26E: three months of BTIG (one month in 2Q26)</t>
  </si>
  <si>
    <t>Other intangibles</t>
  </si>
  <si>
    <t>Net shared services</t>
  </si>
  <si>
    <t>Other direct expenses</t>
  </si>
  <si>
    <t>Total noninterest expense</t>
  </si>
  <si>
    <t>Efficiency ratio</t>
  </si>
  <si>
    <t>Pre-provision net revenue</t>
  </si>
  <si>
    <t>Credit:</t>
  </si>
  <si>
    <t>NCOs - commercial</t>
  </si>
  <si>
    <t>NCO ratio (annualized)</t>
  </si>
  <si>
    <t>NCOs - commercial real estate</t>
  </si>
  <si>
    <t>NCOs - other retail</t>
  </si>
  <si>
    <t>Total net charge-offs</t>
  </si>
  <si>
    <t>Total NCO ratio (annualized)</t>
  </si>
  <si>
    <t>Reserve build / (release)</t>
  </si>
  <si>
    <t>Y/Y change ($mm)</t>
  </si>
  <si>
    <t>Provision for credit losses</t>
  </si>
  <si>
    <t>Income before income taxes</t>
  </si>
  <si>
    <t>Managerial tax rate (25%)</t>
  </si>
  <si>
    <t>Income taxes and FTE adjustment</t>
  </si>
  <si>
    <t>Net income to U.S. Bancorp</t>
  </si>
  <si>
    <t>Pretax margin</t>
  </si>
  <si>
    <t>Nonperforming assets (period end)</t>
  </si>
  <si>
    <t>Not forecast (not an earnings driver in this model)</t>
  </si>
  <si>
    <t>Other disclosed detail</t>
  </si>
  <si>
    <t>Average loans by business line:</t>
  </si>
  <si>
    <t>Commercial real estate division</t>
  </si>
  <si>
    <t>Institutional client group</t>
  </si>
  <si>
    <t>Other</t>
  </si>
  <si>
    <t>Total (ties to total average loans)</t>
  </si>
  <si>
    <t>Check: business lines - loan ladder</t>
  </si>
  <si>
    <t>Average deposits by business line:</t>
  </si>
  <si>
    <t>Total (ties to total average deposits)</t>
  </si>
  <si>
    <t>Check: business lines - deposit ladder</t>
  </si>
  <si>
    <t>Assets under management (period end, 1-month lag):</t>
  </si>
  <si>
    <t>Equity</t>
  </si>
  <si>
    <t>Fixed income</t>
  </si>
  <si>
    <t>Money market</t>
  </si>
  <si>
    <t>Total assets under management</t>
  </si>
  <si>
    <t>Trust &amp; IM fees / AUM (annualized)</t>
  </si>
  <si>
    <t>Quarters: annualized fees / period-end AUM. FY25A = FY fees / year-end AUM (F316), not average AUM (on 4-quarter average: 0.537%). Memo only; no forecast dependency</t>
  </si>
  <si>
    <t>Segment - Consumer &amp; Business Banking (CBB)</t>
  </si>
  <si>
    <t>Residential mortgages</t>
  </si>
  <si>
    <t>Other retail loans:</t>
  </si>
  <si>
    <t>Retail leasing</t>
  </si>
  <si>
    <t>Home equity and second mortgages</t>
  </si>
  <si>
    <t>Other (installment, auto, revolving)</t>
  </si>
  <si>
    <t>3Q26E: mgmt expects another record for consumer deposits</t>
  </si>
  <si>
    <t>3Q26E: deposit mix supports NIM; resi runoff</t>
  </si>
  <si>
    <t>Card revenue (debit card)</t>
  </si>
  <si>
    <t>Driver: debit card volume (Payment Services tab) x yield</t>
  </si>
  <si>
    <t>Debit revenue / debit volume</t>
  </si>
  <si>
    <t>Corporate payment and treasury mgmt</t>
  </si>
  <si>
    <t>Mortgage banking revenue:</t>
  </si>
  <si>
    <t>Mortgage production volume</t>
  </si>
  <si>
    <t>3Q26E: rising long rates (10-yr &gt;5%) damp production</t>
  </si>
  <si>
    <t>Origination and sales</t>
  </si>
  <si>
    <t>Gain-on-sale margin</t>
  </si>
  <si>
    <t>Serviced for others (period end)</t>
  </si>
  <si>
    <t>3Q26E = servicing ladder closing balance</t>
  </si>
  <si>
    <t>Servicing portfolio ladder (period end):</t>
  </si>
  <si>
    <t>Opening serviced for others</t>
  </si>
  <si>
    <t>Add: production volume (proxy)</t>
  </si>
  <si>
    <t>Total production used as proxy; retained vs. portfolio split not disclosed</t>
  </si>
  <si>
    <t>Less: payoffs, runoff and other</t>
  </si>
  <si>
    <t>History derived; 3Q26E = runoff rate x opening balance</t>
  </si>
  <si>
    <t>Closing serviced for others</t>
  </si>
  <si>
    <t>Average serviced (simple)</t>
  </si>
  <si>
    <t>Runoff rate (annualized)</t>
  </si>
  <si>
    <t>3Q26E 18.6% vs 20.4% in 2Q26 (higher mortgage rates slow prepayments); implies closing ~$214.5bn</t>
  </si>
  <si>
    <t>Loan servicing</t>
  </si>
  <si>
    <t>Servicing fee rate (annualized)</t>
  </si>
  <si>
    <t>3Q26E: blue value = input assumption. FY25A = FY fees / year-end serviced balance (F157), not average (on 4-quarter average: 0.314%). Memo only</t>
  </si>
  <si>
    <t>MSR fair value changes net of hedges</t>
  </si>
  <si>
    <t>Other changes in MSR fair value (decay)</t>
  </si>
  <si>
    <t>Mortgage banking revenue</t>
  </si>
  <si>
    <t>Components tie to reported mortgage banking revenue</t>
  </si>
  <si>
    <t>Memo: mortgage application volume</t>
  </si>
  <si>
    <t>NCOs - residential mortgages</t>
  </si>
  <si>
    <t>Not forecast</t>
  </si>
  <si>
    <t>Retail credit production volume:</t>
  </si>
  <si>
    <t>Indirect loan/lease</t>
  </si>
  <si>
    <t>Direct branch loan/line</t>
  </si>
  <si>
    <t>Total retail credit production</t>
  </si>
  <si>
    <t>Home equity (average):</t>
  </si>
  <si>
    <t>Home equity first lien (in resi)</t>
  </si>
  <si>
    <t>Home equity loans</t>
  </si>
  <si>
    <t>Home equity lines</t>
  </si>
  <si>
    <t>Total home equity</t>
  </si>
  <si>
    <t>Distribution (period end):</t>
  </si>
  <si>
    <t>Number of branches</t>
  </si>
  <si>
    <t>Q/Q change</t>
  </si>
  <si>
    <t>Number of U.S. Bank ATMs</t>
  </si>
  <si>
    <t>Segment - Payment Services</t>
  </si>
  <si>
    <t>Payment volume drivers ($mm)</t>
  </si>
  <si>
    <t>Credit card volume</t>
  </si>
  <si>
    <t>2Q26 Y/Y +7.5%</t>
  </si>
  <si>
    <t>Debit card volume (revenue in CBB)</t>
  </si>
  <si>
    <t>Prepaid card volume</t>
  </si>
  <si>
    <t>Corporate payment products volume</t>
  </si>
  <si>
    <t>2Q26 Y/Y +13%; corporate payments rebound</t>
  </si>
  <si>
    <t>Merchant volume</t>
  </si>
  <si>
    <t>CFO (Sep-16): merchant revenue ~flat Y/Y for 2-3 quarters</t>
  </si>
  <si>
    <t>Total payment volume</t>
  </si>
  <si>
    <t>Merchant transactions (millions)</t>
  </si>
  <si>
    <t>Average merchant ticket ($)</t>
  </si>
  <si>
    <t>Merchant volume ($mm) / transactions (mm)</t>
  </si>
  <si>
    <t>Q/Q change ($)</t>
  </si>
  <si>
    <t>Commercial loans (corporate card)</t>
  </si>
  <si>
    <t>Amazon card portfolio acquired</t>
  </si>
  <si>
    <t>Guided $1.6bn purchase (2Q26 call); account transfer 2026-08-14 (Amex notice)</t>
  </si>
  <si>
    <t>Days held in 3Q26 (Aug-14 to Sep-30)</t>
  </si>
  <si>
    <t>48 = Aug-14 to Sep-30 inclusive: accounts subject to U.S. Bank terms from the expected 2026-08-14 Replacement Date (Amex notice, S24). r4 correction from 47 (+$0.14mm pretax, +$0.00007 normalized EPS). Actual transfer timing unconfirmed</t>
  </si>
  <si>
    <t>Y/Y, Q/Q change n.m. - new in 3Q26 (acquired)</t>
  </si>
  <si>
    <t>Amazon portfolio - average balance</t>
  </si>
  <si>
    <t>Zero before acquisition (not owned)</t>
  </si>
  <si>
    <t>% Q/Q organic (ex-Amazon)</t>
  </si>
  <si>
    <t>Amazon card portfolio (Payment Services)</t>
  </si>
  <si>
    <t>3Q26E: Q3 seasonal card yield recovery (3Q25 7.21%); Amazon book</t>
  </si>
  <si>
    <t>Card revenue (credit card)</t>
  </si>
  <si>
    <t>3Q26E: organic volume x yield + Amazon portfolio fees (scope)</t>
  </si>
  <si>
    <t>Credit card revenue / volume</t>
  </si>
  <si>
    <t>Corporate payment products and prepaid</t>
  </si>
  <si>
    <t>Revenue / (corporate + prepaid vol.)</t>
  </si>
  <si>
    <t>Merchant processing (acquiring)</t>
  </si>
  <si>
    <t>Merchant revenue / volume</t>
  </si>
  <si>
    <t>Amazon portfolio revenue (scope, embedded above):</t>
  </si>
  <si>
    <t>Amazon - net interest income</t>
  </si>
  <si>
    <t>Attribution per guidance ($75-85mm/qtr, ~half in 3Q26, majority NII); segment NII build uses a blended 7.00% NIM. Memo only: feeds M&amp;A/scope decomposition rows (I170; Income Statement I138/I140/I48/I132; Revenue summary I52/I59), not EPS; not derived from the balance build (I43 834.8 x 7.00% x 92/365 = 14.7) - unresolved, no EPS effect</t>
  </si>
  <si>
    <t>Amazon - fee revenue</t>
  </si>
  <si>
    <t>Amazon - total revenue</t>
  </si>
  <si>
    <t>2Q26 step-up reflects Amazon launch / marketing costs</t>
  </si>
  <si>
    <t>NCOs - credit card</t>
  </si>
  <si>
    <t>Amazon day-1 reserve build</t>
  </si>
  <si>
    <t>Guided ~$160mm reserve build at mid-Aug close (2Q26 call)</t>
  </si>
  <si>
    <t>Segment - Treasury &amp; Corporate Support (T&amp;CS)</t>
  </si>
  <si>
    <t>Average balance sheet ($mm, daily average)</t>
  </si>
  <si>
    <t>Other earning assets (securities, cash)</t>
  </si>
  <si>
    <t>Interest-bearing deposits</t>
  </si>
  <si>
    <t>Revenue</t>
  </si>
  <si>
    <t>3Q26E assumption: funding/FTP residual near 1H26 run-rate (avg -168)</t>
  </si>
  <si>
    <t>NII / avg earning assets (ann.)</t>
  </si>
  <si>
    <t>3Q26E: ~avg of last 5 qtrs (-29); 1Q25 "—" in source = zero; excluded from CapIQ normalized EPS</t>
  </si>
  <si>
    <t>Growth decomposition: not meaningful (negative revenue base); M&amp;A n/a, FX not disclosed</t>
  </si>
  <si>
    <t>Noninterest expense and profit (3Q26E residual to consolidated)</t>
  </si>
  <si>
    <t>Compensation (3Q26E residual)</t>
  </si>
  <si>
    <t>3Q26E = consolidated compensation less other segments</t>
  </si>
  <si>
    <t>Net shared services (offset)</t>
  </si>
  <si>
    <t>Shared-service allocations net to zero across segments</t>
  </si>
  <si>
    <t>Other direct expenses (3Q26E residual)</t>
  </si>
  <si>
    <t>3Q26E = consolidated expense (Income Statement) less other segments</t>
  </si>
  <si>
    <t>Net charge-offs</t>
  </si>
  <si>
    <t>Provision (macro reserve)</t>
  </si>
  <si>
    <t>3Q26E assumption: modest macro release; credit stable (CFO Sep-16)</t>
  </si>
  <si>
    <t>Taxes and FTE adj. (residual)</t>
  </si>
  <si>
    <t>Residual to consolidated tax + FTE adjustment</t>
  </si>
  <si>
    <t>Net income (loss)</t>
  </si>
  <si>
    <t>Net (income) to noncontrolling int.</t>
  </si>
  <si>
    <t>3Q26E: unallocated residual (consolidated less other segments, rows 70/75/91); segments sum to consolidated by construction. Not an independent segment forecast</t>
  </si>
  <si>
    <t>Income Statement</t>
  </si>
  <si>
    <t>Interest income ($mm, GAAP)</t>
  </si>
  <si>
    <t>Loans</t>
  </si>
  <si>
    <t>Loan yield (GAAP)</t>
  </si>
  <si>
    <t>Memo only (non-driving): 3Q26E NII is taken from segment build (I40); yield changes move only the I22 plug. 3Q26E: +1bp vs 2Q26 (5.67%); mix toward C&amp;I/card, Sep-26 Fed hike late in quarter</t>
  </si>
  <si>
    <t>Loans held for sale</t>
  </si>
  <si>
    <t>LHFS yield</t>
  </si>
  <si>
    <t>Memo only (non-driving): 3Q26E: blue value = input assumption</t>
  </si>
  <si>
    <t>Investment securities</t>
  </si>
  <si>
    <t>Securities yield (GAAP)</t>
  </si>
  <si>
    <t>Memo only (non-driving): 3Q26E: fixed-asset repricing continues (+4bp)</t>
  </si>
  <si>
    <t>Other interest income</t>
  </si>
  <si>
    <t>3Q26E = segment-built NII + interest expense - other interest income lines (cash, reverse repos)</t>
  </si>
  <si>
    <t>Total interest income</t>
  </si>
  <si>
    <t>Interest expense ($mm)</t>
  </si>
  <si>
    <t>Deposits</t>
  </si>
  <si>
    <t>Cost of interest-bearing deposits</t>
  </si>
  <si>
    <t>Memo only (non-driving; affects I22 plug, not NII/EPS): 3Q26E: +2bp (CD/promotional competition; Fed +25bp on Sep-16)</t>
  </si>
  <si>
    <t>Short-term borrowings</t>
  </si>
  <si>
    <t>Short-term borrowing rate</t>
  </si>
  <si>
    <t>Memo only (non-driving; affects I22 plug, not NII/EPS): 3Q26E: blue value = input assumption</t>
  </si>
  <si>
    <t>Long-term debt</t>
  </si>
  <si>
    <t>Long-term debt rate</t>
  </si>
  <si>
    <t>Total interest expense</t>
  </si>
  <si>
    <t>Net interest income (GAAP)</t>
  </si>
  <si>
    <t>3Q26E = sum of segment NII (FTE) less taxable-equivalent adjustment</t>
  </si>
  <si>
    <t>Memo: net interest income as reported</t>
  </si>
  <si>
    <t>Check: computed - reported</t>
  </si>
  <si>
    <t>Taxable-equivalent adjustment</t>
  </si>
  <si>
    <t>Noninterest income ($mm)</t>
  </si>
  <si>
    <t>Card revenue</t>
  </si>
  <si>
    <t>Merchant processing services</t>
  </si>
  <si>
    <t>Fee revenue</t>
  </si>
  <si>
    <t>1Q25 "—" in source = zero</t>
  </si>
  <si>
    <t>Issuer definition: NII (taxable-equivalent) + noninterest income; = CapIQ revenue basis</t>
  </si>
  <si>
    <t>Acquired revenue (scope) in the lines above:</t>
  </si>
  <si>
    <t>Acquired NII (Amazon)</t>
  </si>
  <si>
    <t>Acquired fee revenue (BTIG + Amazon)</t>
  </si>
  <si>
    <t>Noninterest expense ($mm)</t>
  </si>
  <si>
    <t>3Q26E: full quarter of BTIG (~$189mm total BTIG expense implied by +8% vs +3.5% ex-BTIG guide)</t>
  </si>
  <si>
    <t>Net occupancy and equipment</t>
  </si>
  <si>
    <t>Professional services</t>
  </si>
  <si>
    <t>Includes part of ~$60mm 2H26 BTIG integration cost</t>
  </si>
  <si>
    <t>Marketing and business development</t>
  </si>
  <si>
    <t>Amazon card launch, deposit campaigns</t>
  </si>
  <si>
    <t>Technology and communications</t>
  </si>
  <si>
    <t>BTIG intangibles amortization, full quarter</t>
  </si>
  <si>
    <t>Calibrated to the ~8% Y/Y guide, which mgmt says embeds the ~$60mm 2H26 BTIG integration costs; no separate modeled integration line (part noted in row 152). Add-back I220 assumes $30mm is inside this total; if not, normalized EPS is overstated by $0.0144 (I230)</t>
  </si>
  <si>
    <t>Memo: noninterest expense as reported</t>
  </si>
  <si>
    <t>Pre-provision net revenue (FTE)</t>
  </si>
  <si>
    <t>3Q26E includes ~$160mm Amazon day-1 reserve build</t>
  </si>
  <si>
    <t>Income before income taxes (GAAP)</t>
  </si>
  <si>
    <t>Memo: income before taxes as reported</t>
  </si>
  <si>
    <t>Applicable income taxes</t>
  </si>
  <si>
    <t>Effective tax rate</t>
  </si>
  <si>
    <t>3Q26E 20.0%: 6-qtr avg 20.0%; 1H26 19.6%; CapIQ consensus 20.56%</t>
  </si>
  <si>
    <t>Net income</t>
  </si>
  <si>
    <t>Memo: as reported</t>
  </si>
  <si>
    <t>Preferred dividends &amp; allocations</t>
  </si>
  <si>
    <t>3Q26E 104 = 1Q/3Q pattern (3Q25 108, 1Q26 104; semi-annual Series A/B coupons)</t>
  </si>
  <si>
    <t>Net income to common shareholders</t>
  </si>
  <si>
    <t>Per share (GAAP)</t>
  </si>
  <si>
    <t>Average basic common shares (mm)</t>
  </si>
  <si>
    <t>Average diluted common shares (mm)</t>
  </si>
  <si>
    <t>Basic EPS (computed)</t>
  </si>
  <si>
    <t>Diluted EPS - GAAP (computed)</t>
  </si>
  <si>
    <t>Memo: diluted EPS as reported</t>
  </si>
  <si>
    <t>Check: rounded computed - reported</t>
  </si>
  <si>
    <t>GAAP to normalized bridge (model basis; CapIQ treatment of integration costs unconfirmed)</t>
  </si>
  <si>
    <t>Add: securities (gains) losses, pretax</t>
  </si>
  <si>
    <t>3Q26E $30mm securities loss (I125 = -30) is an assumption (Treasury &amp; Corp I53). Add-back matches CapIQ in 1Q26/2Q26 (G228/H228 = 0) but not 2Q25 (C228). Unresolved: if CapIQ does not add it back, normalized EPS = 1.3261 (-$0.0144); if neither I219 nor I220 is recognized = GAAP 1.3117 (I211)</t>
  </si>
  <si>
    <t>Add: BTIG integration costs, pretax</t>
  </si>
  <si>
    <t>Not separately disclosed before 3Q26 (n/a). 3Q26E: ~half of ~$60mm 2H26 (2Q26 call: costs 'embedded' in the ~8% expense guide, 'we'll call out'). Model judgment: CapIQ exclusion NOT source-confirmed (unresolved basis risk; see row 230). History: n/a treated as nil via N() in rows 223-224 (2Q26 BTIG close may carry undisclosed costs; no visible effect at 2dp, H228 = 0)</t>
  </si>
  <si>
    <t>Y/Y, Q/Q n.m. - not disclosed before 3Q26</t>
  </si>
  <si>
    <t>Tax rate applied to adjustments</t>
  </si>
  <si>
    <t>Assumption: 25% (USB managerial rate); CapIQ tax-effecting method not disclosed (unresolved). Sensitivity: at the 20% GAAP ETR (I188), normalized EPS = 1.3425 (+$0.0019 vs I225); ~$0.001 per $30mm pretax item. Retained, not resolved</t>
  </si>
  <si>
    <t>Less: tax effect of adjustments</t>
  </si>
  <si>
    <t>CapIQ normalized EPS (3Q26 = cons.)</t>
  </si>
  <si>
    <t>Check: model - CapIQ normalized ($)</t>
  </si>
  <si>
    <t>0.00 in 5 of 6 quarters, but testable at 2dp in only 3 (1Q25 no adjustment; 3Q25/4Q25 GAAP and normalized round equal): CapIQ matches 1Q26/2Q26; 2Q25 CapIQ did not add back the $57mm securities loss</t>
  </si>
  <si>
    <t>CapIQ GAAP EPS (3Q26 = cons.)</t>
  </si>
  <si>
    <t>Sens.: norm. EPS ex integration add-back</t>
  </si>
  <si>
    <t>Basis sensitivity only (not the estimate): removes the after-tax BTIG integration add-back (I220 x (1 - I222)). Unresolved: CapIQ exclusion of integration costs not source-confirmed. Frozen CapIQ implied exclusions: EBT excl. exceptional - EBT GAAP = $6.7mm pretax (Inputs B64-B65); NI excl. - NI GAAP = $24.7mm after tax (Inputs B66-B67), vs model $45mm after tax (different estimate pools). Comparator-basis range 1.3117 (I211) to 1.3406 (I225); like-for-like on the $24.7mm after-tax exclusion = 1.3276</t>
  </si>
  <si>
    <t>Growth and margins</t>
  </si>
  <si>
    <t>Efficiency ratio (ex-securities)</t>
  </si>
  <si>
    <t>Operating leverage Y/Y (bps)</t>
  </si>
  <si>
    <t>PPNR margin (PPNR / revenue)</t>
  </si>
  <si>
    <t>Pretax margin (GAAP pretax / revenue)</t>
  </si>
  <si>
    <t>Net margin (NI to common / revenue)</t>
  </si>
  <si>
    <t>Fee revenue % of total revenue</t>
  </si>
  <si>
    <t>Balance Sheet (period end)</t>
  </si>
  <si>
    <t>Assets ($mm, period end)</t>
  </si>
  <si>
    <t>Cash and due from banks</t>
  </si>
  <si>
    <t>3Q26E: balancing item = total liabilities &amp; equity less all other assets; reconciled to cash-flow-derived cash at Cash Flow Statement I52</t>
  </si>
  <si>
    <t>Securities - held-to-maturity</t>
  </si>
  <si>
    <t>3Q26E: runoff ~$1.4bn/qtr (1H26 avg)</t>
  </si>
  <si>
    <t>Securities - available-for-sale</t>
  </si>
  <si>
    <t>3Q26E: 2Q26 x (1 + net purchases %) + pre-tax fair-value mark (AOCI / (1 - tax))</t>
  </si>
  <si>
    <t>Net purch. % (3Q26E ex-mark; hist. tot.)</t>
  </si>
  <si>
    <t>1Q25A-2Q26A: total Q/Q change in AFS balance (C17/B17-1), incl. fair-value (AOCI) marks; pre-tax marks not sourced, so history is not shown ex-mark. 3Q26E: input ex-mark (-0.5%); pre-tax mark added separately in I140 (-800); implied total 3Q26E change incl. mark = I17/H17-1 (-1.4%)</t>
  </si>
  <si>
    <t>3Q26E rows 21-22: computed on the like-for-like total-change basis (I17/H17-1, incl. the I140 pre-tax mark) vs historical total-change rates in row 20, not on the ex-mark input I20</t>
  </si>
  <si>
    <t>Loans:</t>
  </si>
  <si>
    <t>Commercial</t>
  </si>
  <si>
    <t>Commercial real estate</t>
  </si>
  <si>
    <t>Credit card (3Q26E incl. Amazon)</t>
  </si>
  <si>
    <t>Organic growth %</t>
  </si>
  <si>
    <t>Other retail</t>
  </si>
  <si>
    <t>Total loans</t>
  </si>
  <si>
    <t>Loan roll-forward (period end):</t>
  </si>
  <si>
    <t>Opening loans</t>
  </si>
  <si>
    <t>Amazon $1.6bn in 3Q26E; no loan acquisitions in history (BTIG had no loan book)</t>
  </si>
  <si>
    <t>Organic net originations (derived)</t>
  </si>
  <si>
    <t>Closing loans</t>
  </si>
  <si>
    <t>Average loans (Revenue summary)</t>
  </si>
  <si>
    <t>Average / closing loans</t>
  </si>
  <si>
    <t>Less allowance for loan losses</t>
  </si>
  <si>
    <t>3Q26E: prior balance + provision - net charge-offs</t>
  </si>
  <si>
    <t>Net loans</t>
  </si>
  <si>
    <t>Premises and equipment</t>
  </si>
  <si>
    <t>Goodwill</t>
  </si>
  <si>
    <t>2Q26 step-up = BTIG; Amazon premium not disclosed</t>
  </si>
  <si>
    <t>Other intangible assets</t>
  </si>
  <si>
    <t>3Q26E: less quarterly amortization (Income Statement)</t>
  </si>
  <si>
    <t>Other assets</t>
  </si>
  <si>
    <t>3Q26E: flat except deferred tax asset on the AFS mark</t>
  </si>
  <si>
    <t>Total assets</t>
  </si>
  <si>
    <t>Memo: total assets as reported</t>
  </si>
  <si>
    <t>Liabilities ($mm)</t>
  </si>
  <si>
    <t>3Q26E: CFO (Sep-16) "very strong" deposit growth, outpacing loans</t>
  </si>
  <si>
    <t>Total deposits</t>
  </si>
  <si>
    <t>Deposit roll-forward (period end):</t>
  </si>
  <si>
    <t>Opening deposits</t>
  </si>
  <si>
    <t>Net inflow / (outflow)</t>
  </si>
  <si>
    <t>Closing deposits</t>
  </si>
  <si>
    <t>Average deposits (Revenue summary)</t>
  </si>
  <si>
    <t>3Q26E: deposit inflows replace part of elevated June borrowings</t>
  </si>
  <si>
    <t>Other liabilities</t>
  </si>
  <si>
    <t>3Q26E: flat (I109) plus increase in common dividends payable (Share Count I44 - H44; $0.54 payable 2026-10-15)</t>
  </si>
  <si>
    <t>Total liabilities</t>
  </si>
  <si>
    <t>Shareholders' equity ($mm)</t>
  </si>
  <si>
    <t>Preferred stock</t>
  </si>
  <si>
    <t>Common stock</t>
  </si>
  <si>
    <t>Capital surplus</t>
  </si>
  <si>
    <t>3Q26E: stock-based compensation</t>
  </si>
  <si>
    <t>Retained earnings</t>
  </si>
  <si>
    <t>3Q26E: + NI to USB - preferred - common dividends declared</t>
  </si>
  <si>
    <t>Less treasury stock</t>
  </si>
  <si>
    <t>3Q26E: buybacks paused (CFO, Sep-16)</t>
  </si>
  <si>
    <t>Accumulated OCI (loss)</t>
  </si>
  <si>
    <t>Change in AOCI</t>
  </si>
  <si>
    <t>Assumption: AFS fair-value loss as long rates rose in Q3 (10-yr &gt;5% by Oct; CFO cited rate move on AFS); no EPS impact</t>
  </si>
  <si>
    <t>Tax rate on AFS mark</t>
  </si>
  <si>
    <t>Pre-tax AFS fair-value mark</t>
  </si>
  <si>
    <t>Y/Y, Q/Q n.m. - forecast-only assumption rows</t>
  </si>
  <si>
    <t>Total USB shareholders' equity</t>
  </si>
  <si>
    <t>Noncontrolling interests</t>
  </si>
  <si>
    <t>Total equity</t>
  </si>
  <si>
    <t>Total liabilities and equity</t>
  </si>
  <si>
    <t>Check: A - L - E (3Q26E: identity)</t>
  </si>
  <si>
    <t>1Q25A-2Q26A: reported balance sheet tie. 3Q26E: zero by construction because cash (I10) is the balancing item; Cash Flow Statement I52 is a mapping-completeness check (not independent evidence)</t>
  </si>
  <si>
    <t>Memo: credit and capital</t>
  </si>
  <si>
    <t>Net charge-offs (quarter)</t>
  </si>
  <si>
    <t>Check: segment NCOs - consolidated</t>
  </si>
  <si>
    <t>Allowance / total loans</t>
  </si>
  <si>
    <t>Book value per common share ($)</t>
  </si>
  <si>
    <t>CET1 ratio (standardized, reported)</t>
  </si>
  <si>
    <t>1Q25 not in the 2Q26 release capital table (unavailable here)</t>
  </si>
  <si>
    <t>Cash Flow Statement</t>
  </si>
  <si>
    <t>Operating activities ($mm)</t>
  </si>
  <si>
    <t>Depreciation &amp; amortization of premises</t>
  </si>
  <si>
    <t>3Q26E assumption (1H26: $189mm)</t>
  </si>
  <si>
    <t>Amortization of intangibles</t>
  </si>
  <si>
    <t>(Gain) loss on sales of LHFS</t>
  </si>
  <si>
    <t>incl. Other, net</t>
  </si>
  <si>
    <t>3Q26E: LHFS flows folded into Other, net (balance-sheet driven)</t>
  </si>
  <si>
    <t>(Gain) loss on securities &amp; other</t>
  </si>
  <si>
    <t>LHFS originated, net of repayments</t>
  </si>
  <si>
    <t>3Q26E: folded into Other, net</t>
  </si>
  <si>
    <t>Proceeds from sales of LHFS</t>
  </si>
  <si>
    <t>Other, net</t>
  </si>
  <si>
    <t>3Q26E: balance-sheet driven; excludes the non-cash increase in dividends payable (financing timing, see I43)</t>
  </si>
  <si>
    <t>Net cash from operating activities</t>
  </si>
  <si>
    <t>Investing activities ($mm)</t>
  </si>
  <si>
    <t>Proceeds from sales of AFS securities</t>
  </si>
  <si>
    <t>incl. AFS net</t>
  </si>
  <si>
    <t>3Q26E: securities flows shown net on AFS purchases line</t>
  </si>
  <si>
    <t>Maturities of HTM securities</t>
  </si>
  <si>
    <t>Maturities of AFS securities</t>
  </si>
  <si>
    <t>3Q26E: shown net</t>
  </si>
  <si>
    <t>Purchases of HTM securities</t>
  </si>
  <si>
    <t>incl. HTM net</t>
  </si>
  <si>
    <t>3Q26E: shown net in HTM maturities</t>
  </si>
  <si>
    <t>Purchases of AFS securities (3Q26E: net)</t>
  </si>
  <si>
    <t>Net (increase) decrease in loans</t>
  </si>
  <si>
    <t>Proceeds from sales of loans</t>
  </si>
  <si>
    <t>incl. net loans</t>
  </si>
  <si>
    <t>3Q26E: loan sales folded into net (increase) decrease in loans (I27)</t>
  </si>
  <si>
    <t>Purchases of loans</t>
  </si>
  <si>
    <t>3Q26E: Amazon $1.6bn purchase sits in net loans line</t>
  </si>
  <si>
    <t>Net (incr.) decr. in resale agreements</t>
  </si>
  <si>
    <t>incl. op. Other</t>
  </si>
  <si>
    <t>3Q26E: resale agreements sit in other assets, i.e. in operating Other, net (I18)</t>
  </si>
  <si>
    <t>Net cash paid for acquisitions</t>
  </si>
  <si>
    <t>3Q26E: 0 = no business acquisition expected in Q3 (BTIG closed 2Q26); Amazon card portfolio purchase is in net loans (I27)</t>
  </si>
  <si>
    <t>Net cash from investing activities</t>
  </si>
  <si>
    <t>Financing activities ($mm)</t>
  </si>
  <si>
    <t>Net increase (decrease) in deposits</t>
  </si>
  <si>
    <t>Net change in short-term borrowings</t>
  </si>
  <si>
    <t>Issuance of long-term debt</t>
  </si>
  <si>
    <t>3Q26E assumption: refinancing in line with maturities</t>
  </si>
  <si>
    <t>Repayment / redemption of LT debt</t>
  </si>
  <si>
    <t>Proceeds from issuance of common stock</t>
  </si>
  <si>
    <t>Repurchase of common stock</t>
  </si>
  <si>
    <t>Cash dividends paid on preferred stock</t>
  </si>
  <si>
    <t>3Q26E: = Income Statement preferred dividends &amp; allocations (declared basis); preferred cash timing not determined by preserved evidence (3Q25 paid 69 vs 108 declared) - unresolved, cash only</t>
  </si>
  <si>
    <t>Cash dividends paid on common stock</t>
  </si>
  <si>
    <t>3Q26E: paid = 2Q26 declared (paid Jul-15); Q3-declared $0.54 is payable 2026-10-15 (Q4) and sits in dividends payable at 9/30</t>
  </si>
  <si>
    <t>Net cash from financing activities</t>
  </si>
  <si>
    <t>FX on cash (3Q25/4Q25: residual, n.c.)</t>
  </si>
  <si>
    <t>Not comparable: 9M25 10-Q (original) did not present this line (Inputs D159 n/a); 6M25 is from the 2Q26 10-Q recast, FY25 from the 10-K. Caption verified in cached 2Q26 10-Q cash flow statement ('Effect of exchange rate changes on cash and due from banks': 6M26 (199), 6M25 749). 3Q25 (-749) and 4Q25 (+706) are reconciling residuals, not FX amounts; the offset sits in an unidentified 9M25 line (unresolved), so 3Q25/4Q25 line items and subtotals are not on a consistent basis. 2H25 total (-43), FY25 and change in cash tie to reported filings. 3Q26E I47 = 0 is an assumption</t>
  </si>
  <si>
    <t>Change in cash</t>
  </si>
  <si>
    <t>Cash, beginning of period</t>
  </si>
  <si>
    <t>Cash, end of period</t>
  </si>
  <si>
    <t>Memo: cash per Balance Sheet</t>
  </si>
  <si>
    <t>Check: CF cash - Balance Sheet cash</t>
  </si>
  <si>
    <t>Metrics tracked</t>
  </si>
  <si>
    <t>Capital expenditures: not separately disclosed (premises purchases inside investing "Other, net") - unavailable</t>
  </si>
  <si>
    <t>Free cash flow: no issuer-defined FCF for USB - not applicable</t>
  </si>
  <si>
    <t>Quarterly flows derived by differencing reported YTD statements (Inputs tab)</t>
  </si>
  <si>
    <t>Share Count</t>
  </si>
  <si>
    <t>Common shares outstanding roll-forward (millions)</t>
  </si>
  <si>
    <t>Beginning shares outstanding</t>
  </si>
  <si>
    <t>Shares issued (plans, acquisitions)</t>
  </si>
  <si>
    <t>2Q26 includes 6.6mm BTIG consideration shares; reported counts are rounded to whole millions, so the 6mm total is below the BTIG issuance (rounding artifact). 3Q26E assumption 1mm (plans)</t>
  </si>
  <si>
    <t>Q/Q change (mm)</t>
  </si>
  <si>
    <t>Shares repurchased</t>
  </si>
  <si>
    <t>3Q26E: buybacks paused in Q3 (CFO, Barclays conf. 2026-09-16)</t>
  </si>
  <si>
    <t>Ending shares outstanding</t>
  </si>
  <si>
    <t>Memo: ending shares as reported</t>
  </si>
  <si>
    <t>Check: roll-forward - reported</t>
  </si>
  <si>
    <t>Weighted average shares (millions)</t>
  </si>
  <si>
    <t>Average basic common shares</t>
  </si>
  <si>
    <t>FY = day-weighted average of quarterly basic shares (days row 7); reported FY25 weighted shares not in preserved sources</t>
  </si>
  <si>
    <t>Gap: avg(begin,end) less wtd basic</t>
  </si>
  <si>
    <t>Y/Y change (mm)</t>
  </si>
  <si>
    <t>Dilutive securities</t>
  </si>
  <si>
    <t>Average diluted common shares</t>
  </si>
  <si>
    <t>FY = day-weighted average of quarterly diluted shares (days row 7); FY25 EPS 4.62 unchanged</t>
  </si>
  <si>
    <t>Diluted shares behind forecast EPS</t>
  </si>
  <si>
    <t>Used by Income Statement EPS (GAAP and normalized)</t>
  </si>
  <si>
    <t>Buybacks and dividends</t>
  </si>
  <si>
    <t>Share repurchases ($mm)</t>
  </si>
  <si>
    <t>Hist = cash flow statement; 3Q26E = 0 (paused)</t>
  </si>
  <si>
    <t>Implied avg repurchase price ($)</t>
  </si>
  <si>
    <t>Share counts are rounded to millions: indicative only. 2Q26 $67.00 (201/3) exceeds the 52-week high of $66.08 (Inputs B91): rounding artifact, not meaningful</t>
  </si>
  <si>
    <t>Dividends per common share ($)</t>
  </si>
  <si>
    <t>3Q26E: $0.54 quarterly dividend declared Sep-2026 (payable 2026-10-15)</t>
  </si>
  <si>
    <t>Common dividends declared ($mm)</t>
  </si>
  <si>
    <t>Estimated, not reported: declared = DPS (row 41) x ending shares (row 17), all periods. Cash paid = prior-quarter declared (Cash Flow J43): 2Q26 reported paid 812 (Cash Flow H43) vs 1Q26 est. declared 808.6 (G44); 3Q26E paid = H44 810.2 (Cash Flow I43). Feeds retained earnings (BS I127), dividends payable (BS I108), Cash Flow I18/I43 and payout row 45; below net income to common, no EPS effect</t>
  </si>
  <si>
    <t>Payout ratio (divs + buybacks) / NI</t>
  </si>
  <si>
    <t>Guidance history</t>
  </si>
  <si>
    <t>Metric</t>
  </si>
  <si>
    <t>Date given</t>
  </si>
  <si>
    <t>Guide low</t>
  </si>
  <si>
    <t>Guide high</t>
  </si>
  <si>
    <t>Guide basis</t>
  </si>
  <si>
    <t>Base ($mm)</t>
  </si>
  <si>
    <t>Low ($mm)</t>
  </si>
  <si>
    <t>High ($mm)</t>
  </si>
  <si>
    <t>Midpoint ($mm)</t>
  </si>
  <si>
    <t>Actual / 3Q26E model ($mm)</t>
  </si>
  <si>
    <t>Act. - mid</t>
  </si>
  <si>
    <t>Beat / miss</t>
  </si>
  <si>
    <t>Source</t>
  </si>
  <si>
    <t>3Q25</t>
  </si>
  <si>
    <t>$mm</t>
  </si>
  <si>
    <t>S17</t>
  </si>
  <si>
    <t>$mm (~)</t>
  </si>
  <si>
    <t>Noninterest expense</t>
  </si>
  <si>
    <t>$mm (or lower)</t>
  </si>
  <si>
    <t>4Q25</t>
  </si>
  <si>
    <t>% Q/Q (relatively stable)</t>
  </si>
  <si>
    <t>S16</t>
  </si>
  <si>
    <t>1Q26</t>
  </si>
  <si>
    <t>S15</t>
  </si>
  <si>
    <t>% Y/Y (~1%)</t>
  </si>
  <si>
    <t>Total net revenue (ex-BTIG)</t>
  </si>
  <si>
    <t>FY26</t>
  </si>
  <si>
    <t>2Q26</t>
  </si>
  <si>
    <t>S14</t>
  </si>
  <si>
    <t>Fee revenue (ex-BTIG)</t>
  </si>
  <si>
    <t>Noninterest expense (ex-BTIG $84mm)</t>
  </si>
  <si>
    <t>3Q26</t>
  </si>
  <si>
    <t>S12</t>
  </si>
  <si>
    <t>% Y/Y (~8%)</t>
  </si>
  <si>
    <t>BTIG fee revenue per quarter</t>
  </si>
  <si>
    <t>BTIG integration costs (2H26 total)</t>
  </si>
  <si>
    <t>2H26</t>
  </si>
  <si>
    <t>Total net revenue</t>
  </si>
  <si>
    <t>Net interest income (FTE) - update</t>
  </si>
  <si>
    <t>% Y/Y ("high end" of 4-6%)</t>
  </si>
  <si>
    <t>S13</t>
  </si>
  <si>
    <t>Fee revenue - update</t>
  </si>
  <si>
    <t>% Y/Y ("high end" 12-14%, maybe above)</t>
  </si>
  <si>
    <t>Noninterest expense - update</t>
  </si>
  <si>
    <t>% Y/Y ("as expected")</t>
  </si>
  <si>
    <t>Memo: BTIG noninterest expense in 2Q26</t>
  </si>
  <si>
    <t>2Q26 release highlights: approximately $84 million of noninterest expense</t>
  </si>
  <si>
    <t>3Q26 guidance-implied total net revenue ($mm, excl. securities gains/losses)</t>
  </si>
  <si>
    <t>July-16 guide midpoint (NII mid + fee mid)</t>
  </si>
  <si>
    <t>July-16 guide range: low / high</t>
  </si>
  <si>
    <t>Sep-16 update ("high end") point</t>
  </si>
  <si>
    <t>EPS and net income: not guided by USB (n/a)</t>
  </si>
  <si>
    <t>Track record: NII and fee revenue at/above the top of guidance in each of the last 4 quarters; expense in line or better (4Q25 NII: qualitative 'relatively stable' guide coded as a 0% Q/Q point (D9:E9), so +1.4% shows as 'Beat' in M9 - interpretive)</t>
  </si>
  <si>
    <t>Sources</t>
  </si>
  <si>
    <t>ID</t>
  </si>
  <si>
    <t>Published</t>
  </si>
  <si>
    <t>Publisher</t>
  </si>
  <si>
    <t>URL or file</t>
  </si>
  <si>
    <t>What it feeds</t>
  </si>
  <si>
    <t>S1</t>
  </si>
  <si>
    <t>S&amp;P Capital IQ (supplied)</t>
  </si>
  <si>
    <t>USB_consensus.json</t>
  </si>
  <si>
    <t>Consensus EPS/revenue/NI, summary row (Inputs A-B), Cover</t>
  </si>
  <si>
    <t>S2</t>
  </si>
  <si>
    <t>USB_history.csv</t>
  </si>
  <si>
    <t>Six-quarter consensus vs actual (Inputs C), prior calibration</t>
  </si>
  <si>
    <t>S3</t>
  </si>
  <si>
    <t>https://s203.q4cdn.com/711684571/files/doc_events/2026/Jul/16/2Q26EarningsSupplement.pdf</t>
  </si>
  <si>
    <t>IS, BS, average BS and segment data for 2Q25-2Q26</t>
  </si>
  <si>
    <t>S4</t>
  </si>
  <si>
    <t>U.S. Bancorp (8-K Ex. 99.1)</t>
  </si>
  <si>
    <t>https://www.sec.gov/Archives/edgar/data/36104/000003610426000039/a2q26earningsrelease.htm</t>
  </si>
  <si>
    <t>ACL/NCO table, share roll-forward, capital, BTIG $98mm/$84mm, tax rate</t>
  </si>
  <si>
    <t>S5</t>
  </si>
  <si>
    <t>https://s203.q4cdn.com/711684571/files/doc_financials/2026/q1/1Q26EarningsSupplement.pdf</t>
  </si>
  <si>
    <t>1Q25 column (IS, BS, average BS, segments on pre-2Q26 segment basis)</t>
  </si>
  <si>
    <t>S6</t>
  </si>
  <si>
    <t>https://www.sec.gov/Archives/edgar/data/36104/000003610426000021/a1q26earningsrelease.htm</t>
  </si>
  <si>
    <t>1Q25 NCOs, share roll-forward, FTE adjustments</t>
  </si>
  <si>
    <t>S7</t>
  </si>
  <si>
    <t>U.S. Bancorp Form 10-Q (2Q26)</t>
  </si>
  <si>
    <t>https://s203.q4cdn.com/711684571/files/doc_financials/2026/q2/USB-2Q26-10-Q.pdf</t>
  </si>
  <si>
    <t>6M26 and 6M25 cash flow statements (Inputs F)</t>
  </si>
  <si>
    <t>S8</t>
  </si>
  <si>
    <t>U.S. Bancorp Form 10-Q (1Q26)</t>
  </si>
  <si>
    <t>https://s203.q4cdn.com/711684571/files/doc_financials/2026/q1/USB-1Q26-10-Q.pdf</t>
  </si>
  <si>
    <t>3M26 and 3M25 cash flow statements</t>
  </si>
  <si>
    <t>S9</t>
  </si>
  <si>
    <t>SEC EDGAR (3Q25 10-Q XBRL)</t>
  </si>
  <si>
    <t>https://www.sec.gov/Archives/edgar/data/36104/000003610425000064/R8.htm</t>
  </si>
  <si>
    <t>9M25 cash flow statement</t>
  </si>
  <si>
    <t>S10</t>
  </si>
  <si>
    <t>SEC EDGAR (FY2025 10-K XBRL)</t>
  </si>
  <si>
    <t>https://www.sec.gov/Archives/edgar/data/36104/000003610426000011/R8.htm</t>
  </si>
  <si>
    <t>FY2025 cash flow statement</t>
  </si>
  <si>
    <t>S11</t>
  </si>
  <si>
    <t>SEC EDGAR (FY2025 10-K)</t>
  </si>
  <si>
    <t>https://www.sec.gov/Archives/edgar/data/36104/000003610426000011/usb-20251231.htm</t>
  </si>
  <si>
    <t>Geography check: foreign operations "not significant" -&gt; Geo tab omitted</t>
  </si>
  <si>
    <t>USB 2Q26 call 2026-07-16 (Motley Fool, pub. 2026-07-23)</t>
  </si>
  <si>
    <t>https://www.fool.com/earnings/call-transcripts/2026/07/23/us-bancorp-usb-q2-2026-earnings-call-transcript/</t>
  </si>
  <si>
    <t>3Q26/FY26 guidance, Amazon $160mm build, BTIG $200mm &amp; $60mm costs, Amazon revenue</t>
  </si>
  <si>
    <t>Barclays Global Financial Services Conf. (stockanalysis transcript)</t>
  </si>
  <si>
    <t>https://stockanalysis.com/stocks/usb/transcripts/749859-barclays-24th-annual-global-financial-services-conference/</t>
  </si>
  <si>
    <t>Mid-quarter update: NII/fees high end, expense ~8%, buybacks paused, credit stable</t>
  </si>
  <si>
    <t>U.S. Bancorp 1Q26 call (Motley Fool)</t>
  </si>
  <si>
    <t>https://www.fool.com/earnings/call-transcripts/2026/04/16/us-bancorp-usb-q1-2026-earnings-call-transcript/</t>
  </si>
  <si>
    <t>2Q26 guidance</t>
  </si>
  <si>
    <t>U.S. Bancorp 4Q25 call (Motley Fool)</t>
  </si>
  <si>
    <t>https://www.fool.com/earnings/call-transcripts/2026/01/20/us-bancorp-usb-q4-2025-earnings-call-transcript/</t>
  </si>
  <si>
    <t>1Q26 and FY26 guidance</t>
  </si>
  <si>
    <t>U.S. Bancorp 3Q25 presentation (SEC)</t>
  </si>
  <si>
    <t>https://www.sec.gov/Archives/edgar/data/36104/000003610425000060/earningscallpresentation.htm</t>
  </si>
  <si>
    <t>4Q25 guidance; 3Q25 results vs guidance</t>
  </si>
  <si>
    <t>U.S. Bancorp 2Q25 call (Roic AI transcript)</t>
  </si>
  <si>
    <t>https://www.roic.ai/quote/0LHY.L/transcripts/2025-year/2-quarter</t>
  </si>
  <si>
    <t>3Q25 guidance</t>
  </si>
  <si>
    <t>S18</t>
  </si>
  <si>
    <t>Earnings Whispers</t>
  </si>
  <si>
    <t>https://beta.earningswhispers.com/article/USB/20339</t>
  </si>
  <si>
    <t>Preview: consensus $1.32/$8.00bn, whisper $1.36, guidance range $7.876-8.023bn</t>
  </si>
  <si>
    <t>S19</t>
  </si>
  <si>
    <t>Zacks via Yahoo Finance</t>
  </si>
  <si>
    <t>https://finance.yahoo.com/markets/stocks/articles/u-bancorp-usb-earnings-expected-130008145.html</t>
  </si>
  <si>
    <t>Zacks consensus $1.33/$8.01bn, ESP +0.14%, revisions +1.09% (30 days)</t>
  </si>
  <si>
    <t>S20</t>
  </si>
  <si>
    <t>stockanalysis.com</t>
  </si>
  <si>
    <t>https://stockanalysis.com/stocks/usb/market-cap/</t>
  </si>
  <si>
    <t>Market cap $88.93bn (prior calibration)</t>
  </si>
  <si>
    <t>S21</t>
  </si>
  <si>
    <t>whichindex.com (IVV holdings)</t>
  </si>
  <si>
    <t>https://whichindex.com/indexes/sp-500/</t>
  </si>
  <si>
    <t>S&amp;P 500 membership confirmation</t>
  </si>
  <si>
    <t>S22</t>
  </si>
  <si>
    <t>Federal Reserve</t>
  </si>
  <si>
    <t>https://www.federalreserve.gov/newsevents/pressreleases/monetary20260916a.htm</t>
  </si>
  <si>
    <t>Fed +25bp to 3.75-4.00% (deposit cost, AOCI assumptions)</t>
  </si>
  <si>
    <t>S23</t>
  </si>
  <si>
    <t>Trend and Ticker (bank preview)</t>
  </si>
  <si>
    <t>https://trendandticker.com/markets/banks/bank-earnings-preview-q3-2026-jpm-wfc-c-gs-ms-bac-october-13-14</t>
  </si>
  <si>
    <t>Peer capital-markets signals for 3Q26 (JPM up, BAC IB fees down)</t>
  </si>
  <si>
    <t>S24</t>
  </si>
  <si>
    <t>American Express (customer notice)</t>
  </si>
  <si>
    <t>https://www.americanexpress.com/us/customer-service/faq.amazon-program-update.html</t>
  </si>
  <si>
    <t>Amazon card transfer date 2026-08-14 (days held in 3Q26)</t>
  </si>
  <si>
    <t>S25</t>
  </si>
  <si>
    <t>U.S. Bancorp 4Q25 release (8-K Ex. 99.1)</t>
  </si>
  <si>
    <t>https://www.sec.gov/Archives/edgar/data/36104/000003610426000005/a4q25earningsrelease.htm</t>
  </si>
  <si>
    <t>FY2025 diluted EPS $4.62, FY NIM 2.72%, FY revenue $28,656mm</t>
  </si>
  <si>
    <t>S26</t>
  </si>
  <si>
    <t>https://www.sec.gov/Archives/edgar/data/36104/000119312526011142/d37749dex991.htm</t>
  </si>
  <si>
    <t>BTIG consideration: 6,600,594 shares + cash</t>
  </si>
  <si>
    <t>S27</t>
  </si>
  <si>
    <t>ad-hoc-news (citing U.S. Bancorp)</t>
  </si>
  <si>
    <t>https://www.ad-hoc-news.de/boerse/news/corporate-news/us-bancorp-stock-gained-0-26-percent-on-october-2-as-targets-fell/70233565</t>
  </si>
  <si>
    <t>$0.54 quarterly dividend payable 2026-10-15; analyst target changes</t>
  </si>
  <si>
    <t>S28</t>
  </si>
  <si>
    <t>U.S. Bancorp IR</t>
  </si>
  <si>
    <t>https://ir.usbank.com/news-events/news/news-details/2026/U-S--Bancorp-Announces-Third-Quarter-Earnings-Conference-Call-Details/default.aspx</t>
  </si>
  <si>
    <t>Report date 2026-10-15 before market open (confirmed)</t>
  </si>
  <si>
    <t>S29</t>
  </si>
  <si>
    <t>MarketBeat</t>
  </si>
  <si>
    <t>https://www.marketbeat.com/instant-alerts/upcoming-us-bancorp-usb-projected-to-announce-earnings-on-thursday-2026-10-08/</t>
  </si>
  <si>
    <t>Other consensus ($1.32 / $7.99bn) - recorded, not used</t>
  </si>
  <si>
    <t>Omitted tabs</t>
  </si>
  <si>
    <t>Geo</t>
  </si>
  <si>
    <t>Omitted: FY2025 Form 10-K (S11) states foreign operations are not significant; no geographic revenue split disclosed.</t>
  </si>
  <si>
    <t>Inputs (extra tab)</t>
  </si>
  <si>
    <t>Holds raw CapIQ files, reported YTD cash flows and prior calibration; all statement tabs link to it.</t>
  </si>
  <si>
    <t>2026-10-11T22:24:20Z; all sources above were published before the cutoff; retrieved 2026-10-12 UTC.</t>
  </si>
  <si>
    <t>Target-quarter actuals</t>
  </si>
  <si>
    <t>Not seen: no 3Q26 results were available or used (report due 2026-10-15).</t>
  </si>
  <si>
    <t>Inputs - raw S&amp;P Capital IQ data, reported YTD cash flows, prior calibration</t>
  </si>
  <si>
    <t>A. S&amp;P Capital IQ consensus snapshot - USB_consensus.json (top-level fields)</t>
  </si>
  <si>
    <t>source</t>
  </si>
  <si>
    <t>S&amp;P Capital IQ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</si>
  <si>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</si>
  <si>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</si>
  <si>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</si>
  <si>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</si>
  <si>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</si>
  <si>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</si>
  <si>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</si>
  <si>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</si>
  <si>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</si>
  <si>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</si>
  <si>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</si>
  <si>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</si>
  <si>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USD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</si>
  <si>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</si>
  <si>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</si>
  <si>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</si>
  <si>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</si>
  <si>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</si>
  <si>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per-share in USD; revenue and income in USD millions</t>
  </si>
  <si>
    <t>metric_units.eps_currency</t>
  </si>
  <si>
    <t>metric_units.eps_share_unit</t>
  </si>
  <si>
    <t>diluted common share</t>
  </si>
  <si>
    <t>metric_units.revenue_currency</t>
  </si>
  <si>
    <t>metric_units.financial_amount_scale</t>
  </si>
  <si>
    <t>millions</t>
  </si>
  <si>
    <t>B. summary_row - complete raw CapIQ export row (blank source values preserved as blank)</t>
  </si>
  <si>
    <t>company_name</t>
  </si>
  <si>
    <t>exchange_ticker</t>
  </si>
  <si>
    <t>NYSE:USB</t>
  </si>
  <si>
    <t>capiq_company_id</t>
  </si>
  <si>
    <t>sp500_member</t>
  </si>
  <si>
    <t>Y</t>
  </si>
  <si>
    <t>market_cap_usd_m</t>
  </si>
  <si>
    <t>blank in source</t>
  </si>
  <si>
    <t>fiscal_quarter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</si>
  <si>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</si>
  <si>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</si>
  <si>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</si>
  <si>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</si>
  <si>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</si>
  <si>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</si>
  <si>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</si>
  <si>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</si>
  <si>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</si>
  <si>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</si>
  <si>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</si>
  <si>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</si>
  <si>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</si>
  <si>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</si>
  <si>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</si>
  <si>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</si>
  <si>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</si>
  <si>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</si>
  <si>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</si>
  <si>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</si>
  <si>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</si>
  <si>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</si>
  <si>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</si>
  <si>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</si>
  <si>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</si>
  <si>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</si>
  <si>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</si>
  <si>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</si>
  <si>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</si>
  <si>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</si>
  <si>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</si>
  <si>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</si>
  <si>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</si>
  <si>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</si>
  <si>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</si>
  <si>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</si>
  <si>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</si>
  <si>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</si>
  <si>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</si>
  <si>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</si>
  <si>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</si>
  <si>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</si>
  <si>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</si>
  <si>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</si>
  <si>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</si>
  <si>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</si>
  <si>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</si>
  <si>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</si>
  <si>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</si>
  <si>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</si>
  <si>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</si>
  <si>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</si>
  <si>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</si>
  <si>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</si>
  <si>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</si>
  <si>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</si>
  <si>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</si>
  <si>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</si>
  <si>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</si>
  <si>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</si>
  <si>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</si>
  <si>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66.08/45.02</t>
  </si>
  <si>
    <t>units</t>
  </si>
  <si>
    <t>estimates_captured_at</t>
  </si>
  <si>
    <t>notes</t>
  </si>
  <si>
    <t>target_manifest.targets</t>
  </si>
  <si>
    <t>total_revenue, net_income_to_common, normalized_diluted_eps, gaap_diluted_eps, diluted_shares, revenue_growth, material_segment_revenue, pretax_profit, net_interest_income, fee_noninterest_income, operating_expenses, credit_loss_provisions, net_interest_margin, average_loans, average_deposits, operating_cash_flow, capital_expenditures, issuer_defined_free_cash_flow</t>
  </si>
  <si>
    <t>C. USB_history.csv - all six rows (CapIQ consensus vs actual)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</si>
  <si>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</si>
  <si>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</si>
  <si>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</si>
  <si>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</si>
  <si>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</si>
  <si>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</si>
  <si>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</si>
  <si>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strict_normalized_beat (derived)</t>
  </si>
  <si>
    <t>normalized_surprise (derived)</t>
  </si>
  <si>
    <t>Derived columns: I = strict normalized beat (1/0); J = normalized surprise ($/share)</t>
  </si>
  <si>
    <t>D. Size-aware starting probability (playbook v2) and final P(beat)</t>
  </si>
  <si>
    <t>Market cap ($mm, 2026-10-09 close $57.08)</t>
  </si>
  <si>
    <t>stockanalysis.com market cap page (S20)</t>
  </si>
  <si>
    <t>Size bucket</t>
  </si>
  <si>
    <t>S&amp;P 500 member (CapIQ flag; confirmed by IVV holdings 2026-10-08)</t>
  </si>
  <si>
    <t>Cohort prior (0.78 large or S&amp;P 500; 0.70 mid; 0.60 small)</t>
  </si>
  <si>
    <t>b = strict normalized beats in history</t>
  </si>
  <si>
    <t>n = valid history pairs</t>
  </si>
  <si>
    <t>Pseudo-count (fixed experimental weight)</t>
  </si>
  <si>
    <t>Starting p = (k x prior + b) / (k + n)</t>
  </si>
  <si>
    <t>Quarter-specific evidence adjustment</t>
  </si>
  <si>
    <t>Model normalized EPS ~$1.34 vs $1.33 consensus (thin margin; strict beat needs &gt;= $1.34); mgmt pre-guided high end (in consensus, +1.1% 30-day revisions); risk CapIQ does not add back integration costs; $160mm reserve build; offset: USB beat its own NII/fee guide 4 straight quarters</t>
  </si>
  <si>
    <t>Final P(beat consensus normalized EPS)</t>
  </si>
  <si>
    <t>medium</t>
  </si>
  <si>
    <t>E. Newer / other consensus seen (recorded separately; NOT used as scoring baseline)</t>
  </si>
  <si>
    <t>Zacks consensus (Yahoo Finance, 2026-10-08)</t>
  </si>
  <si>
    <t>MarketBeat (2026-10-08)</t>
  </si>
  <si>
    <t>Earnings Whispers consensus / whisper (2026-10-07)</t>
  </si>
  <si>
    <t>Earnings Whispers "whisper" EPS</t>
  </si>
  <si>
    <t>F. Reported year-to-date cash flow statements ($mm) - quarterly CF is derived from these</t>
  </si>
  <si>
    <t>Line (YTD as filed)</t>
  </si>
  <si>
    <t>3M25</t>
  </si>
  <si>
    <t>6M25</t>
  </si>
  <si>
    <t>9M25</t>
  </si>
  <si>
    <t>FY25</t>
  </si>
  <si>
    <t>3M26</t>
  </si>
  <si>
    <t>6M26</t>
  </si>
  <si>
    <t>Filing</t>
  </si>
  <si>
    <t>1Q26 10-Q</t>
  </si>
  <si>
    <t>2Q26 10-Q</t>
  </si>
  <si>
    <t>3Q25 10-Q</t>
  </si>
  <si>
    <t>FY25 10-K</t>
  </si>
  <si>
    <t>S8/S7/S9/S10</t>
  </si>
  <si>
    <t>Purchases of AFS securities</t>
  </si>
  <si>
    <t>Effect of exchange rate changes on cash</t>
  </si>
  <si>
    <t>9M25: line not presented in original 3Q25 10-Q (n/a, not a reported zero); 6M25 = 2Q26 10-Q recast; FY25 = 10-K</t>
  </si>
  <si>
    <t>Change in cash (reported)</t>
  </si>
  <si>
    <t>Check: sum of lines - reported change in cash</t>
  </si>
  <si>
    <t>Check: beginning + change - ending</t>
  </si>
</sst>
</file>

<file path=xl/styles.xml><?xml version="1.0" encoding="utf-8"?>
<styleSheet xmlns="http://schemas.openxmlformats.org/spreadsheetml/2006/main">
  <numFmts count="13">
    <numFmt numFmtId="164" formatCode="#,##0.0_);(#,##0.0);–_)"/>
    <numFmt numFmtId="165" formatCode="General"/>
    <numFmt numFmtId="166" formatCode="#,##0_);(#,##0);–_)"/>
    <numFmt numFmtId="167" formatCode="$0.00_);($0.00);–_)"/>
    <numFmt numFmtId="168" formatCode="0.0%_);(0.0%);–_)"/>
    <numFmt numFmtId="169" formatCode="yyyy-mm-dd"/>
    <numFmt numFmtId="170" formatCode="$0.0000_);($0.0000);–_)"/>
    <numFmt numFmtId="171" formatCode="0.0%"/>
    <numFmt numFmtId="172" formatCode="0.00%_);(0.00%);–_)"/>
    <numFmt numFmtId="173" formatCode="0.00"/>
    <numFmt numFmtId="174" formatCode="0.0#"/>
    <numFmt numFmtId="175" formatCode="#,##0.000_);(#,##0.000);–_)"/>
    <numFmt numFmtId="176" formatCode="$0.000"/>
  </numFmts>
  <fonts count="26">
    <font>
      <sz val="11"/>
      <name val="Calibri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80808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</fills>
  <borders count="4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2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5" fontId="2" fillId="2" borderId="0" xfId="0" applyNumberFormat="1" applyFont="1" applyFill="1" applyAlignment="1" applyProtection="1">
      <alignment horizontal="lef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lef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165" fontId="4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2"/>
      <protection locked="1" hidden="0"/>
    </xf>
    <xf numFmtId="164" fontId="4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lef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167" fontId="3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1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8" fontId="7" fillId="0" borderId="0" xfId="0" applyNumberFormat="1" applyFont="1" applyFill="1" applyAlignment="1" applyProtection="1">
      <alignment horizontal="right" vertical="bottom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64" fontId="6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/>
      <protection locked="1" hidden="0"/>
    </xf>
    <xf numFmtId="166" fontId="3" fillId="2" borderId="2" xfId="0" applyNumberFormat="1" applyFont="1" applyFill="1" applyBorder="1" applyAlignment="1" applyProtection="1">
      <alignment horizontal="right" vertical="bottom"/>
      <protection locked="1" hidden="0"/>
    </xf>
    <xf numFmtId="168" fontId="3" fillId="0" borderId="0" xfId="0" applyNumberFormat="1" applyFont="1" applyFill="1" applyAlignment="1" applyProtection="1">
      <alignment horizontal="right" vertical="bottom"/>
      <protection locked="1" hidden="0"/>
    </xf>
    <xf numFmtId="167" fontId="3" fillId="3" borderId="0" xfId="0" applyNumberFormat="1" applyFont="1" applyFill="1" applyAlignment="1" applyProtection="1">
      <alignment horizontal="right" vertical="bottom"/>
      <protection locked="1" hidden="0"/>
    </xf>
    <xf numFmtId="165" fontId="4" fillId="2" borderId="1" xfId="0" applyNumberFormat="1" applyFont="1" applyFill="1" applyBorder="1" applyAlignment="1" applyProtection="1">
      <alignment horizontal="lef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68" fontId="7" fillId="3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left" vertical="bottom" indent="1"/>
      <protection locked="1" hidden="0"/>
    </xf>
    <xf numFmtId="165" fontId="9" fillId="0" borderId="0" xfId="0" applyNumberFormat="1" applyFont="1" applyFill="1" applyAlignment="1" applyProtection="1">
      <alignment horizontal="left" vertical="bottom"/>
      <protection locked="1" hidden="0"/>
    </xf>
    <xf numFmtId="164" fontId="4" fillId="3" borderId="1" xfId="0" applyNumberFormat="1" applyFont="1" applyFill="1" applyBorder="1" applyAlignment="1" applyProtection="1">
      <alignment horizontal="right" vertical="bottom"/>
      <protection locked="1" hidden="0"/>
    </xf>
    <xf numFmtId="165" fontId="2" fillId="2" borderId="2" xfId="0" applyNumberFormat="1" applyFont="1" applyFill="1" applyBorder="1" applyAlignment="1" applyProtection="1">
      <alignment horizontal="left" vertical="bottom"/>
      <protection locked="1" hidden="0"/>
    </xf>
    <xf numFmtId="165" fontId="4" fillId="2" borderId="3" xfId="0" applyNumberFormat="1" applyFont="1" applyFill="1" applyBorder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5" fontId="10" fillId="0" borderId="0" xfId="0" applyNumberFormat="1" applyFont="1" applyFill="1" applyAlignment="1" applyProtection="1">
      <alignment horizontal="right" vertical="bottom"/>
      <protection locked="1" hidden="0"/>
    </xf>
    <xf numFmtId="167" fontId="8" fillId="3" borderId="0" xfId="0" applyNumberFormat="1" applyFont="1" applyFill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5" fontId="9" fillId="0" borderId="0" xfId="0" applyNumberFormat="1" applyFont="1" applyFill="1" applyAlignment="1" applyProtection="1">
      <alignment horizontal="left" vertical="bottom" indent="9"/>
      <protection locked="1" hidden="0"/>
    </xf>
    <xf numFmtId="165" fontId="4" fillId="2" borderId="3" xfId="0" applyNumberFormat="1" applyFont="1" applyFill="1" applyBorder="1" applyAlignment="1" applyProtection="1">
      <alignment horizontal="left" vertical="bottom"/>
      <protection locked="1" hidden="0"/>
    </xf>
    <xf numFmtId="164" fontId="8" fillId="3" borderId="0" xfId="0" applyNumberFormat="1" applyFont="1" applyFill="1" applyAlignment="1" applyProtection="1">
      <alignment horizontal="right" vertical="bottom"/>
      <protection locked="1" hidden="0"/>
    </xf>
    <xf numFmtId="165" fontId="11" fillId="0" borderId="0" xfId="0" applyNumberFormat="1" applyFont="1" applyFill="1" applyAlignment="1" applyProtection="1">
      <alignment horizontal="left" vertical="bottom"/>
      <protection locked="1" hidden="0"/>
    </xf>
    <xf numFmtId="170" fontId="8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9"/>
      <protection locked="1" hidden="0"/>
    </xf>
    <xf numFmtId="167" fontId="8" fillId="0" borderId="0" xfId="0" applyNumberFormat="1" applyFont="1" applyFill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left" vertical="bottom" indent="9"/>
      <protection locked="1" hidden="0"/>
    </xf>
    <xf numFmtId="164" fontId="12" fillId="0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72" fontId="5" fillId="0" borderId="0" xfId="0" applyNumberFormat="1" applyFont="1" applyFill="1" applyAlignment="1" applyProtection="1">
      <alignment horizontal="right" vertical="bottom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168" fontId="5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3"/>
      <protection locked="1" hidden="0"/>
    </xf>
    <xf numFmtId="165" fontId="2" fillId="0" borderId="0" xfId="0" applyNumberFormat="1" applyFont="1" applyFill="1" applyAlignment="1" applyProtection="1">
      <alignment horizontal="left" vertical="bottom" indent="2"/>
      <protection locked="1" hidden="0"/>
    </xf>
    <xf numFmtId="172" fontId="7" fillId="3" borderId="0" xfId="0" applyNumberFormat="1" applyFont="1" applyFill="1" applyAlignment="1" applyProtection="1">
      <alignment horizontal="right" vertical="bottom"/>
      <protection locked="1" hidden="0"/>
    </xf>
    <xf numFmtId="172" fontId="7" fillId="0" borderId="0" xfId="0" applyNumberFormat="1" applyFont="1" applyFill="1" applyAlignment="1" applyProtection="1">
      <alignment horizontal="right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165" fontId="12" fillId="0" borderId="0" xfId="0" applyNumberFormat="1" applyFont="1" applyFill="1" applyAlignment="1" applyProtection="1">
      <alignment horizontal="lef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left" vertical="bottom" indent="1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left" vertical="bottom"/>
      <protection locked="1" hidden="0"/>
    </xf>
    <xf numFmtId="165" fontId="4" fillId="0" borderId="0" xfId="0" applyNumberFormat="1" applyFont="1" applyFill="1" applyAlignment="1" applyProtection="1">
      <alignment horizontal="left" vertical="bottom" indent="2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72" fontId="5" fillId="3" borderId="0" xfId="0" applyNumberFormat="1" applyFont="1" applyFill="1" applyAlignment="1" applyProtection="1">
      <alignment horizontal="right" vertical="bottom"/>
      <protection locked="1" hidden="0"/>
    </xf>
    <xf numFmtId="164" fontId="12" fillId="3" borderId="0" xfId="0" applyNumberFormat="1" applyFont="1" applyFill="1" applyAlignment="1" applyProtection="1">
      <alignment horizontal="right" vertical="bottom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4"/>
      <protection locked="1" hidden="0"/>
    </xf>
    <xf numFmtId="165" fontId="2" fillId="0" borderId="0" xfId="0" applyNumberFormat="1" applyFont="1" applyFill="1" applyAlignment="1" applyProtection="1">
      <alignment horizontal="left" vertical="bottom" indent="3"/>
      <protection locked="1" hidden="0"/>
    </xf>
    <xf numFmtId="169" fontId="2" fillId="0" borderId="0" xfId="0" applyNumberFormat="1" applyFont="1" applyFill="1" applyAlignment="1" applyProtection="1">
      <alignment horizontal="lef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67" fontId="4" fillId="3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64" fontId="10" fillId="3" borderId="1" xfId="0" applyNumberFormat="1" applyFont="1" applyFill="1" applyBorder="1" applyAlignment="1" applyProtection="1">
      <alignment horizontal="right" vertical="bottom"/>
      <protection locked="1" hidden="0"/>
    </xf>
    <xf numFmtId="168" fontId="12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left" vertical="bottom" indent="4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 indent="5"/>
      <protection locked="1" hidden="0"/>
    </xf>
    <xf numFmtId="165" fontId="4" fillId="0" borderId="0" xfId="0" applyNumberFormat="1" applyFont="1" applyFill="1" applyAlignment="1" applyProtection="1">
      <alignment horizontal="left" vertical="bottom" indent="4"/>
      <protection locked="1" hidden="0"/>
    </xf>
    <xf numFmtId="165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13" fillId="0" borderId="0" xfId="0" applyFont="1" applyFill="1" applyAlignment="1" applyProtection="1">
      <alignment horizontal="left" vertical="bottom"/>
      <protection locked="1" hidden="0"/>
    </xf>
    <xf numFmtId="165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174" fontId="14" fillId="0" borderId="0" xfId="0" applyNumberFormat="1" applyFont="1" applyFill="1" applyAlignment="1" applyProtection="1">
      <alignment horizontal="right" vertical="bottom"/>
      <protection locked="1" hidden="0"/>
    </xf>
    <xf numFmtId="16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right" vertical="bottom"/>
      <protection locked="1" hidden="0"/>
    </xf>
    <xf numFmtId="168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6" fontId="14" fillId="0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right" vertical="bottom"/>
      <protection locked="1" hidden="0"/>
    </xf>
    <xf numFmtId="167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7" fillId="0" borderId="0" xfId="0" applyNumberFormat="1" applyFont="1" applyFill="1" applyAlignment="1" applyProtection="1">
      <alignment horizontal="right" vertical="bottom"/>
      <protection locked="1" hidden="0"/>
    </xf>
    <xf numFmtId="167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right" vertical="bottom"/>
      <protection locked="1" hidden="0"/>
    </xf>
    <xf numFmtId="176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3" fillId="0" borderId="0" xfId="0" applyNumberFormat="1" applyFont="1" applyFill="1" applyAlignment="1" applyProtection="1">
      <alignment horizontal="right" vertical="bottom"/>
      <protection locked="1" hidden="0"/>
    </xf>
    <xf numFmtId="165" fontId="16" fillId="2" borderId="3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4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1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6" fillId="2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2" fontId="1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1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2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2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1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5" fontId="2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76200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showGridLines="0" tabSelected="1" workbookViewId="0"/>
  </sheetViews>
  <sheetFormatPr defaultColWidth="8.42578125" defaultRowHeight="15"/>
  <cols>
    <col min="1" max="1" width="40" customWidth="1"/>
    <col min="2" max="3" width="18" customWidth="1"/>
    <col min="4" max="5" width="12" customWidth="1"/>
    <col min="6" max="6" width="24" customWidth="1"/>
    <col min="7" max="7" width="14" customWidth="1"/>
    <col min="8" max="8" width="60" customWidth="1"/>
    <col min="9" max="9" width="40" customWidth="1"/>
  </cols>
  <sheetData>
    <row r="1" ht="13.5">
      <c r="A1" s="130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3.5">
      <c r="A2" s="128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3.5">
      <c r="A3" s="1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13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0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6" t="s">
        <v>4</v>
      </c>
      <c r="B7" s="6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6" t="s">
        <v>6</v>
      </c>
      <c r="B8" s="6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6" t="s">
        <v>8</v>
      </c>
      <c r="B9" s="6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6" t="s">
        <v>10</v>
      </c>
      <c r="B10" s="6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6" t="s">
        <v>12</v>
      </c>
      <c r="B11" s="6" t="s">
        <v>13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6" t="s">
        <v>14</v>
      </c>
      <c r="B12" s="6" t="s">
        <v>15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6" t="s">
        <v>16</v>
      </c>
      <c r="B13" s="6" t="s">
        <v>17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6" t="s">
        <v>18</v>
      </c>
      <c r="B14" s="6" t="s">
        <v>19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>
      <c r="A15" s="6" t="s">
        <v>20</v>
      </c>
      <c r="B15" s="6" t="s">
        <v>21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>
      <c r="A16" s="6" t="s">
        <v>22</v>
      </c>
      <c r="B16" s="6" t="s">
        <v>23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>
      <c r="A17" s="6" t="s">
        <v>24</v>
      </c>
      <c r="B17" s="6" t="s">
        <v>25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>
      <c r="A19" s="48" t="s">
        <v>26</v>
      </c>
      <c r="B19" s="40" t="s">
        <v>27</v>
      </c>
      <c r="C19" s="40" t="s">
        <v>28</v>
      </c>
      <c r="D19" s="40" t="s">
        <v>29</v>
      </c>
      <c r="E19" s="40" t="s">
        <v>30</v>
      </c>
      <c r="F19" s="40" t="s">
        <v>31</v>
      </c>
      <c r="G19" s="40" t="s">
        <v>32</v>
      </c>
      <c r="H19" s="114" t="s">
        <v>33</v>
      </c>
      <c r="I19" s="2"/>
      <c r="J19" s="2"/>
      <c r="K19" s="2"/>
      <c r="L19" s="2"/>
      <c r="M19" s="2"/>
      <c r="N19" s="2"/>
      <c r="O19" s="2"/>
    </row>
    <row r="20" ht="40.5">
      <c r="A20" s="6" t="s">
        <v>34</v>
      </c>
      <c r="B20" s="49">
        <f>'Income Statement'!I130</f>
        <v>7989.440411871112</v>
      </c>
      <c r="C20" s="23">
        <f>Inputs!B53</f>
        <v>8006.85</v>
      </c>
      <c r="D20" s="3">
        <f>B20-C20</f>
        <v>-17.409588128888572</v>
      </c>
      <c r="E20" s="41">
        <f>D20/C20</f>
        <v>-0.002174336740277209</v>
      </c>
      <c r="F20" s="23">
        <f>Guidance!J35</f>
        <v>8022.960000000001</v>
      </c>
      <c r="G20" s="23">
        <f>(B20-'Income Statement'!I125)-F20</f>
        <v>-3.519588128889154</v>
      </c>
      <c r="H20" s="127" t="s">
        <v>35</v>
      </c>
      <c r="I20" s="2"/>
      <c r="J20" s="2"/>
      <c r="K20" s="2"/>
      <c r="L20" s="2"/>
      <c r="M20" s="2"/>
      <c r="N20" s="2"/>
      <c r="O20" s="2"/>
    </row>
    <row r="21">
      <c r="A21" s="6" t="s">
        <v>36</v>
      </c>
      <c r="B21" s="49">
        <f>'Income Statement'!I182</f>
        <v>2693.6879676190574</v>
      </c>
      <c r="C21" s="23">
        <f>Inputs!B65</f>
        <v>2717.04</v>
      </c>
      <c r="D21" s="3">
        <f>B21-C21</f>
        <v>-23.352032380942546</v>
      </c>
      <c r="E21" s="41">
        <f>D21/C21</f>
        <v>-0.008594659033706735</v>
      </c>
      <c r="F21" s="3" t="s">
        <v>37</v>
      </c>
      <c r="G21" s="3" t="s">
        <v>37</v>
      </c>
      <c r="H21" s="6" t="s">
        <v>38</v>
      </c>
      <c r="I21" s="2"/>
      <c r="J21" s="2"/>
      <c r="K21" s="2"/>
      <c r="L21" s="2"/>
      <c r="M21" s="2"/>
      <c r="N21" s="2"/>
      <c r="O21" s="2"/>
    </row>
    <row r="22">
      <c r="A22" s="6" t="s">
        <v>39</v>
      </c>
      <c r="B22" s="49">
        <f>'Income Statement'!I224</f>
        <v>2089.950374095246</v>
      </c>
      <c r="C22" s="23">
        <f>Inputs!B66</f>
        <v>2086.87</v>
      </c>
      <c r="D22" s="3">
        <f>B22-C22</f>
        <v>3.080374095246043</v>
      </c>
      <c r="E22" s="41">
        <f>D22/C22</f>
        <v>0.0014760737828643103</v>
      </c>
      <c r="F22" s="3" t="s">
        <v>37</v>
      </c>
      <c r="G22" s="3" t="s">
        <v>37</v>
      </c>
      <c r="H22" s="6" t="s">
        <v>40</v>
      </c>
      <c r="I22" s="2"/>
      <c r="J22" s="2"/>
      <c r="K22" s="2"/>
      <c r="L22" s="2"/>
      <c r="M22" s="2"/>
      <c r="N22" s="2"/>
      <c r="O22" s="2"/>
    </row>
    <row r="23">
      <c r="A23" s="6" t="s">
        <v>41</v>
      </c>
      <c r="B23" s="49">
        <f>'Income Statement'!I203</f>
        <v>2044.950374095246</v>
      </c>
      <c r="C23" s="23">
        <f>Inputs!B67</f>
        <v>2062.14</v>
      </c>
      <c r="D23" s="3">
        <f>B23-C23</f>
        <v>-17.18962590475394</v>
      </c>
      <c r="E23" s="41">
        <f>D23/C23</f>
        <v>-0.008335819054358064</v>
      </c>
      <c r="F23" s="3" t="s">
        <v>37</v>
      </c>
      <c r="G23" s="3" t="s">
        <v>37</v>
      </c>
      <c r="H23" s="6" t="s">
        <v>38</v>
      </c>
      <c r="I23" s="2"/>
      <c r="J23" s="2"/>
      <c r="K23" s="2"/>
      <c r="L23" s="2"/>
      <c r="M23" s="2"/>
      <c r="N23" s="2"/>
      <c r="O23" s="2"/>
    </row>
    <row r="24">
      <c r="A24" s="6" t="s">
        <v>42</v>
      </c>
      <c r="B24" s="43">
        <f>'Income Statement'!I225</f>
        <v>1.3405711187269056</v>
      </c>
      <c r="C24" s="53">
        <f>Inputs!B37</f>
        <v>1.33</v>
      </c>
      <c r="D24" s="7">
        <f>B24-C24</f>
        <v>0.010571118726905526</v>
      </c>
      <c r="E24" s="41">
        <f>D24/C24</f>
        <v>0.007948209569101899</v>
      </c>
      <c r="F24" s="7" t="s">
        <v>37</v>
      </c>
      <c r="G24" s="7" t="s">
        <v>37</v>
      </c>
      <c r="H24" s="6" t="s">
        <v>43</v>
      </c>
      <c r="I24" s="2"/>
      <c r="J24" s="2"/>
      <c r="K24" s="2"/>
      <c r="L24" s="2"/>
      <c r="M24" s="2"/>
      <c r="N24" s="2"/>
      <c r="O24" s="2"/>
    </row>
    <row r="25">
      <c r="A25" s="6" t="s">
        <v>44</v>
      </c>
      <c r="B25" s="43">
        <f>'Income Statement'!I211</f>
        <v>1.3117064618956036</v>
      </c>
      <c r="C25" s="53">
        <f>Inputs!B46</f>
        <v>1.32</v>
      </c>
      <c r="D25" s="7">
        <f>B25-C25</f>
        <v>-0.00829353810439648</v>
      </c>
      <c r="E25" s="41">
        <f>D25/C25</f>
        <v>-0.006282983412421576</v>
      </c>
      <c r="F25" s="7" t="s">
        <v>37</v>
      </c>
      <c r="G25" s="7" t="s">
        <v>37</v>
      </c>
      <c r="H25" s="6" t="s">
        <v>38</v>
      </c>
      <c r="I25" s="2"/>
      <c r="J25" s="2"/>
      <c r="K25" s="2"/>
      <c r="L25" s="2"/>
      <c r="M25" s="2"/>
      <c r="N25" s="2"/>
      <c r="O25" s="2"/>
    </row>
    <row r="26">
      <c r="A26" s="26" t="s">
        <v>45</v>
      </c>
      <c r="B26" s="54">
        <f>Inputs!B118</f>
        <v>0.7042857142857143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>
      <c r="A27" s="16" t="s">
        <v>46</v>
      </c>
      <c r="B27" s="42" t="str">
        <f>Inputs!B119</f>
        <v>medium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ht="58.5">
      <c r="A28" s="109" t="s">
        <v>47</v>
      </c>
      <c r="B28" s="106">
        <f>'Income Statement'!I230</f>
        <v>1.3261387903112547</v>
      </c>
      <c r="C28" s="106">
        <f>Inputs!B37</f>
        <v>1.33</v>
      </c>
      <c r="D28" s="104">
        <f>B28-C28</f>
        <v>-0.0038612096887453706</v>
      </c>
      <c r="E28" s="100">
        <f>D28/C28</f>
        <v>-0.002903165179507797</v>
      </c>
      <c r="F28" s="97" t="s">
        <v>37</v>
      </c>
      <c r="G28" s="97" t="s">
        <v>37</v>
      </c>
      <c r="H28" s="129" t="s">
        <v>48</v>
      </c>
      <c r="I28" s="2"/>
      <c r="J28" s="2"/>
      <c r="K28" s="2"/>
      <c r="L28" s="2"/>
      <c r="M28" s="2"/>
      <c r="N28" s="2"/>
      <c r="O28" s="2"/>
    </row>
    <row r="29">
      <c r="A29" s="108" t="s">
        <v>49</v>
      </c>
      <c r="B29" s="107" t="s">
        <v>50</v>
      </c>
      <c r="C29" s="107" t="s">
        <v>51</v>
      </c>
      <c r="D29" s="107" t="s">
        <v>52</v>
      </c>
      <c r="E29" s="98"/>
      <c r="F29" s="98"/>
      <c r="G29" s="98"/>
      <c r="H29" s="108" t="s">
        <v>53</v>
      </c>
      <c r="I29" s="2"/>
      <c r="J29" s="2"/>
      <c r="K29" s="2"/>
      <c r="L29" s="2"/>
      <c r="M29" s="2"/>
      <c r="N29" s="2"/>
      <c r="O29" s="2"/>
    </row>
    <row r="30">
      <c r="A30" s="101" t="s">
        <v>54</v>
      </c>
      <c r="B30" s="112">
        <f>B25-B23/'Income Statement'!I209</f>
        <v>0</v>
      </c>
      <c r="C30" s="94" t="s">
        <v>37</v>
      </c>
      <c r="D30" s="94" t="s">
        <v>55</v>
      </c>
      <c r="E30" s="92"/>
      <c r="F30" s="92"/>
      <c r="G30" s="92"/>
      <c r="H30" s="101" t="s">
        <v>56</v>
      </c>
      <c r="I30" s="2"/>
      <c r="J30" s="2"/>
      <c r="K30" s="2"/>
      <c r="L30" s="2"/>
      <c r="M30" s="2"/>
      <c r="N30" s="2"/>
      <c r="O30" s="2"/>
    </row>
    <row r="31">
      <c r="A31" s="108" t="s">
        <v>57</v>
      </c>
      <c r="B31" s="107" t="str">
        <f>IFERROR(IF(AND(B32&lt;=C32,B33&lt;=C33,B34&lt;=C34,B36&lt;=C36,B37&lt;=C37,B38&lt;=C38,B39&lt;=C39,B40&lt;=C40),"PASS","FAIL"),"FAIL")</f>
        <v>PASS</v>
      </c>
      <c r="C31" s="94"/>
      <c r="D31" s="94"/>
      <c r="E31" s="92"/>
      <c r="F31" s="92"/>
      <c r="G31" s="92"/>
      <c r="H31" s="101" t="s">
        <v>58</v>
      </c>
      <c r="I31" s="2"/>
      <c r="J31" s="2"/>
      <c r="K31" s="2"/>
      <c r="L31" s="2"/>
      <c r="M31" s="2"/>
      <c r="N31" s="2"/>
      <c r="O31" s="2"/>
    </row>
    <row r="32">
      <c r="A32" s="92" t="s">
        <v>59</v>
      </c>
      <c r="B32" s="117">
        <f>MAX(MAX('Income Statement'!B42:H42,'Income Statement'!B129:H129,'Income Statement'!B176:H176,'Income Statement'!B186:H186,'Income Statement'!B199:H199),-MIN('Income Statement'!B42:H42,'Income Statement'!B129:H129,'Income Statement'!B176:H176,'Income Statement'!B186:H186,'Income Statement'!B199:H199))</f>
        <v>0</v>
      </c>
      <c r="C32" s="116">
        <v>0.5</v>
      </c>
      <c r="D32" s="94" t="str">
        <f>IF(ISNUMBER(B32),IF(B32&lt;=C32,"PASS","FAIL"),"FAIL")</f>
        <v>PASS</v>
      </c>
      <c r="E32" s="92"/>
      <c r="F32" s="92"/>
      <c r="G32" s="92"/>
      <c r="H32" s="101" t="s">
        <v>60</v>
      </c>
      <c r="I32" s="2"/>
      <c r="J32" s="2"/>
      <c r="K32" s="2"/>
      <c r="L32" s="2"/>
      <c r="M32" s="2"/>
      <c r="N32" s="2"/>
      <c r="O32" s="2"/>
    </row>
    <row r="33">
      <c r="A33" s="92" t="s">
        <v>61</v>
      </c>
      <c r="B33" s="112">
        <f>MAX(MAX('Income Statement'!B215:H215),-MIN('Income Statement'!B215:H215))</f>
        <v>0</v>
      </c>
      <c r="C33" s="111">
        <v>0.005</v>
      </c>
      <c r="D33" s="94" t="str">
        <f>IF(ISNUMBER(B33),IF(B33&lt;=C33,"PASS","FAIL"),"FAIL")</f>
        <v>PASS</v>
      </c>
      <c r="E33" s="92"/>
      <c r="F33" s="92"/>
      <c r="G33" s="92"/>
      <c r="H33" s="101" t="s">
        <v>62</v>
      </c>
      <c r="I33" s="2"/>
      <c r="J33" s="2"/>
      <c r="K33" s="2"/>
      <c r="L33" s="2"/>
      <c r="M33" s="2"/>
      <c r="N33" s="2"/>
      <c r="O33" s="2"/>
    </row>
    <row r="34">
      <c r="A34" s="95" t="s">
        <v>63</v>
      </c>
      <c r="B34" s="105">
        <f>MAX(MAX('Income Statement'!B228,'Income Statement'!D228:E228,'Income Statement'!G228:H228),-MIN('Income Statement'!B228,'Income Statement'!D228:E228,'Income Statement'!G228:H228))</f>
        <v>0</v>
      </c>
      <c r="C34" s="102">
        <v>0.005</v>
      </c>
      <c r="D34" s="113" t="str">
        <f>IF(ISNUMBER(B34),IF(B34&lt;=C34,"PASS","FAIL"),"FAIL")</f>
        <v>PASS</v>
      </c>
      <c r="E34" s="95"/>
      <c r="F34" s="95"/>
      <c r="G34" s="95"/>
      <c r="H34" s="93" t="s">
        <v>64</v>
      </c>
    </row>
    <row r="35">
      <c r="A35" s="95" t="s">
        <v>65</v>
      </c>
      <c r="B35" s="105">
        <f>'Income Statement'!C228</f>
        <v>0.029999999999999805</v>
      </c>
      <c r="C35" s="103" t="s">
        <v>37</v>
      </c>
      <c r="D35" s="103" t="s">
        <v>66</v>
      </c>
      <c r="E35" s="95"/>
      <c r="F35" s="95"/>
      <c r="G35" s="95"/>
      <c r="H35" s="93" t="s">
        <v>67</v>
      </c>
    </row>
    <row r="36">
      <c r="A36" s="95" t="s">
        <v>68</v>
      </c>
      <c r="B36" s="99">
        <f>MAX(MAX('Segment - WCCIB'!B196:H196,'Segment - WCCIB'!B280:H280,'Segment - WCCIB'!B298:H298,'Segment - Consumer &amp; Business'!B209:H209,'Segment - Payment Services'!B158:H158,'Segment - Treasury &amp; Corp'!B63:H63,'Revenue summary'!B81:H81,'Revenue summary'!B86:H86,'Revenue summary'!B91:H91,'Revenue summary'!B96:H96),-MIN('Segment - WCCIB'!B196:H196,'Segment - WCCIB'!B280:H280,'Segment - WCCIB'!B298:H298,'Segment - Consumer &amp; Business'!B209:H209,'Segment - Payment Services'!B158:H158,'Segment - Treasury &amp; Corp'!B63:H63,'Revenue summary'!B81:H81,'Revenue summary'!B86:H86,'Revenue summary'!B91:H91,'Revenue summary'!B96:H96))</f>
        <v>0</v>
      </c>
      <c r="C36" s="96">
        <v>0.5</v>
      </c>
      <c r="D36" s="103" t="str">
        <f>IF(ISNUMBER(B36),IF(B36&lt;=C36,"PASS","FAIL"),"FAIL")</f>
        <v>PASS</v>
      </c>
      <c r="E36" s="95"/>
      <c r="F36" s="95"/>
      <c r="G36" s="95"/>
      <c r="H36" s="93" t="s">
        <v>69</v>
      </c>
    </row>
    <row r="37">
      <c r="A37" s="95" t="s">
        <v>70</v>
      </c>
      <c r="B37" s="99">
        <f>MAX(MAX('Revenue summary'!B46:H46,'Revenue summary'!B48:H48,'Revenue summary'!B74:H74,'Revenue summary'!B120:H120),-MIN('Revenue summary'!B46:H46,'Revenue summary'!B48:H48,'Revenue summary'!B74:H74,'Revenue summary'!B120:H120))</f>
        <v>0</v>
      </c>
      <c r="C37" s="96">
        <v>0.5</v>
      </c>
      <c r="D37" s="103" t="str">
        <f>IF(ISNUMBER(B37),IF(B37&lt;=C37,"PASS","FAIL"),"FAIL")</f>
        <v>PASS</v>
      </c>
      <c r="E37" s="95"/>
      <c r="F37" s="95"/>
      <c r="G37" s="95"/>
      <c r="H37" s="93" t="s">
        <v>71</v>
      </c>
    </row>
    <row r="38">
      <c r="A38" s="95" t="s">
        <v>72</v>
      </c>
      <c r="B38" s="99">
        <f>MAX(MAX('Balance Sheet'!B81:H81,'Balance Sheet'!B150:H150,'Balance Sheet'!B154:H154,'Share Count'!B19:H19),-MIN('Balance Sheet'!B81:H81,'Balance Sheet'!B150:H150,'Balance Sheet'!B154:H154,'Share Count'!B19:H19))</f>
        <v>0</v>
      </c>
      <c r="C38" s="96">
        <v>0.5</v>
      </c>
      <c r="D38" s="103" t="str">
        <f>IF(ISNUMBER(B38),IF(B38&lt;=C38,"PASS","FAIL"),"FAIL")</f>
        <v>PASS</v>
      </c>
      <c r="E38" s="95"/>
      <c r="F38" s="95"/>
      <c r="G38" s="95"/>
      <c r="H38" s="93" t="s">
        <v>73</v>
      </c>
    </row>
    <row r="39">
      <c r="A39" s="95" t="s">
        <v>74</v>
      </c>
      <c r="B39" s="99">
        <f>MAX(MAX(Inputs!B163:G164,'Cash Flow Statement'!B52:H52),-MIN(Inputs!B163:G164,'Cash Flow Statement'!B52:H52))</f>
        <v>0</v>
      </c>
      <c r="C39" s="96">
        <v>0.5</v>
      </c>
      <c r="D39" s="103" t="str">
        <f>IF(ISNUMBER(B39),IF(B39&lt;=C39,"PASS","FAIL"),"FAIL")</f>
        <v>PASS</v>
      </c>
      <c r="E39" s="95"/>
      <c r="F39" s="95"/>
      <c r="G39" s="95"/>
      <c r="H39" s="93" t="s">
        <v>75</v>
      </c>
    </row>
    <row r="40">
      <c r="A40" s="95" t="s">
        <v>76</v>
      </c>
      <c r="B40" s="99">
        <f>MAX(MAX('Cash Flow Statement'!I52,'Revenue summary'!I46,'Revenue summary'!I74),-MIN('Cash Flow Statement'!I52,'Revenue summary'!I46,'Revenue summary'!I74))</f>
        <v>0</v>
      </c>
      <c r="C40" s="96">
        <v>0.5</v>
      </c>
      <c r="D40" s="110" t="str">
        <f>IF(ISNUMBER(B40),IF(B40&lt;=C40,"PASS","FAIL"),"FAIL")</f>
        <v>PASS</v>
      </c>
      <c r="E40" s="95"/>
      <c r="F40" s="95"/>
      <c r="G40" s="95"/>
      <c r="H40" s="93" t="s">
        <v>77</v>
      </c>
    </row>
    <row r="41">
      <c r="A41" s="95" t="s">
        <v>78</v>
      </c>
      <c r="B41" s="99">
        <f>MAX(MAX('Balance Sheet'!I150,'Revenue summary'!I120),-MIN('Balance Sheet'!I150,'Revenue summary'!I120))</f>
        <v>0</v>
      </c>
      <c r="C41" s="103" t="s">
        <v>37</v>
      </c>
      <c r="D41" s="103" t="s">
        <v>55</v>
      </c>
      <c r="E41" s="95"/>
      <c r="F41" s="95"/>
      <c r="G41" s="95"/>
      <c r="H41" s="93" t="s">
        <v>79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2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93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6" t="s">
        <v>94</v>
      </c>
      <c r="B10" s="23">
        <f>'Segment - WCCIB'!B198</f>
        <v>3131</v>
      </c>
      <c r="C10" s="23">
        <f>'Segment - WCCIB'!C198</f>
        <v>3220</v>
      </c>
      <c r="D10" s="23">
        <f>'Segment - WCCIB'!D198</f>
        <v>3342</v>
      </c>
      <c r="E10" s="23">
        <f>'Segment - WCCIB'!E198</f>
        <v>3411</v>
      </c>
      <c r="F10" s="23">
        <f>'Segment - WCCIB'!F198</f>
        <v>13104</v>
      </c>
      <c r="G10" s="23">
        <f>'Segment - WCCIB'!G198</f>
        <v>3482</v>
      </c>
      <c r="H10" s="23">
        <f>'Segment - WCCIB'!H198</f>
        <v>3771</v>
      </c>
      <c r="I10" s="49">
        <f>'Segment - WCCIB'!I198</f>
        <v>3948.4857835287676</v>
      </c>
      <c r="J10" s="2"/>
      <c r="K10" s="2"/>
      <c r="L10" s="2"/>
      <c r="M10" s="2"/>
      <c r="N10" s="2"/>
      <c r="O10" s="2"/>
    </row>
    <row r="11">
      <c r="A11" s="19" t="s">
        <v>95</v>
      </c>
      <c r="B11" s="12" t="s">
        <v>37</v>
      </c>
      <c r="C11" s="12">
        <f>C10/B10-1</f>
        <v>0.028425423187480092</v>
      </c>
      <c r="D11" s="12">
        <f>D10/C10-1</f>
        <v>0.03788819875776395</v>
      </c>
      <c r="E11" s="12">
        <f>E10/D10-1</f>
        <v>0.02064631956912022</v>
      </c>
      <c r="F11" s="12" t="s">
        <v>37</v>
      </c>
      <c r="G11" s="12">
        <f>G10/E10-1</f>
        <v>0.020815010260920586</v>
      </c>
      <c r="H11" s="12">
        <f>H10/G10-1</f>
        <v>0.08299827685238359</v>
      </c>
      <c r="I11" s="35">
        <f>I10/H10-1</f>
        <v>0.04706597282650948</v>
      </c>
      <c r="J11" s="2"/>
      <c r="K11" s="2"/>
      <c r="L11" s="2"/>
      <c r="M11" s="2"/>
      <c r="N11" s="2"/>
      <c r="O11" s="2"/>
    </row>
    <row r="12">
      <c r="A12" s="19" t="s">
        <v>96</v>
      </c>
      <c r="B12" s="12">
        <f>B10/B39</f>
        <v>0.4499856280540385</v>
      </c>
      <c r="C12" s="12">
        <f>C10/C39</f>
        <v>0.4597372929754426</v>
      </c>
      <c r="D12" s="12">
        <f>D10/D39</f>
        <v>0.4559967253376995</v>
      </c>
      <c r="E12" s="12">
        <f>E10/E39</f>
        <v>0.46313645621181265</v>
      </c>
      <c r="F12" s="12">
        <f>F10/F39</f>
        <v>0.457286432160804</v>
      </c>
      <c r="G12" s="12">
        <f>G10/G39</f>
        <v>0.4777716794731065</v>
      </c>
      <c r="H12" s="12">
        <f>H10/H39</f>
        <v>0.48897821576763484</v>
      </c>
      <c r="I12" s="35">
        <f>I10/I39</f>
        <v>0.4942130587346154</v>
      </c>
      <c r="J12" s="2"/>
      <c r="K12" s="2"/>
      <c r="L12" s="2"/>
      <c r="M12" s="2"/>
      <c r="N12" s="2"/>
      <c r="O12" s="2"/>
    </row>
    <row r="13">
      <c r="A13" s="19" t="s">
        <v>97</v>
      </c>
      <c r="B13" s="12" t="s">
        <v>37</v>
      </c>
      <c r="C13" s="12" t="s">
        <v>37</v>
      </c>
      <c r="D13" s="12" t="s">
        <v>37</v>
      </c>
      <c r="E13" s="12" t="s">
        <v>37</v>
      </c>
      <c r="F13" s="12" t="s">
        <v>37</v>
      </c>
      <c r="G13" s="12">
        <f>G10/B10-1</f>
        <v>0.1121047588629831</v>
      </c>
      <c r="H13" s="12">
        <f>H10/C10-1</f>
        <v>0.17111801242236035</v>
      </c>
      <c r="I13" s="35">
        <f>I10/D10-1</f>
        <v>0.18147390291106147</v>
      </c>
      <c r="J13" s="2"/>
      <c r="K13" s="2"/>
      <c r="L13" s="2"/>
      <c r="M13" s="2"/>
      <c r="N13" s="2"/>
      <c r="O13" s="2"/>
    </row>
    <row r="14">
      <c r="A14" s="19" t="s">
        <v>98</v>
      </c>
      <c r="B14" s="12" t="s">
        <v>37</v>
      </c>
      <c r="C14" s="12" t="s">
        <v>37</v>
      </c>
      <c r="D14" s="12" t="s">
        <v>37</v>
      </c>
      <c r="E14" s="12" t="s">
        <v>37</v>
      </c>
      <c r="F14" s="12" t="s">
        <v>37</v>
      </c>
      <c r="G14" s="12">
        <f>G51/B10</f>
        <v>0</v>
      </c>
      <c r="H14" s="12">
        <f>H51/C10</f>
        <v>0.030434782608695653</v>
      </c>
      <c r="I14" s="35">
        <f>I51/D10</f>
        <v>0.059844404548174746</v>
      </c>
      <c r="J14" s="6" t="s">
        <v>99</v>
      </c>
      <c r="K14" s="2"/>
      <c r="L14" s="2"/>
      <c r="M14" s="2"/>
      <c r="N14" s="2"/>
      <c r="O14" s="2"/>
    </row>
    <row r="15">
      <c r="A15" s="19" t="s">
        <v>100</v>
      </c>
      <c r="B15" s="12" t="s">
        <v>37</v>
      </c>
      <c r="C15" s="12" t="s">
        <v>37</v>
      </c>
      <c r="D15" s="12" t="s">
        <v>37</v>
      </c>
      <c r="E15" s="12" t="s">
        <v>37</v>
      </c>
      <c r="F15" s="12" t="s">
        <v>37</v>
      </c>
      <c r="G15" s="12" t="s">
        <v>37</v>
      </c>
      <c r="H15" s="12" t="s">
        <v>37</v>
      </c>
      <c r="I15" s="35" t="s">
        <v>37</v>
      </c>
      <c r="J15" s="6" t="s">
        <v>101</v>
      </c>
      <c r="K15" s="2"/>
      <c r="L15" s="2"/>
      <c r="M15" s="2"/>
      <c r="N15" s="2"/>
      <c r="O15" s="2"/>
    </row>
    <row r="16">
      <c r="A16" s="19" t="s">
        <v>102</v>
      </c>
      <c r="B16" s="12" t="s">
        <v>37</v>
      </c>
      <c r="C16" s="12" t="s">
        <v>37</v>
      </c>
      <c r="D16" s="12" t="s">
        <v>37</v>
      </c>
      <c r="E16" s="12" t="s">
        <v>37</v>
      </c>
      <c r="F16" s="12" t="s">
        <v>37</v>
      </c>
      <c r="G16" s="12" t="str">
        <f>IF(ISNUMBER(G15),(1+G13)/((1+G14)*(1+G15))-1,"n/a")</f>
        <v>n/a</v>
      </c>
      <c r="H16" s="12" t="str">
        <f>IF(ISNUMBER(H15),(1+H13)/((1+H14)*(1+H15))-1,"n/a")</f>
        <v>n/a</v>
      </c>
      <c r="I16" s="35" t="str">
        <f>IF(ISNUMBER(I15),(1+I13)/((1+I14)*(1+I15))-1,"n/a")</f>
        <v>n/a</v>
      </c>
      <c r="J16" s="6" t="s">
        <v>103</v>
      </c>
      <c r="K16" s="2"/>
      <c r="L16" s="2"/>
      <c r="M16" s="2"/>
      <c r="N16" s="2"/>
      <c r="O16" s="2"/>
    </row>
    <row r="17">
      <c r="A17" s="19" t="s">
        <v>104</v>
      </c>
      <c r="B17" s="12" t="s">
        <v>37</v>
      </c>
      <c r="C17" s="12" t="s">
        <v>37</v>
      </c>
      <c r="D17" s="12" t="s">
        <v>37</v>
      </c>
      <c r="E17" s="12" t="s">
        <v>37</v>
      </c>
      <c r="F17" s="12" t="s">
        <v>37</v>
      </c>
      <c r="G17" s="12">
        <f>IF(ISNUMBER(G14),G13-G14,"n/a")</f>
        <v>0.1121047588629831</v>
      </c>
      <c r="H17" s="12">
        <f>IF(ISNUMBER(H14),H13-H14,"n/a")</f>
        <v>0.1406832298136647</v>
      </c>
      <c r="I17" s="35">
        <f>IF(ISNUMBER(I14),I13-I14,"n/a")</f>
        <v>0.12162949836288672</v>
      </c>
      <c r="J17" s="2"/>
      <c r="K17" s="2"/>
      <c r="L17" s="2"/>
      <c r="M17" s="2"/>
      <c r="N17" s="2"/>
      <c r="O17" s="2"/>
    </row>
    <row r="18">
      <c r="A18" s="6" t="s">
        <v>105</v>
      </c>
      <c r="B18" s="23">
        <f>'Segment - Consumer &amp; Business'!B211</f>
        <v>2298</v>
      </c>
      <c r="C18" s="23">
        <f>'Segment - Consumer &amp; Business'!C211</f>
        <v>2376</v>
      </c>
      <c r="D18" s="23">
        <f>'Segment - Consumer &amp; Business'!D211</f>
        <v>2410</v>
      </c>
      <c r="E18" s="23">
        <f>'Segment - Consumer &amp; Business'!E211</f>
        <v>2262</v>
      </c>
      <c r="F18" s="23">
        <f>'Segment - Consumer &amp; Business'!F211</f>
        <v>9346</v>
      </c>
      <c r="G18" s="23">
        <f>'Segment - Consumer &amp; Business'!G211</f>
        <v>2314</v>
      </c>
      <c r="H18" s="23">
        <f>'Segment - Consumer &amp; Business'!H211</f>
        <v>2373</v>
      </c>
      <c r="I18" s="49">
        <f>'Segment - Consumer &amp; Business'!I211</f>
        <v>2391.5887297396043</v>
      </c>
      <c r="J18" s="2"/>
      <c r="K18" s="2"/>
      <c r="L18" s="2"/>
      <c r="M18" s="2"/>
      <c r="N18" s="2"/>
      <c r="O18" s="2"/>
    </row>
    <row r="19">
      <c r="A19" s="19" t="s">
        <v>95</v>
      </c>
      <c r="B19" s="12" t="s">
        <v>37</v>
      </c>
      <c r="C19" s="12">
        <f>C18/B18-1</f>
        <v>0.03394255874673635</v>
      </c>
      <c r="D19" s="12">
        <f>D18/C18-1</f>
        <v>0.014309764309764272</v>
      </c>
      <c r="E19" s="12">
        <f>E18/D18-1</f>
        <v>-0.06141078838174274</v>
      </c>
      <c r="F19" s="12" t="s">
        <v>37</v>
      </c>
      <c r="G19" s="12">
        <f>G18/E18-1</f>
        <v>0.02298850574712641</v>
      </c>
      <c r="H19" s="12">
        <f>H18/G18-1</f>
        <v>0.02549697493517722</v>
      </c>
      <c r="I19" s="35">
        <f>I18/H18-1</f>
        <v>0.00783343014732596</v>
      </c>
      <c r="J19" s="2"/>
      <c r="K19" s="2"/>
      <c r="L19" s="2"/>
      <c r="M19" s="2"/>
      <c r="N19" s="2"/>
      <c r="O19" s="2"/>
    </row>
    <row r="20">
      <c r="A20" s="19" t="s">
        <v>96</v>
      </c>
      <c r="B20" s="12">
        <f>B18/B39</f>
        <v>0.3302673181948836</v>
      </c>
      <c r="C20" s="12">
        <f>C18/C39</f>
        <v>0.33923472301541974</v>
      </c>
      <c r="D20" s="12">
        <f>D18/D39</f>
        <v>0.3288306726702142</v>
      </c>
      <c r="E20" s="12">
        <f>E18/E39</f>
        <v>0.3071283095723014</v>
      </c>
      <c r="F20" s="12">
        <f>F18/F39</f>
        <v>0.32614461194863203</v>
      </c>
      <c r="G20" s="12">
        <f>G18/G39</f>
        <v>0.31750823271130624</v>
      </c>
      <c r="H20" s="12">
        <f>H18/H39</f>
        <v>0.30770228215767637</v>
      </c>
      <c r="I20" s="35">
        <f>I18/I39</f>
        <v>0.2993437095026157</v>
      </c>
      <c r="J20" s="2"/>
      <c r="K20" s="2"/>
      <c r="L20" s="2"/>
      <c r="M20" s="2"/>
      <c r="N20" s="2"/>
      <c r="O20" s="2"/>
    </row>
    <row r="21">
      <c r="A21" s="19" t="s">
        <v>97</v>
      </c>
      <c r="B21" s="12" t="s">
        <v>37</v>
      </c>
      <c r="C21" s="12" t="s">
        <v>37</v>
      </c>
      <c r="D21" s="12" t="s">
        <v>37</v>
      </c>
      <c r="E21" s="12" t="s">
        <v>37</v>
      </c>
      <c r="F21" s="12" t="s">
        <v>37</v>
      </c>
      <c r="G21" s="12">
        <f>G18/B18-1</f>
        <v>0.006962576153176636</v>
      </c>
      <c r="H21" s="12">
        <f>H18/C18-1</f>
        <v>-0.0012626262626262985</v>
      </c>
      <c r="I21" s="35">
        <f>I18/D18-1</f>
        <v>-0.007639531228379903</v>
      </c>
      <c r="J21" s="2"/>
      <c r="K21" s="2"/>
      <c r="L21" s="2"/>
      <c r="M21" s="2"/>
      <c r="N21" s="2"/>
      <c r="O21" s="2"/>
    </row>
    <row r="22">
      <c r="A22" s="19" t="s">
        <v>98</v>
      </c>
      <c r="B22" s="12" t="s">
        <v>37</v>
      </c>
      <c r="C22" s="12" t="s">
        <v>37</v>
      </c>
      <c r="D22" s="12" t="s">
        <v>37</v>
      </c>
      <c r="E22" s="12" t="s">
        <v>37</v>
      </c>
      <c r="F22" s="12" t="s">
        <v>37</v>
      </c>
      <c r="G22" s="65">
        <v>0</v>
      </c>
      <c r="H22" s="65">
        <v>0</v>
      </c>
      <c r="I22" s="60">
        <v>0</v>
      </c>
      <c r="J22" s="6" t="s">
        <v>106</v>
      </c>
      <c r="K22" s="2"/>
      <c r="L22" s="2"/>
      <c r="M22" s="2"/>
      <c r="N22" s="2"/>
      <c r="O22" s="2"/>
    </row>
    <row r="23">
      <c r="A23" s="19" t="s">
        <v>100</v>
      </c>
      <c r="B23" s="12" t="s">
        <v>37</v>
      </c>
      <c r="C23" s="12" t="s">
        <v>37</v>
      </c>
      <c r="D23" s="12" t="s">
        <v>37</v>
      </c>
      <c r="E23" s="12" t="s">
        <v>37</v>
      </c>
      <c r="F23" s="12" t="s">
        <v>37</v>
      </c>
      <c r="G23" s="12" t="s">
        <v>37</v>
      </c>
      <c r="H23" s="12" t="s">
        <v>37</v>
      </c>
      <c r="I23" s="35" t="s">
        <v>37</v>
      </c>
      <c r="J23" s="6" t="s">
        <v>101</v>
      </c>
      <c r="K23" s="2"/>
      <c r="L23" s="2"/>
      <c r="M23" s="2"/>
      <c r="N23" s="2"/>
      <c r="O23" s="2"/>
    </row>
    <row r="24">
      <c r="A24" s="19" t="s">
        <v>102</v>
      </c>
      <c r="B24" s="12" t="s">
        <v>37</v>
      </c>
      <c r="C24" s="12" t="s">
        <v>37</v>
      </c>
      <c r="D24" s="12" t="s">
        <v>37</v>
      </c>
      <c r="E24" s="12" t="s">
        <v>37</v>
      </c>
      <c r="F24" s="12" t="s">
        <v>37</v>
      </c>
      <c r="G24" s="12" t="str">
        <f>IF(ISNUMBER(G23),(1+G21)/((1+G22)*(1+G23))-1,"n/a")</f>
        <v>n/a</v>
      </c>
      <c r="H24" s="12" t="str">
        <f>IF(ISNUMBER(H23),(1+H21)/((1+H22)*(1+H23))-1,"n/a")</f>
        <v>n/a</v>
      </c>
      <c r="I24" s="35" t="str">
        <f>IF(ISNUMBER(I23),(1+I21)/((1+I22)*(1+I23))-1,"n/a")</f>
        <v>n/a</v>
      </c>
      <c r="J24" s="6" t="s">
        <v>103</v>
      </c>
      <c r="K24" s="2"/>
      <c r="L24" s="2"/>
      <c r="M24" s="2"/>
      <c r="N24" s="2"/>
      <c r="O24" s="2"/>
    </row>
    <row r="25">
      <c r="A25" s="19" t="s">
        <v>104</v>
      </c>
      <c r="B25" s="12" t="s">
        <v>37</v>
      </c>
      <c r="C25" s="12" t="s">
        <v>37</v>
      </c>
      <c r="D25" s="12" t="s">
        <v>37</v>
      </c>
      <c r="E25" s="12" t="s">
        <v>37</v>
      </c>
      <c r="F25" s="12" t="s">
        <v>37</v>
      </c>
      <c r="G25" s="12">
        <f>IF(ISNUMBER(G22),G21-G22,"n/a")</f>
        <v>0.006962576153176636</v>
      </c>
      <c r="H25" s="12">
        <f>IF(ISNUMBER(H22),H21-H22,"n/a")</f>
        <v>-0.0012626262626262985</v>
      </c>
      <c r="I25" s="35">
        <f>IF(ISNUMBER(I22),I21-I22,"n/a")</f>
        <v>-0.007639531228379903</v>
      </c>
      <c r="J25" s="2"/>
      <c r="K25" s="2"/>
      <c r="L25" s="2"/>
      <c r="M25" s="2"/>
      <c r="N25" s="2"/>
      <c r="O25" s="2"/>
    </row>
    <row r="26">
      <c r="A26" s="6" t="s">
        <v>107</v>
      </c>
      <c r="B26" s="23">
        <f>'Segment - Payment Services'!B160</f>
        <v>1654</v>
      </c>
      <c r="C26" s="23">
        <f>'Segment - Payment Services'!C160</f>
        <v>1714</v>
      </c>
      <c r="D26" s="23">
        <f>'Segment - Payment Services'!D160</f>
        <v>1754</v>
      </c>
      <c r="E26" s="23">
        <f>'Segment - Payment Services'!E160</f>
        <v>1763</v>
      </c>
      <c r="F26" s="23">
        <f>'Segment - Payment Services'!F160</f>
        <v>6885</v>
      </c>
      <c r="G26" s="23">
        <f>'Segment - Payment Services'!G160</f>
        <v>1719</v>
      </c>
      <c r="H26" s="23">
        <f>'Segment - Payment Services'!H160</f>
        <v>1812</v>
      </c>
      <c r="I26" s="49">
        <f>'Segment - Payment Services'!I160</f>
        <v>1874.36589860274</v>
      </c>
      <c r="J26" s="2"/>
      <c r="K26" s="2"/>
      <c r="L26" s="2"/>
      <c r="M26" s="2"/>
      <c r="N26" s="2"/>
      <c r="O26" s="2"/>
    </row>
    <row r="27">
      <c r="A27" s="19" t="s">
        <v>95</v>
      </c>
      <c r="B27" s="12" t="s">
        <v>37</v>
      </c>
      <c r="C27" s="12">
        <f>C26/B26-1</f>
        <v>0.03627569528415964</v>
      </c>
      <c r="D27" s="12">
        <f>D26/C26-1</f>
        <v>0.023337222870478458</v>
      </c>
      <c r="E27" s="12">
        <f>E26/D26-1</f>
        <v>0.0051311288483466555</v>
      </c>
      <c r="F27" s="12" t="s">
        <v>37</v>
      </c>
      <c r="G27" s="12">
        <f>G26/E26-1</f>
        <v>-0.024957458876914362</v>
      </c>
      <c r="H27" s="12">
        <f>H26/G26-1</f>
        <v>0.054101221640488584</v>
      </c>
      <c r="I27" s="35">
        <f>I26/H26-1</f>
        <v>0.034418266337052916</v>
      </c>
      <c r="J27" s="2"/>
      <c r="K27" s="2"/>
      <c r="L27" s="2"/>
      <c r="M27" s="2"/>
      <c r="N27" s="2"/>
      <c r="O27" s="2"/>
    </row>
    <row r="28">
      <c r="A28" s="19" t="s">
        <v>96</v>
      </c>
      <c r="B28" s="12">
        <f>B26/B39</f>
        <v>0.23771198620293188</v>
      </c>
      <c r="C28" s="12">
        <f>C26/C39</f>
        <v>0.24471730439748715</v>
      </c>
      <c r="D28" s="12">
        <f>D26/D39</f>
        <v>0.23932323645790696</v>
      </c>
      <c r="E28" s="12">
        <f>E26/E39</f>
        <v>0.23937542430414122</v>
      </c>
      <c r="F28" s="12">
        <f>F26/F39</f>
        <v>0.2402638190954774</v>
      </c>
      <c r="G28" s="12">
        <f>G26/G39</f>
        <v>0.23586717892425907</v>
      </c>
      <c r="H28" s="12">
        <f>H26/H39</f>
        <v>0.2349585062240664</v>
      </c>
      <c r="I28" s="35">
        <f>I26/I39</f>
        <v>0.23460540438072644</v>
      </c>
      <c r="J28" s="2"/>
      <c r="K28" s="2"/>
      <c r="L28" s="2"/>
      <c r="M28" s="2"/>
      <c r="N28" s="2"/>
      <c r="O28" s="2"/>
    </row>
    <row r="29">
      <c r="A29" s="19" t="s">
        <v>97</v>
      </c>
      <c r="B29" s="12" t="s">
        <v>37</v>
      </c>
      <c r="C29" s="12" t="s">
        <v>37</v>
      </c>
      <c r="D29" s="12" t="s">
        <v>37</v>
      </c>
      <c r="E29" s="12" t="s">
        <v>37</v>
      </c>
      <c r="F29" s="12" t="s">
        <v>37</v>
      </c>
      <c r="G29" s="12">
        <f>G26/B26-1</f>
        <v>0.03929866989117281</v>
      </c>
      <c r="H29" s="12">
        <f>H26/C26-1</f>
        <v>0.05717619603267221</v>
      </c>
      <c r="I29" s="35">
        <f>I26/D26-1</f>
        <v>0.06862365940863158</v>
      </c>
      <c r="J29" s="2"/>
      <c r="K29" s="2"/>
      <c r="L29" s="2"/>
      <c r="M29" s="2"/>
      <c r="N29" s="2"/>
      <c r="O29" s="2"/>
    </row>
    <row r="30">
      <c r="A30" s="19" t="s">
        <v>98</v>
      </c>
      <c r="B30" s="12" t="s">
        <v>37</v>
      </c>
      <c r="C30" s="12" t="s">
        <v>37</v>
      </c>
      <c r="D30" s="12" t="s">
        <v>37</v>
      </c>
      <c r="E30" s="12" t="s">
        <v>37</v>
      </c>
      <c r="F30" s="12" t="s">
        <v>37</v>
      </c>
      <c r="G30" s="12">
        <f>G52/B26</f>
        <v>0</v>
      </c>
      <c r="H30" s="12">
        <f>H52/C26</f>
        <v>0</v>
      </c>
      <c r="I30" s="35">
        <f>I52/D26</f>
        <v>0.02280501710376283</v>
      </c>
      <c r="J30" s="6" t="s">
        <v>99</v>
      </c>
      <c r="K30" s="2"/>
      <c r="L30" s="2"/>
      <c r="M30" s="2"/>
      <c r="N30" s="2"/>
      <c r="O30" s="2"/>
    </row>
    <row r="31">
      <c r="A31" s="19" t="s">
        <v>100</v>
      </c>
      <c r="B31" s="12" t="s">
        <v>37</v>
      </c>
      <c r="C31" s="12" t="s">
        <v>37</v>
      </c>
      <c r="D31" s="12" t="s">
        <v>37</v>
      </c>
      <c r="E31" s="12" t="s">
        <v>37</v>
      </c>
      <c r="F31" s="12" t="s">
        <v>37</v>
      </c>
      <c r="G31" s="12" t="s">
        <v>37</v>
      </c>
      <c r="H31" s="12" t="s">
        <v>37</v>
      </c>
      <c r="I31" s="35" t="s">
        <v>37</v>
      </c>
      <c r="J31" s="6" t="s">
        <v>101</v>
      </c>
      <c r="K31" s="2"/>
      <c r="L31" s="2"/>
      <c r="M31" s="2"/>
      <c r="N31" s="2"/>
      <c r="O31" s="2"/>
    </row>
    <row r="32">
      <c r="A32" s="19" t="s">
        <v>102</v>
      </c>
      <c r="B32" s="12" t="s">
        <v>37</v>
      </c>
      <c r="C32" s="12" t="s">
        <v>37</v>
      </c>
      <c r="D32" s="12" t="s">
        <v>37</v>
      </c>
      <c r="E32" s="12" t="s">
        <v>37</v>
      </c>
      <c r="F32" s="12" t="s">
        <v>37</v>
      </c>
      <c r="G32" s="12" t="str">
        <f>IF(ISNUMBER(G31),(1+G29)/((1+G30)*(1+G31))-1,"n/a")</f>
        <v>n/a</v>
      </c>
      <c r="H32" s="12" t="str">
        <f>IF(ISNUMBER(H31),(1+H29)/((1+H30)*(1+H31))-1,"n/a")</f>
        <v>n/a</v>
      </c>
      <c r="I32" s="35" t="str">
        <f>IF(ISNUMBER(I31),(1+I29)/((1+I30)*(1+I31))-1,"n/a")</f>
        <v>n/a</v>
      </c>
      <c r="J32" s="6" t="s">
        <v>103</v>
      </c>
      <c r="K32" s="2"/>
      <c r="L32" s="2"/>
      <c r="M32" s="2"/>
      <c r="N32" s="2"/>
      <c r="O32" s="2"/>
    </row>
    <row r="33">
      <c r="A33" s="19" t="s">
        <v>104</v>
      </c>
      <c r="B33" s="12" t="s">
        <v>37</v>
      </c>
      <c r="C33" s="12" t="s">
        <v>37</v>
      </c>
      <c r="D33" s="12" t="s">
        <v>37</v>
      </c>
      <c r="E33" s="12" t="s">
        <v>37</v>
      </c>
      <c r="F33" s="12" t="s">
        <v>37</v>
      </c>
      <c r="G33" s="12">
        <f>IF(ISNUMBER(G30),G29-G30,"n/a")</f>
        <v>0.03929866989117281</v>
      </c>
      <c r="H33" s="12">
        <f>IF(ISNUMBER(H30),H29-H30,"n/a")</f>
        <v>0.05717619603267221</v>
      </c>
      <c r="I33" s="35">
        <f>IF(ISNUMBER(I30),I29-I30,"n/a")</f>
        <v>0.04581864230486875</v>
      </c>
      <c r="J33" s="2"/>
      <c r="K33" s="2"/>
      <c r="L33" s="2"/>
      <c r="M33" s="2"/>
      <c r="N33" s="2"/>
      <c r="O33" s="2"/>
    </row>
    <row r="34">
      <c r="A34" s="6" t="s">
        <v>108</v>
      </c>
      <c r="B34" s="23">
        <f>'Segment - Treasury &amp; Corp'!B64</f>
        <v>-125</v>
      </c>
      <c r="C34" s="23">
        <f>'Segment - Treasury &amp; Corp'!C64</f>
        <v>-306</v>
      </c>
      <c r="D34" s="23">
        <f>'Segment - Treasury &amp; Corp'!D64</f>
        <v>-177</v>
      </c>
      <c r="E34" s="23">
        <f>'Segment - Treasury &amp; Corp'!E64</f>
        <v>-71</v>
      </c>
      <c r="F34" s="23">
        <f>'Segment - Treasury &amp; Corp'!F64</f>
        <v>-679</v>
      </c>
      <c r="G34" s="23">
        <f>'Segment - Treasury &amp; Corp'!G64</f>
        <v>-227</v>
      </c>
      <c r="H34" s="23">
        <f>'Segment - Treasury &amp; Corp'!H64</f>
        <v>-244</v>
      </c>
      <c r="I34" s="49">
        <f>'Segment - Treasury &amp; Corp'!I64</f>
        <v>-225</v>
      </c>
      <c r="J34" s="2"/>
      <c r="K34" s="2"/>
      <c r="L34" s="2"/>
      <c r="M34" s="2"/>
      <c r="N34" s="2"/>
      <c r="O34" s="2"/>
    </row>
    <row r="35">
      <c r="A35" s="19" t="s">
        <v>109</v>
      </c>
      <c r="B35" s="1" t="s">
        <v>37</v>
      </c>
      <c r="C35" s="1" t="s">
        <v>37</v>
      </c>
      <c r="D35" s="1" t="s">
        <v>37</v>
      </c>
      <c r="E35" s="1" t="s">
        <v>37</v>
      </c>
      <c r="F35" s="1" t="s">
        <v>37</v>
      </c>
      <c r="G35" s="1">
        <f>IF(AND(ISNUMBER(G34),ISNUMBER(B34)),G34-B34,"n/a")</f>
        <v>-102</v>
      </c>
      <c r="H35" s="1">
        <f>IF(AND(ISNUMBER(H34),ISNUMBER(C34)),H34-C34,"n/a")</f>
        <v>62</v>
      </c>
      <c r="I35" s="13">
        <f>IF(AND(ISNUMBER(I34),ISNUMBER(D34)),I34-D34,"n/a")</f>
        <v>-48</v>
      </c>
      <c r="J35" s="2"/>
      <c r="K35" s="2"/>
      <c r="L35" s="2"/>
      <c r="M35" s="2"/>
      <c r="N35" s="2"/>
      <c r="O35" s="2"/>
    </row>
    <row r="36">
      <c r="A36" s="19" t="s">
        <v>110</v>
      </c>
      <c r="B36" s="1" t="s">
        <v>37</v>
      </c>
      <c r="C36" s="1">
        <f>IF(AND(ISNUMBER(C34),ISNUMBER(B34)),C34-B34,"n/a")</f>
        <v>-181</v>
      </c>
      <c r="D36" s="1">
        <f>IF(AND(ISNUMBER(D34),ISNUMBER(C34)),D34-C34,"n/a")</f>
        <v>129</v>
      </c>
      <c r="E36" s="1">
        <f>IF(AND(ISNUMBER(E34),ISNUMBER(D34)),E34-D34,"n/a")</f>
        <v>106</v>
      </c>
      <c r="F36" s="1" t="s">
        <v>37</v>
      </c>
      <c r="G36" s="1">
        <f>IF(AND(ISNUMBER(G34),ISNUMBER(E34)),G34-E34,"n/a")</f>
        <v>-156</v>
      </c>
      <c r="H36" s="1">
        <f>IF(AND(ISNUMBER(H34),ISNUMBER(G34)),H34-G34,"n/a")</f>
        <v>-17</v>
      </c>
      <c r="I36" s="13">
        <f>IF(AND(ISNUMBER(I34),ISNUMBER(H34)),I34-H34,"n/a")</f>
        <v>19</v>
      </c>
      <c r="J36" s="2"/>
      <c r="K36" s="2"/>
      <c r="L36" s="2"/>
      <c r="M36" s="2"/>
      <c r="N36" s="2"/>
      <c r="O36" s="2"/>
    </row>
    <row r="37">
      <c r="A37" s="19" t="s">
        <v>96</v>
      </c>
      <c r="B37" s="12">
        <f>B34/B39</f>
        <v>-0.01796493245185398</v>
      </c>
      <c r="C37" s="12">
        <f>C34/C39</f>
        <v>-0.043689320388349516</v>
      </c>
      <c r="D37" s="12">
        <f>D34/D39</f>
        <v>-0.024150634465820713</v>
      </c>
      <c r="E37" s="12">
        <f>E34/E39</f>
        <v>-0.00964019008825526</v>
      </c>
      <c r="F37" s="12">
        <f>F34/F39</f>
        <v>-0.023694863204913458</v>
      </c>
      <c r="G37" s="12">
        <f>G34/G39</f>
        <v>-0.03114709110867179</v>
      </c>
      <c r="H37" s="12">
        <f>H34/H39</f>
        <v>-0.03163900414937759</v>
      </c>
      <c r="I37" s="35">
        <f>I34/I39</f>
        <v>-0.028162172617957535</v>
      </c>
      <c r="J37" s="2"/>
      <c r="K37" s="2"/>
      <c r="L37" s="2"/>
      <c r="M37" s="2"/>
      <c r="N37" s="2"/>
      <c r="O37" s="2"/>
    </row>
    <row r="38">
      <c r="A38" s="36" t="s">
        <v>111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>
      <c r="A39" s="16" t="s">
        <v>34</v>
      </c>
      <c r="B39" s="15">
        <f>B10+B18+B26+B34</f>
        <v>6958</v>
      </c>
      <c r="C39" s="15">
        <f>C10+C18+C26+C34</f>
        <v>7004</v>
      </c>
      <c r="D39" s="15">
        <f>D10+D18+D26+D34</f>
        <v>7329</v>
      </c>
      <c r="E39" s="15">
        <f>E10+E18+E26+E34</f>
        <v>7365</v>
      </c>
      <c r="F39" s="15">
        <f>F10+F18+F26+F34</f>
        <v>28656</v>
      </c>
      <c r="G39" s="15">
        <f>G10+G18+G26+G34</f>
        <v>7288</v>
      </c>
      <c r="H39" s="15">
        <f>H10+H18+H26+H34</f>
        <v>7712</v>
      </c>
      <c r="I39" s="38">
        <f>I10+I18+I26+I34</f>
        <v>7989.440411871112</v>
      </c>
      <c r="J39" s="2"/>
      <c r="K39" s="2"/>
      <c r="L39" s="2"/>
      <c r="M39" s="2"/>
      <c r="N39" s="2"/>
      <c r="O39" s="2"/>
    </row>
    <row r="40">
      <c r="A40" s="19" t="s">
        <v>95</v>
      </c>
      <c r="B40" s="12" t="s">
        <v>37</v>
      </c>
      <c r="C40" s="12">
        <f>C39/B39-1</f>
        <v>0.006611095142282197</v>
      </c>
      <c r="D40" s="12">
        <f>D39/C39-1</f>
        <v>0.046402055968018274</v>
      </c>
      <c r="E40" s="12">
        <f>E39/D39-1</f>
        <v>0.004911993450675389</v>
      </c>
      <c r="F40" s="12" t="s">
        <v>37</v>
      </c>
      <c r="G40" s="12">
        <f>G39/E39-1</f>
        <v>-0.010454854039375405</v>
      </c>
      <c r="H40" s="12">
        <f>H39/G39-1</f>
        <v>0.05817782656421522</v>
      </c>
      <c r="I40" s="35">
        <f>I39/H39-1</f>
        <v>0.035975157140963665</v>
      </c>
      <c r="J40" s="2"/>
      <c r="K40" s="2"/>
      <c r="L40" s="2"/>
      <c r="M40" s="2"/>
      <c r="N40" s="2"/>
      <c r="O40" s="2"/>
    </row>
    <row r="41">
      <c r="A41" s="19" t="s">
        <v>97</v>
      </c>
      <c r="B41" s="12" t="s">
        <v>37</v>
      </c>
      <c r="C41" s="12" t="s">
        <v>37</v>
      </c>
      <c r="D41" s="12" t="s">
        <v>37</v>
      </c>
      <c r="E41" s="12" t="s">
        <v>37</v>
      </c>
      <c r="F41" s="12" t="s">
        <v>37</v>
      </c>
      <c r="G41" s="12">
        <f>G39/B39-1</f>
        <v>0.04742742167289449</v>
      </c>
      <c r="H41" s="12">
        <f>H39/C39-1</f>
        <v>0.10108509423186751</v>
      </c>
      <c r="I41" s="35">
        <f>I39/D39-1</f>
        <v>0.09011330493534064</v>
      </c>
      <c r="J41" s="2"/>
      <c r="K41" s="2"/>
      <c r="L41" s="2"/>
      <c r="M41" s="2"/>
      <c r="N41" s="2"/>
      <c r="O41" s="2"/>
    </row>
    <row r="42">
      <c r="A42" s="19" t="s">
        <v>98</v>
      </c>
      <c r="B42" s="12" t="s">
        <v>37</v>
      </c>
      <c r="C42" s="12" t="s">
        <v>37</v>
      </c>
      <c r="D42" s="12" t="s">
        <v>37</v>
      </c>
      <c r="E42" s="12" t="s">
        <v>37</v>
      </c>
      <c r="F42" s="12" t="s">
        <v>37</v>
      </c>
      <c r="G42" s="12">
        <f>G53/B39</f>
        <v>0</v>
      </c>
      <c r="H42" s="12">
        <f>H53/C39</f>
        <v>0.013992004568817818</v>
      </c>
      <c r="I42" s="35">
        <f>I53/D39</f>
        <v>0.03274662300450266</v>
      </c>
      <c r="J42" s="6" t="s">
        <v>99</v>
      </c>
      <c r="K42" s="2"/>
      <c r="L42" s="2"/>
      <c r="M42" s="2"/>
      <c r="N42" s="2"/>
      <c r="O42" s="2"/>
    </row>
    <row r="43">
      <c r="A43" s="19" t="s">
        <v>100</v>
      </c>
      <c r="B43" s="12" t="s">
        <v>37</v>
      </c>
      <c r="C43" s="12" t="s">
        <v>37</v>
      </c>
      <c r="D43" s="12" t="s">
        <v>37</v>
      </c>
      <c r="E43" s="12" t="s">
        <v>37</v>
      </c>
      <c r="F43" s="12" t="s">
        <v>37</v>
      </c>
      <c r="G43" s="12" t="s">
        <v>37</v>
      </c>
      <c r="H43" s="12" t="s">
        <v>37</v>
      </c>
      <c r="I43" s="35" t="s">
        <v>37</v>
      </c>
      <c r="J43" s="6" t="s">
        <v>101</v>
      </c>
      <c r="K43" s="2"/>
      <c r="L43" s="2"/>
      <c r="M43" s="2"/>
      <c r="N43" s="2"/>
      <c r="O43" s="2"/>
    </row>
    <row r="44">
      <c r="A44" s="19" t="s">
        <v>102</v>
      </c>
      <c r="B44" s="12" t="s">
        <v>37</v>
      </c>
      <c r="C44" s="12" t="s">
        <v>37</v>
      </c>
      <c r="D44" s="12" t="s">
        <v>37</v>
      </c>
      <c r="E44" s="12" t="s">
        <v>37</v>
      </c>
      <c r="F44" s="12" t="s">
        <v>37</v>
      </c>
      <c r="G44" s="12" t="str">
        <f>IF(ISNUMBER(G43),(1+G41)/((1+G42)*(1+G43))-1,"n/a")</f>
        <v>n/a</v>
      </c>
      <c r="H44" s="12" t="str">
        <f>IF(ISNUMBER(H43),(1+H41)/((1+H42)*(1+H43))-1,"n/a")</f>
        <v>n/a</v>
      </c>
      <c r="I44" s="35" t="str">
        <f>IF(ISNUMBER(I43),(1+I41)/((1+I42)*(1+I43))-1,"n/a")</f>
        <v>n/a</v>
      </c>
      <c r="J44" s="6" t="s">
        <v>103</v>
      </c>
      <c r="K44" s="2"/>
      <c r="L44" s="2"/>
      <c r="M44" s="2"/>
      <c r="N44" s="2"/>
      <c r="O44" s="2"/>
    </row>
    <row r="45">
      <c r="A45" s="19" t="s">
        <v>104</v>
      </c>
      <c r="B45" s="12" t="s">
        <v>37</v>
      </c>
      <c r="C45" s="12" t="s">
        <v>37</v>
      </c>
      <c r="D45" s="12" t="s">
        <v>37</v>
      </c>
      <c r="E45" s="12" t="s">
        <v>37</v>
      </c>
      <c r="F45" s="12" t="s">
        <v>37</v>
      </c>
      <c r="G45" s="12">
        <f>IF(ISNUMBER(G42),G41-G42,"n/a")</f>
        <v>0.04742742167289449</v>
      </c>
      <c r="H45" s="12">
        <f>IF(ISNUMBER(H42),H41-H42,"n/a")</f>
        <v>0.0870930896630497</v>
      </c>
      <c r="I45" s="35">
        <f>IF(ISNUMBER(I42),I41-I42,"n/a")</f>
        <v>0.057366681930837986</v>
      </c>
      <c r="J45" s="2"/>
      <c r="K45" s="2"/>
      <c r="L45" s="2"/>
      <c r="M45" s="2"/>
      <c r="N45" s="2"/>
      <c r="O45" s="2"/>
    </row>
    <row r="46">
      <c r="A46" s="26" t="s">
        <v>112</v>
      </c>
      <c r="B46" s="57">
        <f>B39-'Income Statement'!B130</f>
        <v>0</v>
      </c>
      <c r="C46" s="57">
        <f>C39-'Income Statement'!C130</f>
        <v>0</v>
      </c>
      <c r="D46" s="57">
        <f>D39-'Income Statement'!D130</f>
        <v>0</v>
      </c>
      <c r="E46" s="57">
        <f>E39-'Income Statement'!E130</f>
        <v>0</v>
      </c>
      <c r="F46" s="57">
        <f>F39-'Income Statement'!F130</f>
        <v>0</v>
      </c>
      <c r="G46" s="57">
        <f>G39-'Income Statement'!G130</f>
        <v>0</v>
      </c>
      <c r="H46" s="57">
        <f>H39-'Income Statement'!H130</f>
        <v>0</v>
      </c>
      <c r="I46" s="59">
        <f>I39-'Income Statement'!I130</f>
        <v>0</v>
      </c>
      <c r="J46" s="2"/>
      <c r="K46" s="2"/>
      <c r="L46" s="2"/>
      <c r="M46" s="2"/>
      <c r="N46" s="2"/>
      <c r="O46" s="2"/>
    </row>
    <row r="47">
      <c r="A47" s="36" t="s">
        <v>113</v>
      </c>
      <c r="B47" s="23">
        <f>Inputs!H100</f>
        <v>6958</v>
      </c>
      <c r="C47" s="23">
        <f>Inputs!H101</f>
        <v>7004</v>
      </c>
      <c r="D47" s="23">
        <f>Inputs!H102</f>
        <v>7329</v>
      </c>
      <c r="E47" s="23">
        <f>Inputs!H103</f>
        <v>7365</v>
      </c>
      <c r="F47" s="3">
        <f>SUM(B47:E47)</f>
        <v>28656</v>
      </c>
      <c r="G47" s="23">
        <f>Inputs!H104</f>
        <v>7288</v>
      </c>
      <c r="H47" s="23">
        <f>Inputs!H105</f>
        <v>7712</v>
      </c>
      <c r="I47" s="49">
        <f>Inputs!B53</f>
        <v>8006.85</v>
      </c>
      <c r="J47" s="6" t="s">
        <v>114</v>
      </c>
      <c r="K47" s="2"/>
      <c r="L47" s="2"/>
      <c r="M47" s="2"/>
      <c r="N47" s="2"/>
      <c r="O47" s="2"/>
    </row>
    <row r="48">
      <c r="A48" s="26" t="s">
        <v>115</v>
      </c>
      <c r="B48" s="1">
        <f>B39-B47</f>
        <v>0</v>
      </c>
      <c r="C48" s="1">
        <f>C39-C47</f>
        <v>0</v>
      </c>
      <c r="D48" s="1">
        <f>D39-D47</f>
        <v>0</v>
      </c>
      <c r="E48" s="1">
        <f>E39-E47</f>
        <v>0</v>
      </c>
      <c r="F48" s="1">
        <f>F39-F47</f>
        <v>0</v>
      </c>
      <c r="G48" s="1">
        <f>G39-G47</f>
        <v>0</v>
      </c>
      <c r="H48" s="1">
        <f>H39-H47</f>
        <v>0</v>
      </c>
      <c r="I48" s="2"/>
      <c r="J48" s="2"/>
      <c r="K48" s="2"/>
      <c r="L48" s="2"/>
      <c r="M48" s="2"/>
      <c r="N48" s="2"/>
      <c r="O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>
      <c r="A50" s="16" t="s">
        <v>116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>
      <c r="A51" s="36" t="s">
        <v>117</v>
      </c>
      <c r="B51" s="23">
        <f>'Segment - WCCIB'!B157</f>
        <v>0</v>
      </c>
      <c r="C51" s="23">
        <f>'Segment - WCCIB'!C157</f>
        <v>0</v>
      </c>
      <c r="D51" s="23">
        <f>'Segment - WCCIB'!D157</f>
        <v>0</v>
      </c>
      <c r="E51" s="23">
        <f>'Segment - WCCIB'!E157</f>
        <v>0</v>
      </c>
      <c r="F51" s="23">
        <f>'Segment - WCCIB'!F157</f>
        <v>0</v>
      </c>
      <c r="G51" s="23">
        <f>'Segment - WCCIB'!G157</f>
        <v>0</v>
      </c>
      <c r="H51" s="23">
        <f>'Segment - WCCIB'!H157</f>
        <v>98</v>
      </c>
      <c r="I51" s="49">
        <f>'Segment - WCCIB'!I157</f>
        <v>200</v>
      </c>
      <c r="J51" s="2"/>
      <c r="K51" s="2"/>
      <c r="L51" s="2"/>
      <c r="M51" s="2"/>
      <c r="N51" s="2"/>
      <c r="O51" s="2"/>
    </row>
    <row r="52">
      <c r="A52" s="36" t="s">
        <v>118</v>
      </c>
      <c r="B52" s="23">
        <f>'Segment - Payment Services'!B170</f>
        <v>0</v>
      </c>
      <c r="C52" s="23">
        <f>'Segment - Payment Services'!C170</f>
        <v>0</v>
      </c>
      <c r="D52" s="23">
        <f>'Segment - Payment Services'!D170</f>
        <v>0</v>
      </c>
      <c r="E52" s="23">
        <f>'Segment - Payment Services'!E170</f>
        <v>0</v>
      </c>
      <c r="F52" s="23">
        <f>'Segment - Payment Services'!F170</f>
        <v>0</v>
      </c>
      <c r="G52" s="23">
        <f>'Segment - Payment Services'!G170</f>
        <v>0</v>
      </c>
      <c r="H52" s="23">
        <f>'Segment - Payment Services'!H170</f>
        <v>0</v>
      </c>
      <c r="I52" s="49">
        <f>'Segment - Payment Services'!I170</f>
        <v>40</v>
      </c>
      <c r="J52" s="2"/>
      <c r="K52" s="2"/>
      <c r="L52" s="2"/>
      <c r="M52" s="2"/>
      <c r="N52" s="2"/>
      <c r="O52" s="2"/>
    </row>
    <row r="53">
      <c r="A53" s="68" t="s">
        <v>119</v>
      </c>
      <c r="B53" s="15">
        <f>B51+B52</f>
        <v>0</v>
      </c>
      <c r="C53" s="15">
        <f>C51+C52</f>
        <v>0</v>
      </c>
      <c r="D53" s="15">
        <f>D51+D52</f>
        <v>0</v>
      </c>
      <c r="E53" s="15">
        <f>E51+E52</f>
        <v>0</v>
      </c>
      <c r="F53" s="15">
        <f>F51+F52</f>
        <v>0</v>
      </c>
      <c r="G53" s="15">
        <f>G51+G52</f>
        <v>0</v>
      </c>
      <c r="H53" s="15">
        <f>H51+H52</f>
        <v>98</v>
      </c>
      <c r="I53" s="38">
        <f>I51+I52</f>
        <v>240</v>
      </c>
      <c r="J53" s="2"/>
      <c r="K53" s="2"/>
      <c r="L53" s="2"/>
      <c r="M53" s="2"/>
      <c r="N53" s="2"/>
      <c r="O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>
      <c r="A55" s="16" t="s">
        <v>120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>
      <c r="A56" s="6" t="s">
        <v>121</v>
      </c>
      <c r="B56" s="23">
        <f>'Income Statement'!B46</f>
        <v>4122</v>
      </c>
      <c r="C56" s="23">
        <f>'Income Statement'!C46</f>
        <v>4080</v>
      </c>
      <c r="D56" s="23">
        <f>'Income Statement'!D46</f>
        <v>4251</v>
      </c>
      <c r="E56" s="23">
        <f>'Income Statement'!E46</f>
        <v>4312</v>
      </c>
      <c r="F56" s="23">
        <f>'Income Statement'!F46</f>
        <v>16765</v>
      </c>
      <c r="G56" s="23">
        <f>'Income Statement'!G46</f>
        <v>4291</v>
      </c>
      <c r="H56" s="23">
        <f>'Income Statement'!H46</f>
        <v>4387</v>
      </c>
      <c r="I56" s="49">
        <f>'Income Statement'!I46</f>
        <v>4509.620398871233</v>
      </c>
      <c r="J56" s="2"/>
      <c r="K56" s="2"/>
      <c r="L56" s="2"/>
      <c r="M56" s="2"/>
      <c r="N56" s="2"/>
      <c r="O56" s="2"/>
    </row>
    <row r="57">
      <c r="A57" s="19" t="s">
        <v>95</v>
      </c>
      <c r="B57" s="12" t="s">
        <v>37</v>
      </c>
      <c r="C57" s="12">
        <f>C56/B56-1</f>
        <v>-0.010189228529839833</v>
      </c>
      <c r="D57" s="12">
        <f>D56/C56-1</f>
        <v>0.041911764705882426</v>
      </c>
      <c r="E57" s="12">
        <f>E56/D56-1</f>
        <v>0.014349564808280313</v>
      </c>
      <c r="F57" s="12" t="s">
        <v>37</v>
      </c>
      <c r="G57" s="12">
        <f>G56/E56-1</f>
        <v>-0.004870129870129913</v>
      </c>
      <c r="H57" s="12">
        <f>H56/G56-1</f>
        <v>0.022372407364250835</v>
      </c>
      <c r="I57" s="35">
        <f>I56/H56-1</f>
        <v>0.02795085454096946</v>
      </c>
      <c r="J57" s="2"/>
      <c r="K57" s="2"/>
      <c r="L57" s="2"/>
      <c r="M57" s="2"/>
      <c r="N57" s="2"/>
      <c r="O57" s="2"/>
    </row>
    <row r="58">
      <c r="A58" s="19" t="s">
        <v>122</v>
      </c>
      <c r="B58" s="12" t="s">
        <v>37</v>
      </c>
      <c r="C58" s="12" t="s">
        <v>37</v>
      </c>
      <c r="D58" s="12" t="s">
        <v>37</v>
      </c>
      <c r="E58" s="12" t="s">
        <v>37</v>
      </c>
      <c r="F58" s="12" t="s">
        <v>37</v>
      </c>
      <c r="G58" s="12">
        <f>G56/B56-1</f>
        <v>0.0409995147986415</v>
      </c>
      <c r="H58" s="12">
        <f>H56/C56-1</f>
        <v>0.07524509803921564</v>
      </c>
      <c r="I58" s="35">
        <f>I56/D56-1</f>
        <v>0.06083754384173923</v>
      </c>
      <c r="J58" s="2"/>
      <c r="K58" s="2"/>
      <c r="L58" s="2"/>
      <c r="M58" s="2"/>
      <c r="N58" s="2"/>
      <c r="O58" s="2"/>
    </row>
    <row r="59">
      <c r="A59" s="19" t="s">
        <v>98</v>
      </c>
      <c r="B59" s="12" t="s">
        <v>37</v>
      </c>
      <c r="C59" s="12" t="s">
        <v>37</v>
      </c>
      <c r="D59" s="12" t="s">
        <v>37</v>
      </c>
      <c r="E59" s="12" t="s">
        <v>37</v>
      </c>
      <c r="F59" s="12" t="s">
        <v>37</v>
      </c>
      <c r="G59" s="22">
        <f>'Income Statement'!G138/B56</f>
        <v>0</v>
      </c>
      <c r="H59" s="22">
        <f>'Income Statement'!H138/C56</f>
        <v>0</v>
      </c>
      <c r="I59" s="33">
        <f>'Income Statement'!I138/D56</f>
        <v>0.007527640555163491</v>
      </c>
      <c r="J59" s="6" t="s">
        <v>99</v>
      </c>
      <c r="K59" s="2"/>
      <c r="L59" s="2"/>
      <c r="M59" s="2"/>
      <c r="N59" s="2"/>
      <c r="O59" s="2"/>
    </row>
    <row r="60">
      <c r="A60" s="19" t="s">
        <v>100</v>
      </c>
      <c r="B60" s="12" t="s">
        <v>37</v>
      </c>
      <c r="C60" s="12" t="s">
        <v>37</v>
      </c>
      <c r="D60" s="12" t="s">
        <v>37</v>
      </c>
      <c r="E60" s="12" t="s">
        <v>37</v>
      </c>
      <c r="F60" s="12" t="s">
        <v>37</v>
      </c>
      <c r="G60" s="12" t="s">
        <v>37</v>
      </c>
      <c r="H60" s="12" t="s">
        <v>37</v>
      </c>
      <c r="I60" s="35" t="s">
        <v>37</v>
      </c>
      <c r="J60" s="6" t="s">
        <v>101</v>
      </c>
      <c r="K60" s="2"/>
      <c r="L60" s="2"/>
      <c r="M60" s="2"/>
      <c r="N60" s="2"/>
      <c r="O60" s="2"/>
    </row>
    <row r="61">
      <c r="A61" s="19" t="s">
        <v>102</v>
      </c>
      <c r="B61" s="12" t="s">
        <v>37</v>
      </c>
      <c r="C61" s="12" t="s">
        <v>37</v>
      </c>
      <c r="D61" s="12" t="s">
        <v>37</v>
      </c>
      <c r="E61" s="12" t="s">
        <v>37</v>
      </c>
      <c r="F61" s="12" t="s">
        <v>37</v>
      </c>
      <c r="G61" s="12" t="str">
        <f>IF(ISNUMBER(G60),(1+G58)/((1+G59)*(1+G60))-1,"n/a")</f>
        <v>n/a</v>
      </c>
      <c r="H61" s="12" t="str">
        <f>IF(ISNUMBER(H60),(1+H58)/((1+H59)*(1+H60))-1,"n/a")</f>
        <v>n/a</v>
      </c>
      <c r="I61" s="35" t="str">
        <f>IF(ISNUMBER(I60),(1+I58)/((1+I59)*(1+I60))-1,"n/a")</f>
        <v>n/a</v>
      </c>
      <c r="J61" s="6" t="s">
        <v>103</v>
      </c>
      <c r="K61" s="2"/>
      <c r="L61" s="2"/>
      <c r="M61" s="2"/>
      <c r="N61" s="2"/>
      <c r="O61" s="2"/>
    </row>
    <row r="62">
      <c r="A62" s="19" t="s">
        <v>104</v>
      </c>
      <c r="B62" s="12" t="s">
        <v>37</v>
      </c>
      <c r="C62" s="12" t="s">
        <v>37</v>
      </c>
      <c r="D62" s="12" t="s">
        <v>37</v>
      </c>
      <c r="E62" s="12" t="s">
        <v>37</v>
      </c>
      <c r="F62" s="12" t="s">
        <v>37</v>
      </c>
      <c r="G62" s="12">
        <f>IF(ISNUMBER(G59),G58-G59,"n/a")</f>
        <v>0.0409995147986415</v>
      </c>
      <c r="H62" s="12">
        <f>IF(ISNUMBER(H59),H58-H59,"n/a")</f>
        <v>0.07524509803921564</v>
      </c>
      <c r="I62" s="35">
        <f>IF(ISNUMBER(I59),I58-I59,"n/a")</f>
        <v>0.053309903286575734</v>
      </c>
      <c r="J62" s="2"/>
      <c r="K62" s="2"/>
      <c r="L62" s="2"/>
      <c r="M62" s="2"/>
      <c r="N62" s="2"/>
      <c r="O62" s="2"/>
    </row>
    <row r="63">
      <c r="A63" s="19" t="s">
        <v>96</v>
      </c>
      <c r="B63" s="12">
        <f>B56/B39</f>
        <v>0.5924116125323369</v>
      </c>
      <c r="C63" s="12">
        <f>C56/C39</f>
        <v>0.5825242718446602</v>
      </c>
      <c r="D63" s="12">
        <f>D56/D39</f>
        <v>0.5800245599672533</v>
      </c>
      <c r="E63" s="12">
        <f>E56/E39</f>
        <v>0.5854718262050238</v>
      </c>
      <c r="F63" s="12">
        <f>F56/F39</f>
        <v>0.5850432719151312</v>
      </c>
      <c r="G63" s="12">
        <f>G56/G39</f>
        <v>0.5887760702524698</v>
      </c>
      <c r="H63" s="12">
        <f>H56/H39</f>
        <v>0.568853734439834</v>
      </c>
      <c r="I63" s="35">
        <f>I56/I39</f>
        <v>0.5644475916198852</v>
      </c>
      <c r="J63" s="2"/>
      <c r="K63" s="2"/>
      <c r="L63" s="2"/>
      <c r="M63" s="2"/>
      <c r="N63" s="2"/>
      <c r="O63" s="2"/>
    </row>
    <row r="64">
      <c r="A64" s="6" t="s">
        <v>123</v>
      </c>
      <c r="B64" s="23">
        <f>'Income Statement'!B118</f>
        <v>2836</v>
      </c>
      <c r="C64" s="23">
        <f>'Income Statement'!C118</f>
        <v>2981</v>
      </c>
      <c r="D64" s="23">
        <f>'Income Statement'!D118</f>
        <v>3085</v>
      </c>
      <c r="E64" s="23">
        <f>'Income Statement'!E118</f>
        <v>3050</v>
      </c>
      <c r="F64" s="23">
        <f>'Income Statement'!F118</f>
        <v>11952</v>
      </c>
      <c r="G64" s="23">
        <f>'Income Statement'!G118</f>
        <v>3032</v>
      </c>
      <c r="H64" s="23">
        <f>'Income Statement'!H118</f>
        <v>3374</v>
      </c>
      <c r="I64" s="49">
        <f>'Income Statement'!I118</f>
        <v>3509.8200129998786</v>
      </c>
      <c r="J64" s="2"/>
      <c r="K64" s="2"/>
      <c r="L64" s="2"/>
      <c r="M64" s="2"/>
      <c r="N64" s="2"/>
      <c r="O64" s="2"/>
    </row>
    <row r="65">
      <c r="A65" s="19" t="s">
        <v>95</v>
      </c>
      <c r="B65" s="12" t="s">
        <v>37</v>
      </c>
      <c r="C65" s="12">
        <f>C64/B64-1</f>
        <v>0.0511283497884345</v>
      </c>
      <c r="D65" s="12">
        <f>D64/C64-1</f>
        <v>0.034887621603488794</v>
      </c>
      <c r="E65" s="12">
        <f>E64/D64-1</f>
        <v>-0.011345218800648316</v>
      </c>
      <c r="F65" s="12" t="s">
        <v>37</v>
      </c>
      <c r="G65" s="12">
        <f>G64/E64-1</f>
        <v>-0.005901639344262244</v>
      </c>
      <c r="H65" s="12">
        <f>H64/G64-1</f>
        <v>0.11279683377308714</v>
      </c>
      <c r="I65" s="35">
        <f>I64/H64-1</f>
        <v>0.04025489419083539</v>
      </c>
      <c r="J65" s="2"/>
      <c r="K65" s="2"/>
      <c r="L65" s="2"/>
      <c r="M65" s="2"/>
      <c r="N65" s="2"/>
      <c r="O65" s="2"/>
    </row>
    <row r="66">
      <c r="A66" s="19" t="s">
        <v>122</v>
      </c>
      <c r="B66" s="12" t="s">
        <v>37</v>
      </c>
      <c r="C66" s="12" t="s">
        <v>37</v>
      </c>
      <c r="D66" s="12" t="s">
        <v>37</v>
      </c>
      <c r="E66" s="12" t="s">
        <v>37</v>
      </c>
      <c r="F66" s="12" t="s">
        <v>37</v>
      </c>
      <c r="G66" s="12">
        <f>G64/B64-1</f>
        <v>0.06911142454160779</v>
      </c>
      <c r="H66" s="12">
        <f>H64/C64-1</f>
        <v>0.1318349547131834</v>
      </c>
      <c r="I66" s="35">
        <f>I64/D64-1</f>
        <v>0.13770502852508226</v>
      </c>
      <c r="J66" s="2"/>
      <c r="K66" s="2"/>
      <c r="L66" s="2"/>
      <c r="M66" s="2"/>
      <c r="N66" s="2"/>
      <c r="O66" s="2"/>
    </row>
    <row r="67">
      <c r="A67" s="19" t="s">
        <v>98</v>
      </c>
      <c r="B67" s="12" t="s">
        <v>37</v>
      </c>
      <c r="C67" s="12" t="s">
        <v>37</v>
      </c>
      <c r="D67" s="12" t="s">
        <v>37</v>
      </c>
      <c r="E67" s="12" t="s">
        <v>37</v>
      </c>
      <c r="F67" s="12" t="s">
        <v>37</v>
      </c>
      <c r="G67" s="22">
        <f>'Income Statement'!G139/B64</f>
        <v>0</v>
      </c>
      <c r="H67" s="22">
        <f>'Income Statement'!H139/C64</f>
        <v>0.03287487420328749</v>
      </c>
      <c r="I67" s="33">
        <f>'Income Statement'!I139/D64</f>
        <v>0.06742301458670989</v>
      </c>
      <c r="J67" s="6" t="s">
        <v>99</v>
      </c>
      <c r="K67" s="2"/>
      <c r="L67" s="2"/>
      <c r="M67" s="2"/>
      <c r="N67" s="2"/>
      <c r="O67" s="2"/>
    </row>
    <row r="68">
      <c r="A68" s="19" t="s">
        <v>100</v>
      </c>
      <c r="B68" s="12" t="s">
        <v>37</v>
      </c>
      <c r="C68" s="12" t="s">
        <v>37</v>
      </c>
      <c r="D68" s="12" t="s">
        <v>37</v>
      </c>
      <c r="E68" s="12" t="s">
        <v>37</v>
      </c>
      <c r="F68" s="12" t="s">
        <v>37</v>
      </c>
      <c r="G68" s="12" t="s">
        <v>37</v>
      </c>
      <c r="H68" s="12" t="s">
        <v>37</v>
      </c>
      <c r="I68" s="35" t="s">
        <v>37</v>
      </c>
      <c r="J68" s="6" t="s">
        <v>101</v>
      </c>
      <c r="K68" s="2"/>
      <c r="L68" s="2"/>
      <c r="M68" s="2"/>
      <c r="N68" s="2"/>
      <c r="O68" s="2"/>
    </row>
    <row r="69">
      <c r="A69" s="19" t="s">
        <v>102</v>
      </c>
      <c r="B69" s="12" t="s">
        <v>37</v>
      </c>
      <c r="C69" s="12" t="s">
        <v>37</v>
      </c>
      <c r="D69" s="12" t="s">
        <v>37</v>
      </c>
      <c r="E69" s="12" t="s">
        <v>37</v>
      </c>
      <c r="F69" s="12" t="s">
        <v>37</v>
      </c>
      <c r="G69" s="12" t="str">
        <f>IF(ISNUMBER(G68),(1+G66)/((1+G67)*(1+G68))-1,"n/a")</f>
        <v>n/a</v>
      </c>
      <c r="H69" s="12" t="str">
        <f>IF(ISNUMBER(H68),(1+H66)/((1+H67)*(1+H68))-1,"n/a")</f>
        <v>n/a</v>
      </c>
      <c r="I69" s="35" t="str">
        <f>IF(ISNUMBER(I68),(1+I66)/((1+I67)*(1+I68))-1,"n/a")</f>
        <v>n/a</v>
      </c>
      <c r="J69" s="6" t="s">
        <v>103</v>
      </c>
      <c r="K69" s="2"/>
      <c r="L69" s="2"/>
      <c r="M69" s="2"/>
      <c r="N69" s="2"/>
      <c r="O69" s="2"/>
    </row>
    <row r="70">
      <c r="A70" s="19" t="s">
        <v>104</v>
      </c>
      <c r="B70" s="12" t="s">
        <v>37</v>
      </c>
      <c r="C70" s="12" t="s">
        <v>37</v>
      </c>
      <c r="D70" s="12" t="s">
        <v>37</v>
      </c>
      <c r="E70" s="12" t="s">
        <v>37</v>
      </c>
      <c r="F70" s="12" t="s">
        <v>37</v>
      </c>
      <c r="G70" s="12">
        <f>IF(ISNUMBER(G67),G66-G67,"n/a")</f>
        <v>0.06911142454160779</v>
      </c>
      <c r="H70" s="12">
        <f>IF(ISNUMBER(H67),H66-H67,"n/a")</f>
        <v>0.09896008050989591</v>
      </c>
      <c r="I70" s="35">
        <f>IF(ISNUMBER(I67),I66-I67,"n/a")</f>
        <v>0.07028201393837237</v>
      </c>
      <c r="J70" s="2"/>
      <c r="K70" s="2"/>
      <c r="L70" s="2"/>
      <c r="M70" s="2"/>
      <c r="N70" s="2"/>
      <c r="O70" s="2"/>
    </row>
    <row r="71">
      <c r="A71" s="19" t="s">
        <v>96</v>
      </c>
      <c r="B71" s="12">
        <f>B64/B39</f>
        <v>0.4075883874676631</v>
      </c>
      <c r="C71" s="12">
        <f>C64/C39</f>
        <v>0.42561393489434607</v>
      </c>
      <c r="D71" s="12">
        <f>D64/D39</f>
        <v>0.4209305498703779</v>
      </c>
      <c r="E71" s="12">
        <f>E64/E39</f>
        <v>0.41412084181941616</v>
      </c>
      <c r="F71" s="12">
        <f>F64/F39</f>
        <v>0.41708542713567837</v>
      </c>
      <c r="G71" s="12">
        <f>G64/G39</f>
        <v>0.41602634467618005</v>
      </c>
      <c r="H71" s="12">
        <f>H64/H39</f>
        <v>0.4375</v>
      </c>
      <c r="I71" s="35">
        <f>I64/I39</f>
        <v>0.43930736472917575</v>
      </c>
      <c r="J71" s="2"/>
      <c r="K71" s="2"/>
      <c r="L71" s="2"/>
      <c r="M71" s="2"/>
      <c r="N71" s="2"/>
      <c r="O71" s="2"/>
    </row>
    <row r="72">
      <c r="A72" s="6" t="s">
        <v>124</v>
      </c>
      <c r="B72" s="23">
        <f>'Income Statement'!B125</f>
        <v>0</v>
      </c>
      <c r="C72" s="23">
        <f>'Income Statement'!C125</f>
        <v>-57</v>
      </c>
      <c r="D72" s="23">
        <f>'Income Statement'!D125</f>
        <v>-7</v>
      </c>
      <c r="E72" s="23">
        <f>'Income Statement'!E125</f>
        <v>3</v>
      </c>
      <c r="F72" s="23">
        <f>'Income Statement'!F125</f>
        <v>-61</v>
      </c>
      <c r="G72" s="23">
        <f>'Income Statement'!G125</f>
        <v>-35</v>
      </c>
      <c r="H72" s="23">
        <f>'Income Statement'!H125</f>
        <v>-49</v>
      </c>
      <c r="I72" s="49">
        <f>'Income Statement'!I125</f>
        <v>-30</v>
      </c>
      <c r="J72" s="2"/>
      <c r="K72" s="2"/>
      <c r="L72" s="2"/>
      <c r="M72" s="2"/>
      <c r="N72" s="2"/>
      <c r="O72" s="2"/>
    </row>
    <row r="73">
      <c r="A73" s="16" t="s">
        <v>34</v>
      </c>
      <c r="B73" s="15">
        <f>B56+B64+B72</f>
        <v>6958</v>
      </c>
      <c r="C73" s="15">
        <f>C56+C64+C72</f>
        <v>7004</v>
      </c>
      <c r="D73" s="15">
        <f>D56+D64+D72</f>
        <v>7329</v>
      </c>
      <c r="E73" s="15">
        <f>E56+E64+E72</f>
        <v>7365</v>
      </c>
      <c r="F73" s="15">
        <f>F56+F64+F72</f>
        <v>28656</v>
      </c>
      <c r="G73" s="15">
        <f>G56+G64+G72</f>
        <v>7288</v>
      </c>
      <c r="H73" s="15">
        <f>H56+H64+H72</f>
        <v>7712</v>
      </c>
      <c r="I73" s="38">
        <f>I56+I64+I72</f>
        <v>7989.440411871112</v>
      </c>
      <c r="J73" s="2"/>
      <c r="K73" s="2"/>
      <c r="L73" s="2"/>
      <c r="M73" s="2"/>
      <c r="N73" s="2"/>
      <c r="O73" s="2"/>
    </row>
    <row r="74">
      <c r="A74" s="26" t="s">
        <v>125</v>
      </c>
      <c r="B74" s="1">
        <f>B73-B39</f>
        <v>0</v>
      </c>
      <c r="C74" s="1">
        <f>C73-C39</f>
        <v>0</v>
      </c>
      <c r="D74" s="1">
        <f>D73-D39</f>
        <v>0</v>
      </c>
      <c r="E74" s="1">
        <f>E73-E39</f>
        <v>0</v>
      </c>
      <c r="F74" s="1">
        <f>F73-F39</f>
        <v>0</v>
      </c>
      <c r="G74" s="1">
        <f>G73-G39</f>
        <v>0</v>
      </c>
      <c r="H74" s="1">
        <f>H73-H39</f>
        <v>0</v>
      </c>
      <c r="I74" s="13">
        <f>I73-I39</f>
        <v>0</v>
      </c>
      <c r="J74" s="2"/>
      <c r="K74" s="2"/>
      <c r="L74" s="2"/>
      <c r="M74" s="2"/>
      <c r="N74" s="2"/>
      <c r="O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>
      <c r="A76" s="16" t="s">
        <v>126</v>
      </c>
      <c r="B76" s="2"/>
      <c r="C76" s="2"/>
      <c r="D76" s="2"/>
      <c r="E76" s="2"/>
      <c r="F76" s="2"/>
      <c r="G76" s="2"/>
      <c r="H76" s="2"/>
      <c r="I76" s="2"/>
      <c r="J76" s="2" t="s">
        <v>127</v>
      </c>
      <c r="K76" s="2"/>
      <c r="L76" s="2"/>
      <c r="M76" s="2"/>
      <c r="N76" s="2"/>
      <c r="O76" s="2"/>
    </row>
    <row r="77">
      <c r="A77" s="6" t="s">
        <v>128</v>
      </c>
      <c r="B77" s="23">
        <f>'Segment - WCCIB'!B27+'Segment - Consumer &amp; Business'!B39+'Segment - Payment Services'!B52+'Segment - Treasury &amp; Corp'!B18</f>
        <v>379028</v>
      </c>
      <c r="C77" s="23">
        <f>'Segment - WCCIB'!C27+'Segment - Consumer &amp; Business'!C39+'Segment - Payment Services'!C52+'Segment - Treasury &amp; Corp'!C18</f>
        <v>378529</v>
      </c>
      <c r="D77" s="23">
        <f>'Segment - WCCIB'!D27+'Segment - Consumer &amp; Business'!D39+'Segment - Payment Services'!D52+'Segment - Treasury &amp; Corp'!D18</f>
        <v>379152</v>
      </c>
      <c r="E77" s="23">
        <f>'Segment - WCCIB'!E27+'Segment - Consumer &amp; Business'!E39+'Segment - Payment Services'!E52+'Segment - Treasury &amp; Corp'!E18</f>
        <v>384285</v>
      </c>
      <c r="F77" s="23">
        <f>'Segment - WCCIB'!F27+'Segment - Consumer &amp; Business'!F39+'Segment - Payment Services'!F52+'Segment - Treasury &amp; Corp'!F18</f>
        <v>380259.89863013703</v>
      </c>
      <c r="G77" s="23">
        <f>'Segment - WCCIB'!G27+'Segment - Consumer &amp; Business'!G39+'Segment - Payment Services'!G52+'Segment - Treasury &amp; Corp'!G18</f>
        <v>393560</v>
      </c>
      <c r="H77" s="23">
        <f>'Segment - WCCIB'!H27+'Segment - Consumer &amp; Business'!H39+'Segment - Payment Services'!H52+'Segment - Treasury &amp; Corp'!H18</f>
        <v>405481</v>
      </c>
      <c r="I77" s="49">
        <f>'Segment - WCCIB'!I27+'Segment - Consumer &amp; Business'!I39+'Segment - Payment Services'!I52+'Segment - Treasury &amp; Corp'!I18</f>
        <v>412836.02860869566</v>
      </c>
      <c r="J77" s="2"/>
      <c r="K77" s="2"/>
      <c r="L77" s="2"/>
      <c r="M77" s="2"/>
      <c r="N77" s="2"/>
      <c r="O77" s="2"/>
    </row>
    <row r="78">
      <c r="A78" s="19" t="s">
        <v>122</v>
      </c>
      <c r="B78" s="12" t="s">
        <v>37</v>
      </c>
      <c r="C78" s="12" t="s">
        <v>37</v>
      </c>
      <c r="D78" s="12" t="s">
        <v>37</v>
      </c>
      <c r="E78" s="12" t="s">
        <v>37</v>
      </c>
      <c r="F78" s="12" t="s">
        <v>37</v>
      </c>
      <c r="G78" s="12">
        <f>G77/B77-1</f>
        <v>0.038340175396012866</v>
      </c>
      <c r="H78" s="12">
        <f>H77/C77-1</f>
        <v>0.0712019422554151</v>
      </c>
      <c r="I78" s="35">
        <f>I77/D77-1</f>
        <v>0.08884043499360583</v>
      </c>
      <c r="J78" s="2"/>
      <c r="K78" s="2"/>
      <c r="L78" s="2"/>
      <c r="M78" s="2"/>
      <c r="N78" s="2"/>
      <c r="O78" s="2"/>
    </row>
    <row r="79">
      <c r="A79" s="19" t="s">
        <v>110</v>
      </c>
      <c r="B79" s="1" t="s">
        <v>37</v>
      </c>
      <c r="C79" s="1">
        <f>IF(AND(ISNUMBER(C77),ISNUMBER(B77)),C77-B77,"n/a")</f>
        <v>-499</v>
      </c>
      <c r="D79" s="1">
        <f>IF(AND(ISNUMBER(D77),ISNUMBER(C77)),D77-C77,"n/a")</f>
        <v>623</v>
      </c>
      <c r="E79" s="1">
        <f>IF(AND(ISNUMBER(E77),ISNUMBER(D77)),E77-D77,"n/a")</f>
        <v>5133</v>
      </c>
      <c r="F79" s="1" t="s">
        <v>37</v>
      </c>
      <c r="G79" s="1">
        <f>IF(AND(ISNUMBER(G77),ISNUMBER(E77)),G77-E77,"n/a")</f>
        <v>9275</v>
      </c>
      <c r="H79" s="1">
        <f>IF(AND(ISNUMBER(H77),ISNUMBER(G77)),H77-G77,"n/a")</f>
        <v>11921</v>
      </c>
      <c r="I79" s="13">
        <f>IF(AND(ISNUMBER(I77),ISNUMBER(H77)),I77-H77,"n/a")</f>
        <v>7355.028608695662</v>
      </c>
      <c r="J79" s="2"/>
      <c r="K79" s="2"/>
      <c r="L79" s="2"/>
      <c r="M79" s="2"/>
      <c r="N79" s="2"/>
      <c r="O79" s="2"/>
    </row>
    <row r="80">
      <c r="A80" s="19" t="s">
        <v>129</v>
      </c>
      <c r="B80" s="10">
        <v>379028</v>
      </c>
      <c r="C80" s="10">
        <v>378529</v>
      </c>
      <c r="D80" s="10">
        <v>379152</v>
      </c>
      <c r="E80" s="10">
        <v>384285</v>
      </c>
      <c r="F80" s="1">
        <f>SUMPRODUCT(B80:E80,B$7:E$7)/F$7</f>
        <v>380259.898630137</v>
      </c>
      <c r="G80" s="10">
        <v>393560</v>
      </c>
      <c r="H80" s="10">
        <v>405481</v>
      </c>
      <c r="I80" s="13" t="s">
        <v>37</v>
      </c>
      <c r="J80" s="2"/>
      <c r="K80" s="2"/>
      <c r="L80" s="2"/>
      <c r="M80" s="2"/>
      <c r="N80" s="2"/>
      <c r="O80" s="2"/>
    </row>
    <row r="81">
      <c r="A81" s="26" t="s">
        <v>130</v>
      </c>
      <c r="B81" s="1">
        <f>B77-B80</f>
        <v>0</v>
      </c>
      <c r="C81" s="1">
        <f>C77-C80</f>
        <v>0</v>
      </c>
      <c r="D81" s="1">
        <f>D77-D80</f>
        <v>0</v>
      </c>
      <c r="E81" s="1">
        <f>E77-E80</f>
        <v>0</v>
      </c>
      <c r="F81" s="2"/>
      <c r="G81" s="1">
        <f>G77-G80</f>
        <v>0</v>
      </c>
      <c r="H81" s="1">
        <f>H77-H80</f>
        <v>0</v>
      </c>
      <c r="I81" s="2"/>
      <c r="J81" s="2"/>
      <c r="K81" s="2"/>
      <c r="L81" s="2"/>
      <c r="M81" s="2"/>
      <c r="N81" s="2"/>
      <c r="O81" s="2"/>
    </row>
    <row r="82">
      <c r="A82" s="6" t="s">
        <v>131</v>
      </c>
      <c r="B82" s="23">
        <f>'Segment - WCCIB'!B34+'Segment - Consumer &amp; Business'!B46+'Segment - Payment Services'!B59+'Segment - Treasury &amp; Corp'!B25</f>
        <v>610230</v>
      </c>
      <c r="C82" s="23">
        <f>'Segment - WCCIB'!C34+'Segment - Consumer &amp; Business'!C46+'Segment - Payment Services'!C59+'Segment - Treasury &amp; Corp'!C25</f>
        <v>613342</v>
      </c>
      <c r="D82" s="23">
        <f>'Segment - WCCIB'!D34+'Segment - Consumer &amp; Business'!D46+'Segment - Payment Services'!D59+'Segment - Treasury &amp; Corp'!D25</f>
        <v>617517</v>
      </c>
      <c r="E82" s="23">
        <f>'Segment - WCCIB'!E34+'Segment - Consumer &amp; Business'!E46+'Segment - Payment Services'!E59+'Segment - Treasury &amp; Corp'!E25</f>
        <v>620217</v>
      </c>
      <c r="F82" s="23">
        <f>'Segment - WCCIB'!F34+'Segment - Consumer &amp; Business'!F46+'Segment - Payment Services'!F59+'Segment - Treasury &amp; Corp'!F25</f>
        <v>615359.8630136986</v>
      </c>
      <c r="G82" s="23">
        <f>'Segment - WCCIB'!G34+'Segment - Consumer &amp; Business'!G46+'Segment - Payment Services'!G59+'Segment - Treasury &amp; Corp'!G25</f>
        <v>624162</v>
      </c>
      <c r="H82" s="23">
        <f>'Segment - WCCIB'!H34+'Segment - Consumer &amp; Business'!H46+'Segment - Payment Services'!H59+'Segment - Treasury &amp; Corp'!H25</f>
        <v>629001</v>
      </c>
      <c r="I82" s="49">
        <f>'Segment - WCCIB'!I34+'Segment - Consumer &amp; Business'!I46+'Segment - Payment Services'!I59+'Segment - Treasury &amp; Corp'!I25</f>
        <v>635332.2736086957</v>
      </c>
      <c r="J82" s="2"/>
      <c r="K82" s="2"/>
      <c r="L82" s="2"/>
      <c r="M82" s="2"/>
      <c r="N82" s="2"/>
      <c r="O82" s="2"/>
    </row>
    <row r="83">
      <c r="A83" s="19" t="s">
        <v>122</v>
      </c>
      <c r="B83" s="12" t="s">
        <v>37</v>
      </c>
      <c r="C83" s="12" t="s">
        <v>37</v>
      </c>
      <c r="D83" s="12" t="s">
        <v>37</v>
      </c>
      <c r="E83" s="12" t="s">
        <v>37</v>
      </c>
      <c r="F83" s="12" t="s">
        <v>37</v>
      </c>
      <c r="G83" s="12">
        <f>G82/B82-1</f>
        <v>0.022830735952018122</v>
      </c>
      <c r="H83" s="12">
        <f>H82/C82-1</f>
        <v>0.025530617502143915</v>
      </c>
      <c r="I83" s="35">
        <f>I82/D82-1</f>
        <v>0.02884985127323736</v>
      </c>
      <c r="J83" s="2"/>
      <c r="K83" s="2"/>
      <c r="L83" s="2"/>
      <c r="M83" s="2"/>
      <c r="N83" s="2"/>
      <c r="O83" s="2"/>
    </row>
    <row r="84">
      <c r="A84" s="19" t="s">
        <v>110</v>
      </c>
      <c r="B84" s="1" t="s">
        <v>37</v>
      </c>
      <c r="C84" s="1">
        <f>IF(AND(ISNUMBER(C82),ISNUMBER(B82)),C82-B82,"n/a")</f>
        <v>3112</v>
      </c>
      <c r="D84" s="1">
        <f>IF(AND(ISNUMBER(D82),ISNUMBER(C82)),D82-C82,"n/a")</f>
        <v>4175</v>
      </c>
      <c r="E84" s="1">
        <f>IF(AND(ISNUMBER(E82),ISNUMBER(D82)),E82-D82,"n/a")</f>
        <v>2700</v>
      </c>
      <c r="F84" s="1" t="s">
        <v>37</v>
      </c>
      <c r="G84" s="1">
        <f>IF(AND(ISNUMBER(G82),ISNUMBER(E82)),G82-E82,"n/a")</f>
        <v>3945</v>
      </c>
      <c r="H84" s="1">
        <f>IF(AND(ISNUMBER(H82),ISNUMBER(G82)),H82-G82,"n/a")</f>
        <v>4839</v>
      </c>
      <c r="I84" s="13">
        <f>IF(AND(ISNUMBER(I82),ISNUMBER(H82)),I82-H82,"n/a")</f>
        <v>6331.273608695716</v>
      </c>
      <c r="J84" s="2"/>
      <c r="K84" s="2"/>
      <c r="L84" s="2"/>
      <c r="M84" s="2"/>
      <c r="N84" s="2"/>
      <c r="O84" s="2"/>
    </row>
    <row r="85">
      <c r="A85" s="19" t="s">
        <v>132</v>
      </c>
      <c r="B85" s="10">
        <v>610230</v>
      </c>
      <c r="C85" s="10">
        <v>613342</v>
      </c>
      <c r="D85" s="10">
        <v>617517</v>
      </c>
      <c r="E85" s="10">
        <v>620217</v>
      </c>
      <c r="F85" s="1">
        <f>SUMPRODUCT(B85:E85,B$7:E$7)/F$7</f>
        <v>615359.8630136986</v>
      </c>
      <c r="G85" s="10">
        <v>624162</v>
      </c>
      <c r="H85" s="10">
        <v>629001</v>
      </c>
      <c r="I85" s="13" t="s">
        <v>37</v>
      </c>
      <c r="J85" s="2"/>
      <c r="K85" s="2"/>
      <c r="L85" s="2"/>
      <c r="M85" s="2"/>
      <c r="N85" s="2"/>
      <c r="O85" s="2"/>
    </row>
    <row r="86">
      <c r="A86" s="26" t="s">
        <v>130</v>
      </c>
      <c r="B86" s="1">
        <f>B82-B85</f>
        <v>0</v>
      </c>
      <c r="C86" s="1">
        <f>C82-C85</f>
        <v>0</v>
      </c>
      <c r="D86" s="1">
        <f>D82-D85</f>
        <v>0</v>
      </c>
      <c r="E86" s="1">
        <f>E82-E85</f>
        <v>0</v>
      </c>
      <c r="F86" s="2"/>
      <c r="G86" s="1">
        <f>G82-G85</f>
        <v>0</v>
      </c>
      <c r="H86" s="1">
        <f>H82-H85</f>
        <v>0</v>
      </c>
      <c r="I86" s="2"/>
      <c r="J86" s="2"/>
      <c r="K86" s="2"/>
      <c r="L86" s="2"/>
      <c r="M86" s="2"/>
      <c r="N86" s="2"/>
      <c r="O86" s="2"/>
    </row>
    <row r="87">
      <c r="A87" s="6" t="s">
        <v>133</v>
      </c>
      <c r="B87" s="23">
        <f>'Segment - WCCIB'!B56+'Segment - Consumer &amp; Business'!B68+'Segment - Payment Services'!B80+'Segment - Treasury &amp; Corp'!B32</f>
        <v>426838</v>
      </c>
      <c r="C87" s="23">
        <f>'Segment - WCCIB'!C56+'Segment - Consumer &amp; Business'!C68+'Segment - Payment Services'!C80+'Segment - Treasury &amp; Corp'!C32</f>
        <v>423773</v>
      </c>
      <c r="D87" s="23">
        <f>'Segment - WCCIB'!D56+'Segment - Consumer &amp; Business'!D68+'Segment - Payment Services'!D80+'Segment - Treasury &amp; Corp'!D32</f>
        <v>431892</v>
      </c>
      <c r="E87" s="23">
        <f>'Segment - WCCIB'!E56+'Segment - Consumer &amp; Business'!E68+'Segment - Payment Services'!E80+'Segment - Treasury &amp; Corp'!E32</f>
        <v>431847</v>
      </c>
      <c r="F87" s="23">
        <f>'Segment - WCCIB'!F56+'Segment - Consumer &amp; Business'!F68+'Segment - Payment Services'!F80+'Segment - Treasury &amp; Corp'!F32</f>
        <v>428610.2767123288</v>
      </c>
      <c r="G87" s="23">
        <f>'Segment - WCCIB'!G56+'Segment - Consumer &amp; Business'!G68+'Segment - Payment Services'!G80+'Segment - Treasury &amp; Corp'!G32</f>
        <v>434491</v>
      </c>
      <c r="H87" s="23">
        <f>'Segment - WCCIB'!H56+'Segment - Consumer &amp; Business'!H68+'Segment - Payment Services'!H80+'Segment - Treasury &amp; Corp'!H32</f>
        <v>434469</v>
      </c>
      <c r="I87" s="49">
        <f>'Segment - WCCIB'!I56+'Segment - Consumer &amp; Business'!I68+'Segment - Payment Services'!I80+'Segment - Treasury &amp; Corp'!I32</f>
        <v>442117.7</v>
      </c>
      <c r="J87" s="2"/>
      <c r="K87" s="2"/>
      <c r="L87" s="2"/>
      <c r="M87" s="2"/>
      <c r="N87" s="2"/>
      <c r="O87" s="2"/>
    </row>
    <row r="88">
      <c r="A88" s="19" t="s">
        <v>122</v>
      </c>
      <c r="B88" s="12" t="s">
        <v>37</v>
      </c>
      <c r="C88" s="12" t="s">
        <v>37</v>
      </c>
      <c r="D88" s="12" t="s">
        <v>37</v>
      </c>
      <c r="E88" s="12" t="s">
        <v>37</v>
      </c>
      <c r="F88" s="12" t="s">
        <v>37</v>
      </c>
      <c r="G88" s="12">
        <f>G87/B87-1</f>
        <v>0.017929518927555677</v>
      </c>
      <c r="H88" s="12">
        <f>H87/C87-1</f>
        <v>0.02523992798031016</v>
      </c>
      <c r="I88" s="35">
        <f>I87/D87-1</f>
        <v>0.023676520982097493</v>
      </c>
      <c r="J88" s="2"/>
      <c r="K88" s="2"/>
      <c r="L88" s="2"/>
      <c r="M88" s="2"/>
      <c r="N88" s="2"/>
      <c r="O88" s="2"/>
    </row>
    <row r="89">
      <c r="A89" s="19" t="s">
        <v>110</v>
      </c>
      <c r="B89" s="1" t="s">
        <v>37</v>
      </c>
      <c r="C89" s="1">
        <f>IF(AND(ISNUMBER(C87),ISNUMBER(B87)),C87-B87,"n/a")</f>
        <v>-3065</v>
      </c>
      <c r="D89" s="1">
        <f>IF(AND(ISNUMBER(D87),ISNUMBER(C87)),D87-C87,"n/a")</f>
        <v>8119</v>
      </c>
      <c r="E89" s="1">
        <f>IF(AND(ISNUMBER(E87),ISNUMBER(D87)),E87-D87,"n/a")</f>
        <v>-45</v>
      </c>
      <c r="F89" s="1" t="s">
        <v>37</v>
      </c>
      <c r="G89" s="1">
        <f>IF(AND(ISNUMBER(G87),ISNUMBER(E87)),G87-E87,"n/a")</f>
        <v>2644</v>
      </c>
      <c r="H89" s="1">
        <f>IF(AND(ISNUMBER(H87),ISNUMBER(G87)),H87-G87,"n/a")</f>
        <v>-22</v>
      </c>
      <c r="I89" s="13">
        <f>IF(AND(ISNUMBER(I87),ISNUMBER(H87)),I87-H87,"n/a")</f>
        <v>7648.700000000012</v>
      </c>
      <c r="J89" s="2"/>
      <c r="K89" s="2"/>
      <c r="L89" s="2"/>
      <c r="M89" s="2"/>
      <c r="N89" s="2"/>
      <c r="O89" s="2"/>
    </row>
    <row r="90">
      <c r="A90" s="19" t="s">
        <v>134</v>
      </c>
      <c r="B90" s="10">
        <v>426838</v>
      </c>
      <c r="C90" s="10">
        <v>423773</v>
      </c>
      <c r="D90" s="10">
        <v>431892</v>
      </c>
      <c r="E90" s="10">
        <v>431847</v>
      </c>
      <c r="F90" s="1">
        <f>SUMPRODUCT(B90:E90,B$7:E$7)/F$7</f>
        <v>428610.2767123288</v>
      </c>
      <c r="G90" s="10">
        <v>434491</v>
      </c>
      <c r="H90" s="10">
        <v>434469</v>
      </c>
      <c r="I90" s="13" t="s">
        <v>37</v>
      </c>
      <c r="J90" s="2"/>
      <c r="K90" s="2"/>
      <c r="L90" s="2"/>
      <c r="M90" s="2"/>
      <c r="N90" s="2"/>
      <c r="O90" s="2"/>
    </row>
    <row r="91">
      <c r="A91" s="26" t="s">
        <v>130</v>
      </c>
      <c r="B91" s="1">
        <f>B87-B90</f>
        <v>0</v>
      </c>
      <c r="C91" s="1">
        <f>C87-C90</f>
        <v>0</v>
      </c>
      <c r="D91" s="1">
        <f>D87-D90</f>
        <v>0</v>
      </c>
      <c r="E91" s="1">
        <f>E87-E90</f>
        <v>0</v>
      </c>
      <c r="F91" s="2"/>
      <c r="G91" s="1">
        <f>G87-G90</f>
        <v>0</v>
      </c>
      <c r="H91" s="1">
        <f>H87-H90</f>
        <v>0</v>
      </c>
      <c r="I91" s="2"/>
      <c r="J91" s="2"/>
      <c r="K91" s="2"/>
      <c r="L91" s="2"/>
      <c r="M91" s="2"/>
      <c r="N91" s="2"/>
      <c r="O91" s="2"/>
    </row>
    <row r="92">
      <c r="A92" s="6" t="s">
        <v>135</v>
      </c>
      <c r="B92" s="23">
        <f>'Segment - WCCIB'!B53+'Segment - Consumer &amp; Business'!B65+'Segment - Payment Services'!B77+'Segment - Treasury &amp; Corp'!B36</f>
        <v>506534</v>
      </c>
      <c r="C92" s="23">
        <f>'Segment - WCCIB'!C53+'Segment - Consumer &amp; Business'!C65+'Segment - Payment Services'!C77+'Segment - Treasury &amp; Corp'!C36</f>
        <v>502890</v>
      </c>
      <c r="D92" s="23">
        <f>'Segment - WCCIB'!D53+'Segment - Consumer &amp; Business'!D65+'Segment - Payment Services'!D77+'Segment - Treasury &amp; Corp'!D36</f>
        <v>511782</v>
      </c>
      <c r="E92" s="23">
        <f>'Segment - WCCIB'!E53+'Segment - Consumer &amp; Business'!E65+'Segment - Payment Services'!E77+'Segment - Treasury &amp; Corp'!E36</f>
        <v>515142</v>
      </c>
      <c r="F92" s="23">
        <f>'Segment - WCCIB'!F53+'Segment - Consumer &amp; Business'!F65+'Segment - Payment Services'!F77+'Segment - Treasury &amp; Corp'!F36</f>
        <v>509117.9671232877</v>
      </c>
      <c r="G92" s="23">
        <f>'Segment - WCCIB'!G53+'Segment - Consumer &amp; Business'!G65+'Segment - Payment Services'!G77+'Segment - Treasury &amp; Corp'!G36</f>
        <v>515119</v>
      </c>
      <c r="H92" s="23">
        <f>'Segment - WCCIB'!H53+'Segment - Consumer &amp; Business'!H65+'Segment - Payment Services'!H77+'Segment - Treasury &amp; Corp'!H36</f>
        <v>515080</v>
      </c>
      <c r="I92" s="49">
        <f>'Segment - WCCIB'!I53+'Segment - Consumer &amp; Business'!I65+'Segment - Payment Services'!I77+'Segment - Treasury &amp; Corp'!I36</f>
        <v>523783.17500000005</v>
      </c>
      <c r="J92" s="2"/>
      <c r="K92" s="2"/>
      <c r="L92" s="2"/>
      <c r="M92" s="2"/>
      <c r="N92" s="2"/>
      <c r="O92" s="2"/>
    </row>
    <row r="93">
      <c r="A93" s="19" t="s">
        <v>122</v>
      </c>
      <c r="B93" s="12" t="s">
        <v>37</v>
      </c>
      <c r="C93" s="12" t="s">
        <v>37</v>
      </c>
      <c r="D93" s="12" t="s">
        <v>37</v>
      </c>
      <c r="E93" s="12" t="s">
        <v>37</v>
      </c>
      <c r="F93" s="12" t="s">
        <v>37</v>
      </c>
      <c r="G93" s="12">
        <f>G92/B92-1</f>
        <v>0.016948516782683942</v>
      </c>
      <c r="H93" s="12">
        <f>H92/C92-1</f>
        <v>0.024239893416055258</v>
      </c>
      <c r="I93" s="35">
        <f>I92/D92-1</f>
        <v>0.02344977939825954</v>
      </c>
      <c r="J93" s="2"/>
      <c r="K93" s="2"/>
      <c r="L93" s="2"/>
      <c r="M93" s="2"/>
      <c r="N93" s="2"/>
      <c r="O93" s="2"/>
    </row>
    <row r="94">
      <c r="A94" s="19" t="s">
        <v>110</v>
      </c>
      <c r="B94" s="1" t="s">
        <v>37</v>
      </c>
      <c r="C94" s="1">
        <f>IF(AND(ISNUMBER(C92),ISNUMBER(B92)),C92-B92,"n/a")</f>
        <v>-3644</v>
      </c>
      <c r="D94" s="1">
        <f>IF(AND(ISNUMBER(D92),ISNUMBER(C92)),D92-C92,"n/a")</f>
        <v>8892</v>
      </c>
      <c r="E94" s="1">
        <f>IF(AND(ISNUMBER(E92),ISNUMBER(D92)),E92-D92,"n/a")</f>
        <v>3360</v>
      </c>
      <c r="F94" s="1" t="s">
        <v>37</v>
      </c>
      <c r="G94" s="1">
        <f>IF(AND(ISNUMBER(G92),ISNUMBER(E92)),G92-E92,"n/a")</f>
        <v>-23</v>
      </c>
      <c r="H94" s="1">
        <f>IF(AND(ISNUMBER(H92),ISNUMBER(G92)),H92-G92,"n/a")</f>
        <v>-39</v>
      </c>
      <c r="I94" s="13">
        <f>IF(AND(ISNUMBER(I92),ISNUMBER(H92)),I92-H92,"n/a")</f>
        <v>8703.175000000047</v>
      </c>
      <c r="J94" s="2"/>
      <c r="K94" s="2"/>
      <c r="L94" s="2"/>
      <c r="M94" s="2"/>
      <c r="N94" s="2"/>
      <c r="O94" s="2"/>
    </row>
    <row r="95">
      <c r="A95" s="19" t="s">
        <v>136</v>
      </c>
      <c r="B95" s="10">
        <v>506534</v>
      </c>
      <c r="C95" s="10">
        <v>502890</v>
      </c>
      <c r="D95" s="10">
        <v>511782</v>
      </c>
      <c r="E95" s="10">
        <v>515142</v>
      </c>
      <c r="F95" s="1">
        <f>SUMPRODUCT(B95:E95,B$7:E$7)/F$7</f>
        <v>509117.9671232877</v>
      </c>
      <c r="G95" s="10">
        <v>515119</v>
      </c>
      <c r="H95" s="10">
        <v>515080</v>
      </c>
      <c r="I95" s="13" t="s">
        <v>37</v>
      </c>
      <c r="J95" s="2"/>
      <c r="K95" s="2"/>
      <c r="L95" s="2"/>
      <c r="M95" s="2"/>
      <c r="N95" s="2"/>
      <c r="O95" s="2"/>
    </row>
    <row r="96">
      <c r="A96" s="26" t="s">
        <v>130</v>
      </c>
      <c r="B96" s="1">
        <f>B92-B95</f>
        <v>0</v>
      </c>
      <c r="C96" s="1">
        <f>C92-C95</f>
        <v>0</v>
      </c>
      <c r="D96" s="1">
        <f>D92-D95</f>
        <v>0</v>
      </c>
      <c r="E96" s="1">
        <f>E92-E95</f>
        <v>0</v>
      </c>
      <c r="F96" s="2"/>
      <c r="G96" s="1">
        <f>G92-G95</f>
        <v>0</v>
      </c>
      <c r="H96" s="1">
        <f>H92-H95</f>
        <v>0</v>
      </c>
      <c r="I96" s="2"/>
      <c r="J96" s="2"/>
      <c r="K96" s="2"/>
      <c r="L96" s="2"/>
      <c r="M96" s="2"/>
      <c r="N96" s="2"/>
      <c r="O96" s="2"/>
    </row>
    <row r="97">
      <c r="A97" s="6" t="s">
        <v>137</v>
      </c>
      <c r="B97" s="8">
        <v>171178</v>
      </c>
      <c r="C97" s="8">
        <v>172841</v>
      </c>
      <c r="D97" s="8">
        <v>173423</v>
      </c>
      <c r="E97" s="8">
        <v>172039</v>
      </c>
      <c r="F97" s="3">
        <f>SUMPRODUCT(B97:E97,B$7:E$7)/F$7</f>
        <v>172375.49315068492</v>
      </c>
      <c r="G97" s="8">
        <v>171471</v>
      </c>
      <c r="H97" s="8">
        <v>170528</v>
      </c>
      <c r="I97" s="46">
        <f>H97*(1+I98)</f>
        <v>168993.248</v>
      </c>
      <c r="J97" s="2"/>
      <c r="K97" s="2"/>
      <c r="L97" s="2"/>
      <c r="M97" s="2"/>
      <c r="N97" s="2"/>
      <c r="O97" s="2"/>
    </row>
    <row r="98">
      <c r="A98" s="19" t="s">
        <v>95</v>
      </c>
      <c r="B98" s="12" t="s">
        <v>37</v>
      </c>
      <c r="C98" s="12">
        <f>C97/B97-1</f>
        <v>0.00971503347392777</v>
      </c>
      <c r="D98" s="12">
        <f>D97/C97-1</f>
        <v>0.0033672566115678926</v>
      </c>
      <c r="E98" s="12">
        <f>E97/D97-1</f>
        <v>-0.007980487017292925</v>
      </c>
      <c r="F98" s="12" t="s">
        <v>37</v>
      </c>
      <c r="G98" s="12">
        <f>G97/E97-1</f>
        <v>-0.0033015769680130314</v>
      </c>
      <c r="H98" s="12">
        <f>H97/G97-1</f>
        <v>-0.00549947221396041</v>
      </c>
      <c r="I98" s="60">
        <v>-0.009</v>
      </c>
      <c r="J98" s="6" t="s">
        <v>138</v>
      </c>
      <c r="K98" s="2"/>
      <c r="L98" s="2"/>
      <c r="M98" s="2"/>
      <c r="N98" s="2"/>
      <c r="O98" s="2"/>
    </row>
    <row r="99">
      <c r="A99" s="19" t="s">
        <v>122</v>
      </c>
      <c r="B99" s="12" t="s">
        <v>37</v>
      </c>
      <c r="C99" s="12" t="s">
        <v>37</v>
      </c>
      <c r="D99" s="12" t="s">
        <v>37</v>
      </c>
      <c r="E99" s="12" t="s">
        <v>37</v>
      </c>
      <c r="F99" s="12" t="s">
        <v>37</v>
      </c>
      <c r="G99" s="12">
        <f>G97/B97-1</f>
        <v>0.0017116685555387257</v>
      </c>
      <c r="H99" s="12">
        <f>H97/C97-1</f>
        <v>-0.013382241482055801</v>
      </c>
      <c r="I99" s="35">
        <f>I97/D97-1</f>
        <v>-0.025543047923285878</v>
      </c>
      <c r="J99" s="2"/>
      <c r="K99" s="2"/>
      <c r="L99" s="2"/>
      <c r="M99" s="2"/>
      <c r="N99" s="2"/>
      <c r="O99" s="2"/>
    </row>
    <row r="100">
      <c r="A100" s="19" t="s">
        <v>110</v>
      </c>
      <c r="B100" s="1" t="s">
        <v>37</v>
      </c>
      <c r="C100" s="1">
        <f>IF(AND(ISNUMBER(C97),ISNUMBER(B97)),C97-B97,"n/a")</f>
        <v>1663</v>
      </c>
      <c r="D100" s="1">
        <f>IF(AND(ISNUMBER(D97),ISNUMBER(C97)),D97-C97,"n/a")</f>
        <v>582</v>
      </c>
      <c r="E100" s="1">
        <f>IF(AND(ISNUMBER(E97),ISNUMBER(D97)),E97-D97,"n/a")</f>
        <v>-1384</v>
      </c>
      <c r="F100" s="1" t="s">
        <v>37</v>
      </c>
      <c r="G100" s="1">
        <f>IF(AND(ISNUMBER(G97),ISNUMBER(E97)),G97-E97,"n/a")</f>
        <v>-568</v>
      </c>
      <c r="H100" s="1">
        <f>IF(AND(ISNUMBER(H97),ISNUMBER(G97)),H97-G97,"n/a")</f>
        <v>-943</v>
      </c>
      <c r="I100" s="13">
        <f>IF(AND(ISNUMBER(I97),ISNUMBER(H97)),I97-H97,"n/a")</f>
        <v>-1534.7520000000077</v>
      </c>
      <c r="J100" s="2"/>
      <c r="K100" s="2"/>
      <c r="L100" s="2"/>
      <c r="M100" s="2"/>
      <c r="N100" s="2"/>
      <c r="O100" s="2"/>
    </row>
    <row r="101">
      <c r="A101" s="6" t="s">
        <v>139</v>
      </c>
      <c r="B101" s="8">
        <v>1823</v>
      </c>
      <c r="C101" s="8">
        <v>4843</v>
      </c>
      <c r="D101" s="8">
        <v>2253</v>
      </c>
      <c r="E101" s="8">
        <v>2775</v>
      </c>
      <c r="F101" s="3">
        <f>SUMPRODUCT(B101:E101,B$7:E$7)/F$7</f>
        <v>2924.2712328767125</v>
      </c>
      <c r="G101" s="8">
        <v>2326</v>
      </c>
      <c r="H101" s="8">
        <v>2783</v>
      </c>
      <c r="I101" s="46">
        <f>H101*(1+I102)</f>
        <v>2894.32</v>
      </c>
      <c r="J101" s="2"/>
      <c r="K101" s="2"/>
      <c r="L101" s="2"/>
      <c r="M101" s="2"/>
      <c r="N101" s="2"/>
      <c r="O101" s="2"/>
    </row>
    <row r="102">
      <c r="A102" s="19" t="s">
        <v>95</v>
      </c>
      <c r="B102" s="12" t="s">
        <v>37</v>
      </c>
      <c r="C102" s="12">
        <f>C101/B101-1</f>
        <v>1.6566099835436092</v>
      </c>
      <c r="D102" s="12">
        <f>D101/C101-1</f>
        <v>-0.5347924839975222</v>
      </c>
      <c r="E102" s="12">
        <f>E101/D101-1</f>
        <v>0.2316910785619175</v>
      </c>
      <c r="F102" s="12" t="s">
        <v>37</v>
      </c>
      <c r="G102" s="12">
        <f>G101/E101-1</f>
        <v>-0.16180180180180181</v>
      </c>
      <c r="H102" s="12">
        <f>H101/G101-1</f>
        <v>0.19647463456577818</v>
      </c>
      <c r="I102" s="60">
        <v>0.04</v>
      </c>
      <c r="J102" s="6" t="s">
        <v>138</v>
      </c>
      <c r="K102" s="2"/>
      <c r="L102" s="2"/>
      <c r="M102" s="2"/>
      <c r="N102" s="2"/>
      <c r="O102" s="2"/>
    </row>
    <row r="103">
      <c r="A103" s="19" t="s">
        <v>122</v>
      </c>
      <c r="B103" s="12" t="s">
        <v>37</v>
      </c>
      <c r="C103" s="12" t="s">
        <v>37</v>
      </c>
      <c r="D103" s="12" t="s">
        <v>37</v>
      </c>
      <c r="E103" s="12" t="s">
        <v>37</v>
      </c>
      <c r="F103" s="12" t="s">
        <v>37</v>
      </c>
      <c r="G103" s="12">
        <f>G101/B101-1</f>
        <v>0.27591881513987926</v>
      </c>
      <c r="H103" s="12">
        <f>H101/C101-1</f>
        <v>-0.4253561841833574</v>
      </c>
      <c r="I103" s="35">
        <f>I101/D101-1</f>
        <v>0.28465157567687527</v>
      </c>
      <c r="J103" s="2"/>
      <c r="K103" s="2"/>
      <c r="L103" s="2"/>
      <c r="M103" s="2"/>
      <c r="N103" s="2"/>
      <c r="O103" s="2"/>
    </row>
    <row r="104">
      <c r="A104" s="19" t="s">
        <v>110</v>
      </c>
      <c r="B104" s="1" t="s">
        <v>37</v>
      </c>
      <c r="C104" s="1">
        <f>IF(AND(ISNUMBER(C101),ISNUMBER(B101)),C101-B101,"n/a")</f>
        <v>3020</v>
      </c>
      <c r="D104" s="1">
        <f>IF(AND(ISNUMBER(D101),ISNUMBER(C101)),D101-C101,"n/a")</f>
        <v>-2590</v>
      </c>
      <c r="E104" s="1">
        <f>IF(AND(ISNUMBER(E101),ISNUMBER(D101)),E101-D101,"n/a")</f>
        <v>522</v>
      </c>
      <c r="F104" s="1" t="s">
        <v>37</v>
      </c>
      <c r="G104" s="1">
        <f>IF(AND(ISNUMBER(G101),ISNUMBER(E101)),G101-E101,"n/a")</f>
        <v>-449</v>
      </c>
      <c r="H104" s="1">
        <f>IF(AND(ISNUMBER(H101),ISNUMBER(G101)),H101-G101,"n/a")</f>
        <v>457</v>
      </c>
      <c r="I104" s="13">
        <f>IF(AND(ISNUMBER(I101),ISNUMBER(H101)),I101-H101,"n/a")</f>
        <v>111.32000000000016</v>
      </c>
      <c r="J104" s="2"/>
      <c r="K104" s="2"/>
      <c r="L104" s="2"/>
      <c r="M104" s="2"/>
      <c r="N104" s="2"/>
      <c r="O104" s="2"/>
    </row>
    <row r="105">
      <c r="A105" s="6" t="s">
        <v>140</v>
      </c>
      <c r="B105" s="8">
        <v>18841</v>
      </c>
      <c r="C105" s="8">
        <v>22791</v>
      </c>
      <c r="D105" s="8">
        <v>15698</v>
      </c>
      <c r="E105" s="8">
        <v>16107</v>
      </c>
      <c r="F105" s="3">
        <f>SUMPRODUCT(B105:E105,B$7:E$7)/F$7</f>
        <v>18344.468493150685</v>
      </c>
      <c r="G105" s="8">
        <v>19580</v>
      </c>
      <c r="H105" s="8">
        <v>23852</v>
      </c>
      <c r="I105" s="46">
        <f>H105*(1+I106)</f>
        <v>26952.76</v>
      </c>
      <c r="J105" s="6" t="s">
        <v>141</v>
      </c>
      <c r="K105" s="2"/>
      <c r="L105" s="2"/>
      <c r="M105" s="2"/>
      <c r="N105" s="2"/>
      <c r="O105" s="2"/>
    </row>
    <row r="106">
      <c r="A106" s="19" t="s">
        <v>95</v>
      </c>
      <c r="B106" s="12" t="s">
        <v>37</v>
      </c>
      <c r="C106" s="12">
        <f>C105/B105-1</f>
        <v>0.20964916936468336</v>
      </c>
      <c r="D106" s="12">
        <f>D105/C105-1</f>
        <v>-0.3112193409679259</v>
      </c>
      <c r="E106" s="12">
        <f>E105/D105-1</f>
        <v>0.026054274429863744</v>
      </c>
      <c r="F106" s="12" t="s">
        <v>37</v>
      </c>
      <c r="G106" s="12">
        <f>G105/E105-1</f>
        <v>0.215620537654436</v>
      </c>
      <c r="H106" s="12">
        <f>H105/G105-1</f>
        <v>0.21818181818181825</v>
      </c>
      <c r="I106" s="60">
        <v>0.13</v>
      </c>
      <c r="J106" s="6" t="s">
        <v>138</v>
      </c>
      <c r="K106" s="2"/>
      <c r="L106" s="2"/>
      <c r="M106" s="2"/>
      <c r="N106" s="2"/>
      <c r="O106" s="2"/>
    </row>
    <row r="107">
      <c r="A107" s="19" t="s">
        <v>122</v>
      </c>
      <c r="B107" s="12" t="s">
        <v>37</v>
      </c>
      <c r="C107" s="12" t="s">
        <v>37</v>
      </c>
      <c r="D107" s="12" t="s">
        <v>37</v>
      </c>
      <c r="E107" s="12" t="s">
        <v>37</v>
      </c>
      <c r="F107" s="12" t="s">
        <v>37</v>
      </c>
      <c r="G107" s="12">
        <f>G105/B105-1</f>
        <v>0.03922297117987372</v>
      </c>
      <c r="H107" s="12">
        <f>H105/C105-1</f>
        <v>0.04655346408670091</v>
      </c>
      <c r="I107" s="35">
        <f>I105/D105-1</f>
        <v>0.7169550261179767</v>
      </c>
      <c r="J107" s="2"/>
      <c r="K107" s="2"/>
      <c r="L107" s="2"/>
      <c r="M107" s="2"/>
      <c r="N107" s="2"/>
      <c r="O107" s="2"/>
    </row>
    <row r="108">
      <c r="A108" s="19" t="s">
        <v>110</v>
      </c>
      <c r="B108" s="1" t="s">
        <v>37</v>
      </c>
      <c r="C108" s="1">
        <f>IF(AND(ISNUMBER(C105),ISNUMBER(B105)),C105-B105,"n/a")</f>
        <v>3950</v>
      </c>
      <c r="D108" s="1">
        <f>IF(AND(ISNUMBER(D105),ISNUMBER(C105)),D105-C105,"n/a")</f>
        <v>-7093</v>
      </c>
      <c r="E108" s="1">
        <f>IF(AND(ISNUMBER(E105),ISNUMBER(D105)),E105-D105,"n/a")</f>
        <v>409</v>
      </c>
      <c r="F108" s="1" t="s">
        <v>37</v>
      </c>
      <c r="G108" s="1">
        <f>IF(AND(ISNUMBER(G105),ISNUMBER(E105)),G105-E105,"n/a")</f>
        <v>3473</v>
      </c>
      <c r="H108" s="1">
        <f>IF(AND(ISNUMBER(H105),ISNUMBER(G105)),H105-G105,"n/a")</f>
        <v>4272</v>
      </c>
      <c r="I108" s="13">
        <f>IF(AND(ISNUMBER(I105),ISNUMBER(H105)),I105-H105,"n/a")</f>
        <v>3100.7599999999984</v>
      </c>
      <c r="J108" s="2"/>
      <c r="K108" s="2"/>
      <c r="L108" s="2"/>
      <c r="M108" s="2"/>
      <c r="N108" s="2"/>
      <c r="O108" s="2"/>
    </row>
    <row r="109">
      <c r="A109" s="6" t="s">
        <v>142</v>
      </c>
      <c r="B109" s="8">
        <v>58344</v>
      </c>
      <c r="C109" s="8">
        <v>62354</v>
      </c>
      <c r="D109" s="8">
        <v>63329</v>
      </c>
      <c r="E109" s="8">
        <v>61424</v>
      </c>
      <c r="F109" s="3">
        <f>SUMPRODUCT(B109:E109,B$7:E$7)/F$7</f>
        <v>61376.57534246575</v>
      </c>
      <c r="G109" s="8">
        <v>61507</v>
      </c>
      <c r="H109" s="8">
        <v>61589</v>
      </c>
      <c r="I109" s="46">
        <f>H109*(1+I110)</f>
        <v>59741.33</v>
      </c>
      <c r="J109" s="2"/>
      <c r="K109" s="2"/>
      <c r="L109" s="2"/>
      <c r="M109" s="2"/>
      <c r="N109" s="2"/>
      <c r="O109" s="2"/>
    </row>
    <row r="110">
      <c r="A110" s="19" t="s">
        <v>95</v>
      </c>
      <c r="B110" s="12" t="s">
        <v>37</v>
      </c>
      <c r="C110" s="12">
        <f>C109/B109-1</f>
        <v>0.06873028931852465</v>
      </c>
      <c r="D110" s="12">
        <f>D109/C109-1</f>
        <v>0.015636526926901206</v>
      </c>
      <c r="E110" s="12">
        <f>E109/D109-1</f>
        <v>-0.030081005542484496</v>
      </c>
      <c r="F110" s="12" t="s">
        <v>37</v>
      </c>
      <c r="G110" s="12">
        <f>G109/E109-1</f>
        <v>0.0013512633498307114</v>
      </c>
      <c r="H110" s="12">
        <f>H109/G109-1</f>
        <v>0.001333181589087351</v>
      </c>
      <c r="I110" s="60">
        <v>-0.03</v>
      </c>
      <c r="J110" s="6" t="s">
        <v>138</v>
      </c>
      <c r="K110" s="2"/>
      <c r="L110" s="2"/>
      <c r="M110" s="2"/>
      <c r="N110" s="2"/>
      <c r="O110" s="2"/>
    </row>
    <row r="111">
      <c r="A111" s="19" t="s">
        <v>122</v>
      </c>
      <c r="B111" s="12" t="s">
        <v>37</v>
      </c>
      <c r="C111" s="12" t="s">
        <v>37</v>
      </c>
      <c r="D111" s="12" t="s">
        <v>37</v>
      </c>
      <c r="E111" s="12" t="s">
        <v>37</v>
      </c>
      <c r="F111" s="12" t="s">
        <v>37</v>
      </c>
      <c r="G111" s="12">
        <f>G109/B109-1</f>
        <v>0.05421294391882636</v>
      </c>
      <c r="H111" s="12">
        <f>H109/C109-1</f>
        <v>-0.012268659588799413</v>
      </c>
      <c r="I111" s="35">
        <f>I109/D109-1</f>
        <v>-0.05665129719401851</v>
      </c>
      <c r="J111" s="2"/>
      <c r="K111" s="2"/>
      <c r="L111" s="2"/>
      <c r="M111" s="2"/>
      <c r="N111" s="2"/>
      <c r="O111" s="2"/>
    </row>
    <row r="112">
      <c r="A112" s="19" t="s">
        <v>110</v>
      </c>
      <c r="B112" s="1" t="s">
        <v>37</v>
      </c>
      <c r="C112" s="1">
        <f>IF(AND(ISNUMBER(C109),ISNUMBER(B109)),C109-B109,"n/a")</f>
        <v>4010</v>
      </c>
      <c r="D112" s="1">
        <f>IF(AND(ISNUMBER(D109),ISNUMBER(C109)),D109-C109,"n/a")</f>
        <v>975</v>
      </c>
      <c r="E112" s="1">
        <f>IF(AND(ISNUMBER(E109),ISNUMBER(D109)),E109-D109,"n/a")</f>
        <v>-1905</v>
      </c>
      <c r="F112" s="1" t="s">
        <v>37</v>
      </c>
      <c r="G112" s="1">
        <f>IF(AND(ISNUMBER(G109),ISNUMBER(E109)),G109-E109,"n/a")</f>
        <v>83</v>
      </c>
      <c r="H112" s="1">
        <f>IF(AND(ISNUMBER(H109),ISNUMBER(G109)),H109-G109,"n/a")</f>
        <v>82</v>
      </c>
      <c r="I112" s="13">
        <f>IF(AND(ISNUMBER(I109),ISNUMBER(H109)),I109-H109,"n/a")</f>
        <v>-1847.6699999999983</v>
      </c>
      <c r="J112" s="2"/>
      <c r="K112" s="2"/>
      <c r="L112" s="2"/>
      <c r="M112" s="2"/>
      <c r="N112" s="2"/>
      <c r="O112" s="2"/>
    </row>
    <row r="113">
      <c r="A113" s="26" t="s">
        <v>143</v>
      </c>
      <c r="B113" s="64">
        <f>'Income Statement'!B46/B82/(B$7/365)</f>
        <v>0.02739458892548711</v>
      </c>
      <c r="C113" s="64">
        <f>'Income Statement'!C46/C82/(C$7/365)</f>
        <v>0.026681419444347796</v>
      </c>
      <c r="D113" s="64">
        <f>'Income Statement'!D46/D82/(D$7/365)</f>
        <v>0.027311605080965556</v>
      </c>
      <c r="E113" s="64">
        <f>'Income Statement'!E46/E82/(E$7/365)</f>
        <v>0.02758291260050567</v>
      </c>
      <c r="F113" s="64">
        <f>'Income Statement'!F46/F82/(F$7/365)</f>
        <v>0.027244220833471538</v>
      </c>
      <c r="G113" s="64">
        <f>'Income Statement'!G46/G82/(G$7/365)</f>
        <v>0.027881205342345238</v>
      </c>
      <c r="H113" s="64">
        <f>'Income Statement'!H46/H82/(H$7/365)</f>
        <v>0.027974850264480964</v>
      </c>
      <c r="I113" s="63">
        <f>'Income Statement'!I46/I82/(I$7/365)</f>
        <v>0.02816074281063632</v>
      </c>
      <c r="J113" s="2"/>
      <c r="K113" s="2"/>
      <c r="L113" s="2"/>
      <c r="M113" s="2"/>
      <c r="N113" s="2"/>
      <c r="O113" s="2"/>
    </row>
    <row r="114">
      <c r="A114" s="19" t="s">
        <v>144</v>
      </c>
      <c r="B114" s="5" t="s">
        <v>37</v>
      </c>
      <c r="C114" s="5">
        <f>IF(AND(ISNUMBER(C113),ISNUMBER(B113)),(C113-B113)*10000,"n/a")</f>
        <v>-7.131694811393155</v>
      </c>
      <c r="D114" s="5">
        <f>IF(AND(ISNUMBER(D113),ISNUMBER(C113)),(D113-C113)*10000,"n/a")</f>
        <v>6.301856366177604</v>
      </c>
      <c r="E114" s="5">
        <f>IF(AND(ISNUMBER(E113),ISNUMBER(D113)),(E113-D113)*10000,"n/a")</f>
        <v>2.713075195401142</v>
      </c>
      <c r="F114" s="5" t="s">
        <v>37</v>
      </c>
      <c r="G114" s="5">
        <f>IF(AND(ISNUMBER(G113),ISNUMBER(E113)),(G113-E113)*10000,"n/a")</f>
        <v>2.9829274183956755</v>
      </c>
      <c r="H114" s="5">
        <f>IF(AND(ISNUMBER(H113),ISNUMBER(G113)),(H113-G113)*10000,"n/a")</f>
        <v>0.9364492213572578</v>
      </c>
      <c r="I114" s="45">
        <f>IF(AND(ISNUMBER(I113),ISNUMBER(H113)),(I113-H113)*10000,"n/a")</f>
        <v>1.8589254615535706</v>
      </c>
      <c r="J114" s="2"/>
      <c r="K114" s="2"/>
      <c r="L114" s="2"/>
      <c r="M114" s="2"/>
      <c r="N114" s="2"/>
      <c r="O114" s="2"/>
    </row>
    <row r="115">
      <c r="A115" s="19" t="s">
        <v>145</v>
      </c>
      <c r="B115" s="5" t="s">
        <v>37</v>
      </c>
      <c r="C115" s="5" t="s">
        <v>37</v>
      </c>
      <c r="D115" s="5" t="s">
        <v>37</v>
      </c>
      <c r="E115" s="5" t="s">
        <v>37</v>
      </c>
      <c r="F115" s="5" t="s">
        <v>37</v>
      </c>
      <c r="G115" s="5">
        <f>IF(AND(ISNUMBER(G113),ISNUMBER(B113)),(G113-B113)*10000,"n/a")</f>
        <v>4.866164168581266</v>
      </c>
      <c r="H115" s="5">
        <f>IF(AND(ISNUMBER(H113),ISNUMBER(C113)),(H113-C113)*10000,"n/a")</f>
        <v>12.934308201331678</v>
      </c>
      <c r="I115" s="45">
        <f>IF(AND(ISNUMBER(I113),ISNUMBER(D113)),(I113-D113)*10000,"n/a")</f>
        <v>8.491377296707645</v>
      </c>
      <c r="J115" s="2"/>
      <c r="K115" s="2"/>
      <c r="L115" s="2"/>
      <c r="M115" s="2"/>
      <c r="N115" s="2"/>
      <c r="O115" s="2"/>
    </row>
    <row r="116">
      <c r="A116" s="19" t="s">
        <v>146</v>
      </c>
      <c r="B116" s="58">
        <v>0.0272</v>
      </c>
      <c r="C116" s="58">
        <v>0.0266</v>
      </c>
      <c r="D116" s="58">
        <v>0.0275</v>
      </c>
      <c r="E116" s="58">
        <v>0.0277</v>
      </c>
      <c r="F116" s="58">
        <v>0.0272</v>
      </c>
      <c r="G116" s="58">
        <v>0.0277</v>
      </c>
      <c r="H116" s="58">
        <v>0.0279</v>
      </c>
      <c r="I116" s="67" t="s">
        <v>37</v>
      </c>
      <c r="J116" s="2"/>
      <c r="K116" s="2"/>
      <c r="L116" s="2"/>
      <c r="M116" s="2"/>
      <c r="N116" s="2"/>
      <c r="O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>
      <c r="A118" s="6" t="s">
        <v>147</v>
      </c>
      <c r="B118" s="2"/>
      <c r="C118" s="2"/>
      <c r="D118" s="2"/>
      <c r="E118" s="2"/>
      <c r="F118" s="2"/>
      <c r="G118" s="2"/>
      <c r="H118" s="2"/>
      <c r="I118" s="2"/>
      <c r="J118" s="6" t="s">
        <v>148</v>
      </c>
      <c r="K118" s="2"/>
      <c r="L118" s="2"/>
      <c r="M118" s="2"/>
      <c r="N118" s="2"/>
      <c r="O118" s="2"/>
    </row>
    <row r="119">
      <c r="A119" s="36" t="s">
        <v>149</v>
      </c>
      <c r="B119" s="23">
        <f>'Segment - WCCIB'!B85+'Segment - Consumer &amp; Business'!B97+'Segment - Payment Services'!B106+'Segment - Treasury &amp; Corp'!B41</f>
        <v>4122</v>
      </c>
      <c r="C119" s="23">
        <f>'Segment - WCCIB'!C85+'Segment - Consumer &amp; Business'!C97+'Segment - Payment Services'!C106+'Segment - Treasury &amp; Corp'!C41</f>
        <v>4080</v>
      </c>
      <c r="D119" s="23">
        <f>'Segment - WCCIB'!D85+'Segment - Consumer &amp; Business'!D97+'Segment - Payment Services'!D106+'Segment - Treasury &amp; Corp'!D41</f>
        <v>4251</v>
      </c>
      <c r="E119" s="23">
        <f>'Segment - WCCIB'!E85+'Segment - Consumer &amp; Business'!E97+'Segment - Payment Services'!E106+'Segment - Treasury &amp; Corp'!E41</f>
        <v>4312</v>
      </c>
      <c r="F119" s="23">
        <f>'Segment - WCCIB'!F85+'Segment - Consumer &amp; Business'!F97+'Segment - Payment Services'!F106+'Segment - Treasury &amp; Corp'!F41</f>
        <v>16765</v>
      </c>
      <c r="G119" s="23">
        <f>'Segment - WCCIB'!G85+'Segment - Consumer &amp; Business'!G97+'Segment - Payment Services'!G106+'Segment - Treasury &amp; Corp'!G41</f>
        <v>4291</v>
      </c>
      <c r="H119" s="23">
        <f>'Segment - WCCIB'!H85+'Segment - Consumer &amp; Business'!H97+'Segment - Payment Services'!H106+'Segment - Treasury &amp; Corp'!H41</f>
        <v>4387</v>
      </c>
      <c r="I119" s="49">
        <f>'Segment - WCCIB'!I85+'Segment - Consumer &amp; Business'!I97+'Segment - Payment Services'!I106+'Segment - Treasury &amp; Corp'!I41</f>
        <v>4509.620398871233</v>
      </c>
      <c r="J119" s="2"/>
      <c r="K119" s="2"/>
      <c r="L119" s="2"/>
      <c r="M119" s="2"/>
      <c r="N119" s="2"/>
      <c r="O119" s="2"/>
    </row>
    <row r="120">
      <c r="A120" s="26" t="s">
        <v>150</v>
      </c>
      <c r="B120" s="57">
        <f>B119-'Income Statement'!B46</f>
        <v>0</v>
      </c>
      <c r="C120" s="57">
        <f>C119-'Income Statement'!C46</f>
        <v>0</v>
      </c>
      <c r="D120" s="57">
        <f>D119-'Income Statement'!D46</f>
        <v>0</v>
      </c>
      <c r="E120" s="57">
        <f>E119-'Income Statement'!E46</f>
        <v>0</v>
      </c>
      <c r="F120" s="57">
        <f>F119-'Income Statement'!F46</f>
        <v>0</v>
      </c>
      <c r="G120" s="57">
        <f>G119-'Income Statement'!G46</f>
        <v>0</v>
      </c>
      <c r="H120" s="57">
        <f>H119-'Income Statement'!H46</f>
        <v>0</v>
      </c>
      <c r="I120" s="59">
        <f>I119-'Income Statement'!I46</f>
        <v>0</v>
      </c>
      <c r="J120" s="2" t="s">
        <v>151</v>
      </c>
      <c r="K120" s="2"/>
      <c r="L120" s="2"/>
      <c r="M120" s="2"/>
      <c r="N120" s="2"/>
      <c r="O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23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152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153</v>
      </c>
      <c r="B9" s="2"/>
      <c r="C9" s="2"/>
      <c r="D9" s="2"/>
      <c r="E9" s="2"/>
      <c r="F9" s="2"/>
      <c r="G9" s="2"/>
      <c r="H9" s="2"/>
      <c r="I9" s="2"/>
      <c r="J9" s="2" t="s">
        <v>154</v>
      </c>
      <c r="K9" s="2"/>
      <c r="L9" s="2"/>
      <c r="M9" s="2"/>
      <c r="N9" s="2"/>
      <c r="O9" s="2"/>
    </row>
    <row r="10">
      <c r="A10" s="36" t="s">
        <v>155</v>
      </c>
      <c r="B10" s="8">
        <v>122692</v>
      </c>
      <c r="C10" s="8">
        <v>125530</v>
      </c>
      <c r="D10" s="8">
        <v>127545</v>
      </c>
      <c r="E10" s="8">
        <v>130482</v>
      </c>
      <c r="F10" s="3">
        <f>SUMPRODUCT(B10:E10,B$7:E$7)/F$7</f>
        <v>126586.28493150685</v>
      </c>
      <c r="G10" s="8">
        <v>137479</v>
      </c>
      <c r="H10" s="8">
        <v>143675</v>
      </c>
      <c r="I10" s="46">
        <f>H10*(1+I11)</f>
        <v>147266.875</v>
      </c>
      <c r="J10" s="6" t="s">
        <v>156</v>
      </c>
      <c r="K10" s="2"/>
      <c r="L10" s="2"/>
      <c r="M10" s="2"/>
      <c r="N10" s="2"/>
      <c r="O10" s="2"/>
    </row>
    <row r="11">
      <c r="A11" s="14" t="s">
        <v>95</v>
      </c>
      <c r="B11" s="12" t="s">
        <v>37</v>
      </c>
      <c r="C11" s="12">
        <f>C10/B10-1</f>
        <v>0.023131092491768035</v>
      </c>
      <c r="D11" s="12">
        <f>D10/C10-1</f>
        <v>0.016051939775352464</v>
      </c>
      <c r="E11" s="12">
        <f>E10/D10-1</f>
        <v>0.023027166882276795</v>
      </c>
      <c r="F11" s="12" t="s">
        <v>37</v>
      </c>
      <c r="G11" s="12">
        <f>G10/E10-1</f>
        <v>0.05362425468647025</v>
      </c>
      <c r="H11" s="12">
        <f>H10/G10-1</f>
        <v>0.04506870140166863</v>
      </c>
      <c r="I11" s="60">
        <v>0.025</v>
      </c>
      <c r="J11" s="6" t="s">
        <v>138</v>
      </c>
      <c r="K11" s="2"/>
      <c r="L11" s="2"/>
      <c r="M11" s="2"/>
      <c r="N11" s="2"/>
      <c r="O11" s="2"/>
    </row>
    <row r="12">
      <c r="A12" s="14" t="s">
        <v>122</v>
      </c>
      <c r="B12" s="12" t="s">
        <v>37</v>
      </c>
      <c r="C12" s="12" t="s">
        <v>37</v>
      </c>
      <c r="D12" s="12" t="s">
        <v>37</v>
      </c>
      <c r="E12" s="12" t="s">
        <v>37</v>
      </c>
      <c r="F12" s="12" t="s">
        <v>37</v>
      </c>
      <c r="G12" s="12">
        <f>G10/B10-1</f>
        <v>0.12052130538258399</v>
      </c>
      <c r="H12" s="12">
        <f>H10/C10-1</f>
        <v>0.14454712021030836</v>
      </c>
      <c r="I12" s="35">
        <f>I10/D10-1</f>
        <v>0.1546267983848837</v>
      </c>
      <c r="J12" s="2"/>
      <c r="K12" s="2"/>
      <c r="L12" s="2"/>
      <c r="M12" s="2"/>
      <c r="N12" s="2"/>
      <c r="O12" s="2"/>
    </row>
    <row r="13">
      <c r="A13" s="14" t="s">
        <v>110</v>
      </c>
      <c r="B13" s="1" t="s">
        <v>37</v>
      </c>
      <c r="C13" s="1">
        <f>IF(AND(ISNUMBER(C10),ISNUMBER(B10)),C10-B10,"n/a")</f>
        <v>2838</v>
      </c>
      <c r="D13" s="1">
        <f>IF(AND(ISNUMBER(D10),ISNUMBER(C10)),D10-C10,"n/a")</f>
        <v>2015</v>
      </c>
      <c r="E13" s="1">
        <f>IF(AND(ISNUMBER(E10),ISNUMBER(D10)),E10-D10,"n/a")</f>
        <v>2937</v>
      </c>
      <c r="F13" s="1" t="s">
        <v>37</v>
      </c>
      <c r="G13" s="1">
        <f>IF(AND(ISNUMBER(G10),ISNUMBER(E10)),G10-E10,"n/a")</f>
        <v>6997</v>
      </c>
      <c r="H13" s="1">
        <f>IF(AND(ISNUMBER(H10),ISNUMBER(G10)),H10-G10,"n/a")</f>
        <v>6196</v>
      </c>
      <c r="I13" s="13">
        <f>IF(AND(ISNUMBER(I10),ISNUMBER(H10)),I10-H10,"n/a")</f>
        <v>3591.875</v>
      </c>
      <c r="J13" s="2"/>
      <c r="K13" s="2"/>
      <c r="L13" s="2"/>
      <c r="M13" s="2"/>
      <c r="N13" s="2"/>
      <c r="O13" s="2"/>
    </row>
    <row r="14">
      <c r="A14" s="36" t="s">
        <v>157</v>
      </c>
      <c r="B14" s="8">
        <v>37284</v>
      </c>
      <c r="C14" s="8">
        <v>36673</v>
      </c>
      <c r="D14" s="8">
        <v>36376</v>
      </c>
      <c r="E14" s="8">
        <v>36593</v>
      </c>
      <c r="F14" s="3">
        <f>SUMPRODUCT(B14:E14,B$7:E$7)/F$7</f>
        <v>36728.63287671233</v>
      </c>
      <c r="G14" s="8">
        <v>37529</v>
      </c>
      <c r="H14" s="8">
        <v>39396</v>
      </c>
      <c r="I14" s="46">
        <f>H14*(1+I15)</f>
        <v>40380.899999999994</v>
      </c>
      <c r="J14" s="2"/>
      <c r="K14" s="2"/>
      <c r="L14" s="2"/>
      <c r="M14" s="2"/>
      <c r="N14" s="2"/>
      <c r="O14" s="2"/>
    </row>
    <row r="15">
      <c r="A15" s="14" t="s">
        <v>95</v>
      </c>
      <c r="B15" s="12" t="s">
        <v>37</v>
      </c>
      <c r="C15" s="12">
        <f>C14/B14-1</f>
        <v>-0.016387726638772637</v>
      </c>
      <c r="D15" s="12">
        <f>D14/C14-1</f>
        <v>-0.008098601150710372</v>
      </c>
      <c r="E15" s="12">
        <f>E14/D14-1</f>
        <v>0.0059654717396084855</v>
      </c>
      <c r="F15" s="12" t="s">
        <v>37</v>
      </c>
      <c r="G15" s="12">
        <f>G14/E14-1</f>
        <v>0.025578662585740375</v>
      </c>
      <c r="H15" s="12">
        <f>H14/G14-1</f>
        <v>0.04974819472940917</v>
      </c>
      <c r="I15" s="60">
        <v>0.025</v>
      </c>
      <c r="J15" s="6" t="s">
        <v>138</v>
      </c>
      <c r="K15" s="2"/>
      <c r="L15" s="2"/>
      <c r="M15" s="2"/>
      <c r="N15" s="2"/>
      <c r="O15" s="2"/>
    </row>
    <row r="16">
      <c r="A16" s="14" t="s">
        <v>122</v>
      </c>
      <c r="B16" s="12" t="s">
        <v>37</v>
      </c>
      <c r="C16" s="12" t="s">
        <v>37</v>
      </c>
      <c r="D16" s="12" t="s">
        <v>37</v>
      </c>
      <c r="E16" s="12" t="s">
        <v>37</v>
      </c>
      <c r="F16" s="12" t="s">
        <v>37</v>
      </c>
      <c r="G16" s="12">
        <f>G14/B14-1</f>
        <v>0.006571183349425969</v>
      </c>
      <c r="H16" s="12">
        <f>H14/C14-1</f>
        <v>0.07425081122351584</v>
      </c>
      <c r="I16" s="35">
        <f>I14/D14-1</f>
        <v>0.11009731691224967</v>
      </c>
      <c r="J16" s="2"/>
      <c r="K16" s="2"/>
      <c r="L16" s="2"/>
      <c r="M16" s="2"/>
      <c r="N16" s="2"/>
      <c r="O16" s="2"/>
    </row>
    <row r="17">
      <c r="A17" s="14" t="s">
        <v>110</v>
      </c>
      <c r="B17" s="1" t="s">
        <v>37</v>
      </c>
      <c r="C17" s="1">
        <f>IF(AND(ISNUMBER(C14),ISNUMBER(B14)),C14-B14,"n/a")</f>
        <v>-611</v>
      </c>
      <c r="D17" s="1">
        <f>IF(AND(ISNUMBER(D14),ISNUMBER(C14)),D14-C14,"n/a")</f>
        <v>-297</v>
      </c>
      <c r="E17" s="1">
        <f>IF(AND(ISNUMBER(E14),ISNUMBER(D14)),E14-D14,"n/a")</f>
        <v>217</v>
      </c>
      <c r="F17" s="1" t="s">
        <v>37</v>
      </c>
      <c r="G17" s="1">
        <f>IF(AND(ISNUMBER(G14),ISNUMBER(E14)),G14-E14,"n/a")</f>
        <v>936</v>
      </c>
      <c r="H17" s="1">
        <f>IF(AND(ISNUMBER(H14),ISNUMBER(G14)),H14-G14,"n/a")</f>
        <v>1867</v>
      </c>
      <c r="I17" s="13">
        <f>IF(AND(ISNUMBER(I14),ISNUMBER(H14)),I14-H14,"n/a")</f>
        <v>984.8999999999942</v>
      </c>
      <c r="J17" s="2"/>
      <c r="K17" s="2"/>
      <c r="L17" s="2"/>
      <c r="M17" s="2"/>
      <c r="N17" s="2"/>
      <c r="O17" s="2"/>
    </row>
    <row r="18">
      <c r="A18" s="36" t="s">
        <v>158</v>
      </c>
      <c r="B18" s="8">
        <v>16594</v>
      </c>
      <c r="C18" s="8">
        <v>17558</v>
      </c>
      <c r="D18" s="8">
        <v>19072</v>
      </c>
      <c r="E18" s="8">
        <v>20689</v>
      </c>
      <c r="F18" s="3">
        <f>SUMPRODUCT(B18:E18,B$7:E$7)/F$7</f>
        <v>18491.095890410958</v>
      </c>
      <c r="G18" s="8">
        <v>22359</v>
      </c>
      <c r="H18" s="8">
        <v>23748</v>
      </c>
      <c r="I18" s="46">
        <f>H18*(1+I19)</f>
        <v>24697.920000000002</v>
      </c>
      <c r="J18" s="2"/>
      <c r="K18" s="2"/>
      <c r="L18" s="2"/>
      <c r="M18" s="2"/>
      <c r="N18" s="2"/>
      <c r="O18" s="2"/>
    </row>
    <row r="19">
      <c r="A19" s="14" t="s">
        <v>95</v>
      </c>
      <c r="B19" s="12" t="s">
        <v>37</v>
      </c>
      <c r="C19" s="12">
        <f>C18/B18-1</f>
        <v>0.058093286730143356</v>
      </c>
      <c r="D19" s="12">
        <f>D18/C18-1</f>
        <v>0.0862284998291376</v>
      </c>
      <c r="E19" s="12">
        <f>E18/D18-1</f>
        <v>0.08478397651006708</v>
      </c>
      <c r="F19" s="12" t="s">
        <v>37</v>
      </c>
      <c r="G19" s="12">
        <f>G18/E18-1</f>
        <v>0.0807192227753879</v>
      </c>
      <c r="H19" s="12">
        <f>H18/G18-1</f>
        <v>0.062122635180464236</v>
      </c>
      <c r="I19" s="60">
        <v>0.04</v>
      </c>
      <c r="J19" s="6" t="s">
        <v>138</v>
      </c>
      <c r="K19" s="2"/>
      <c r="L19" s="2"/>
      <c r="M19" s="2"/>
      <c r="N19" s="2"/>
      <c r="O19" s="2"/>
    </row>
    <row r="20">
      <c r="A20" s="14" t="s">
        <v>122</v>
      </c>
      <c r="B20" s="12" t="s">
        <v>37</v>
      </c>
      <c r="C20" s="12" t="s">
        <v>37</v>
      </c>
      <c r="D20" s="12" t="s">
        <v>37</v>
      </c>
      <c r="E20" s="12" t="s">
        <v>37</v>
      </c>
      <c r="F20" s="12" t="s">
        <v>37</v>
      </c>
      <c r="G20" s="12">
        <f>G18/B18-1</f>
        <v>0.3474147282150175</v>
      </c>
      <c r="H20" s="12">
        <f>H18/C18-1</f>
        <v>0.3525458480464745</v>
      </c>
      <c r="I20" s="35">
        <f>I18/D18-1</f>
        <v>0.29498322147651024</v>
      </c>
      <c r="J20" s="2"/>
      <c r="K20" s="2"/>
      <c r="L20" s="2"/>
      <c r="M20" s="2"/>
      <c r="N20" s="2"/>
      <c r="O20" s="2"/>
    </row>
    <row r="21">
      <c r="A21" s="14" t="s">
        <v>110</v>
      </c>
      <c r="B21" s="1" t="s">
        <v>37</v>
      </c>
      <c r="C21" s="1">
        <f>IF(AND(ISNUMBER(C18),ISNUMBER(B18)),C18-B18,"n/a")</f>
        <v>964</v>
      </c>
      <c r="D21" s="1">
        <f>IF(AND(ISNUMBER(D18),ISNUMBER(C18)),D18-C18,"n/a")</f>
        <v>1514</v>
      </c>
      <c r="E21" s="1">
        <f>IF(AND(ISNUMBER(E18),ISNUMBER(D18)),E18-D18,"n/a")</f>
        <v>1617</v>
      </c>
      <c r="F21" s="1" t="s">
        <v>37</v>
      </c>
      <c r="G21" s="1">
        <f>IF(AND(ISNUMBER(G18),ISNUMBER(E18)),G18-E18,"n/a")</f>
        <v>1670</v>
      </c>
      <c r="H21" s="1">
        <f>IF(AND(ISNUMBER(H18),ISNUMBER(G18)),H18-G18,"n/a")</f>
        <v>1389</v>
      </c>
      <c r="I21" s="13">
        <f>IF(AND(ISNUMBER(I18),ISNUMBER(H18)),I18-H18,"n/a")</f>
        <v>949.9200000000019</v>
      </c>
      <c r="J21" s="2"/>
      <c r="K21" s="2"/>
      <c r="L21" s="2"/>
      <c r="M21" s="2"/>
      <c r="N21" s="2"/>
      <c r="O21" s="2"/>
    </row>
    <row r="22">
      <c r="A22" s="36" t="s">
        <v>159</v>
      </c>
      <c r="B22" s="8">
        <v>0</v>
      </c>
      <c r="C22" s="8">
        <v>0</v>
      </c>
      <c r="D22" s="8">
        <v>0</v>
      </c>
      <c r="E22" s="8">
        <v>0</v>
      </c>
      <c r="F22" s="3">
        <f>SUMPRODUCT(B22:E22,B$7:E$7)/F$7</f>
        <v>0</v>
      </c>
      <c r="G22" s="8">
        <v>0</v>
      </c>
      <c r="H22" s="8">
        <v>0</v>
      </c>
      <c r="I22" s="32">
        <v>0</v>
      </c>
      <c r="J22" s="6" t="s">
        <v>160</v>
      </c>
      <c r="K22" s="2"/>
      <c r="L22" s="2"/>
      <c r="M22" s="2"/>
      <c r="N22" s="2"/>
      <c r="O22" s="2"/>
    </row>
    <row r="23">
      <c r="A23" s="36" t="s">
        <v>161</v>
      </c>
      <c r="B23" s="8">
        <v>5621</v>
      </c>
      <c r="C23" s="8">
        <v>5784</v>
      </c>
      <c r="D23" s="8">
        <v>5964</v>
      </c>
      <c r="E23" s="8">
        <v>6311</v>
      </c>
      <c r="F23" s="3">
        <f>SUMPRODUCT(B23:E23,B$7:E$7)/F$7</f>
        <v>5922.010958904109</v>
      </c>
      <c r="G23" s="8">
        <v>6581</v>
      </c>
      <c r="H23" s="8">
        <v>7138</v>
      </c>
      <c r="I23" s="46">
        <f>H23*(1+I24)</f>
        <v>7352.14</v>
      </c>
      <c r="J23" s="2"/>
      <c r="K23" s="2"/>
      <c r="L23" s="2"/>
      <c r="M23" s="2"/>
      <c r="N23" s="2"/>
      <c r="O23" s="2"/>
    </row>
    <row r="24">
      <c r="A24" s="14" t="s">
        <v>95</v>
      </c>
      <c r="B24" s="12" t="s">
        <v>37</v>
      </c>
      <c r="C24" s="12">
        <f>C23/B23-1</f>
        <v>0.028998398861412644</v>
      </c>
      <c r="D24" s="12">
        <f>D23/C23-1</f>
        <v>0.03112033195020736</v>
      </c>
      <c r="E24" s="12">
        <f>E23/D23-1</f>
        <v>0.05818242790073769</v>
      </c>
      <c r="F24" s="12" t="s">
        <v>37</v>
      </c>
      <c r="G24" s="12">
        <f>G23/E23-1</f>
        <v>0.04278244335287584</v>
      </c>
      <c r="H24" s="12">
        <f>H23/G23-1</f>
        <v>0.08463759307096197</v>
      </c>
      <c r="I24" s="60">
        <v>0.03</v>
      </c>
      <c r="J24" s="6" t="s">
        <v>138</v>
      </c>
      <c r="K24" s="2"/>
      <c r="L24" s="2"/>
      <c r="M24" s="2"/>
      <c r="N24" s="2"/>
      <c r="O24" s="2"/>
    </row>
    <row r="25">
      <c r="A25" s="14" t="s">
        <v>122</v>
      </c>
      <c r="B25" s="12" t="s">
        <v>37</v>
      </c>
      <c r="C25" s="12" t="s">
        <v>37</v>
      </c>
      <c r="D25" s="12" t="s">
        <v>37</v>
      </c>
      <c r="E25" s="12" t="s">
        <v>37</v>
      </c>
      <c r="F25" s="12" t="s">
        <v>37</v>
      </c>
      <c r="G25" s="12">
        <f>G23/B23-1</f>
        <v>0.17078811599359534</v>
      </c>
      <c r="H25" s="12">
        <f>H23/C23-1</f>
        <v>0.2340940525587829</v>
      </c>
      <c r="I25" s="35">
        <f>I23/D23-1</f>
        <v>0.23275318578135495</v>
      </c>
      <c r="J25" s="2"/>
      <c r="K25" s="2"/>
      <c r="L25" s="2"/>
      <c r="M25" s="2"/>
      <c r="N25" s="2"/>
      <c r="O25" s="2"/>
    </row>
    <row r="26">
      <c r="A26" s="14" t="s">
        <v>110</v>
      </c>
      <c r="B26" s="1" t="s">
        <v>37</v>
      </c>
      <c r="C26" s="1">
        <f>IF(AND(ISNUMBER(C23),ISNUMBER(B23)),C23-B23,"n/a")</f>
        <v>163</v>
      </c>
      <c r="D26" s="1">
        <f>IF(AND(ISNUMBER(D23),ISNUMBER(C23)),D23-C23,"n/a")</f>
        <v>180</v>
      </c>
      <c r="E26" s="1">
        <f>IF(AND(ISNUMBER(E23),ISNUMBER(D23)),E23-D23,"n/a")</f>
        <v>347</v>
      </c>
      <c r="F26" s="1" t="s">
        <v>37</v>
      </c>
      <c r="G26" s="1">
        <f>IF(AND(ISNUMBER(G23),ISNUMBER(E23)),G23-E23,"n/a")</f>
        <v>270</v>
      </c>
      <c r="H26" s="1">
        <f>IF(AND(ISNUMBER(H23),ISNUMBER(G23)),H23-G23,"n/a")</f>
        <v>557</v>
      </c>
      <c r="I26" s="13">
        <f>IF(AND(ISNUMBER(I23),ISNUMBER(H23)),I23-H23,"n/a")</f>
        <v>214.14000000000033</v>
      </c>
      <c r="J26" s="2"/>
      <c r="K26" s="2"/>
      <c r="L26" s="2"/>
      <c r="M26" s="2"/>
      <c r="N26" s="2"/>
      <c r="O26" s="2"/>
    </row>
    <row r="27">
      <c r="A27" s="16" t="s">
        <v>162</v>
      </c>
      <c r="B27" s="15">
        <f>B10+B14+B18+B22+B23</f>
        <v>182191</v>
      </c>
      <c r="C27" s="15">
        <f>C10+C14+C18+C22+C23</f>
        <v>185545</v>
      </c>
      <c r="D27" s="15">
        <f>D10+D14+D18+D22+D23</f>
        <v>188957</v>
      </c>
      <c r="E27" s="15">
        <f>E10+E14+E18+E22+E23</f>
        <v>194075</v>
      </c>
      <c r="F27" s="15">
        <f>F10+F14+F18+F22+F23</f>
        <v>187728.02465753426</v>
      </c>
      <c r="G27" s="15">
        <f>G10+G14+G18+G22+G23</f>
        <v>203948</v>
      </c>
      <c r="H27" s="15">
        <f>H10+H14+H18+H22+H23</f>
        <v>213957</v>
      </c>
      <c r="I27" s="38">
        <f>I10+I14+I18+I22+I23</f>
        <v>219697.83500000002</v>
      </c>
      <c r="J27" s="2"/>
      <c r="K27" s="2"/>
      <c r="L27" s="2"/>
      <c r="M27" s="2"/>
      <c r="N27" s="2"/>
      <c r="O27" s="2"/>
    </row>
    <row r="28">
      <c r="A28" s="19" t="s">
        <v>122</v>
      </c>
      <c r="B28" s="12" t="s">
        <v>37</v>
      </c>
      <c r="C28" s="12" t="s">
        <v>37</v>
      </c>
      <c r="D28" s="12" t="s">
        <v>37</v>
      </c>
      <c r="E28" s="12" t="s">
        <v>37</v>
      </c>
      <c r="F28" s="12" t="s">
        <v>37</v>
      </c>
      <c r="G28" s="12">
        <f>G27/B27-1</f>
        <v>0.11941863209488934</v>
      </c>
      <c r="H28" s="12">
        <f>H27/C27-1</f>
        <v>0.15312727370718693</v>
      </c>
      <c r="I28" s="35">
        <f>I27/D27-1</f>
        <v>0.16268693406436396</v>
      </c>
      <c r="J28" s="2"/>
      <c r="K28" s="2"/>
      <c r="L28" s="2"/>
      <c r="M28" s="2"/>
      <c r="N28" s="2"/>
      <c r="O28" s="2"/>
    </row>
    <row r="29">
      <c r="A29" s="19" t="s">
        <v>110</v>
      </c>
      <c r="B29" s="1" t="s">
        <v>37</v>
      </c>
      <c r="C29" s="1">
        <f>IF(AND(ISNUMBER(C27),ISNUMBER(B27)),C27-B27,"n/a")</f>
        <v>3354</v>
      </c>
      <c r="D29" s="1">
        <f>IF(AND(ISNUMBER(D27),ISNUMBER(C27)),D27-C27,"n/a")</f>
        <v>3412</v>
      </c>
      <c r="E29" s="1">
        <f>IF(AND(ISNUMBER(E27),ISNUMBER(D27)),E27-D27,"n/a")</f>
        <v>5118</v>
      </c>
      <c r="F29" s="1" t="s">
        <v>37</v>
      </c>
      <c r="G29" s="1">
        <f>IF(AND(ISNUMBER(G27),ISNUMBER(E27)),G27-E27,"n/a")</f>
        <v>9873</v>
      </c>
      <c r="H29" s="1">
        <f>IF(AND(ISNUMBER(H27),ISNUMBER(G27)),H27-G27,"n/a")</f>
        <v>10009</v>
      </c>
      <c r="I29" s="13">
        <f>IF(AND(ISNUMBER(I27),ISNUMBER(H27)),I27-H27,"n/a")</f>
        <v>5740.835000000021</v>
      </c>
      <c r="J29" s="2"/>
      <c r="K29" s="2"/>
      <c r="L29" s="2"/>
      <c r="M29" s="2"/>
      <c r="N29" s="2"/>
      <c r="O29" s="2"/>
    </row>
    <row r="30">
      <c r="A30" s="36" t="s">
        <v>163</v>
      </c>
      <c r="B30" s="8">
        <v>13142</v>
      </c>
      <c r="C30" s="8">
        <v>13930</v>
      </c>
      <c r="D30" s="8">
        <v>11908</v>
      </c>
      <c r="E30" s="8">
        <v>13378</v>
      </c>
      <c r="F30" s="3">
        <f>SUMPRODUCT(B30:E30,B$7:E$7)/F$7</f>
        <v>13086.909589041095</v>
      </c>
      <c r="G30" s="8">
        <v>15378</v>
      </c>
      <c r="H30" s="8">
        <v>16112</v>
      </c>
      <c r="I30" s="46">
        <f>H30*(1+I31)</f>
        <v>16112</v>
      </c>
      <c r="J30" s="2"/>
      <c r="K30" s="2"/>
      <c r="L30" s="2"/>
      <c r="M30" s="2"/>
      <c r="N30" s="2"/>
      <c r="O30" s="2"/>
    </row>
    <row r="31">
      <c r="A31" s="14" t="s">
        <v>95</v>
      </c>
      <c r="B31" s="12" t="s">
        <v>37</v>
      </c>
      <c r="C31" s="12">
        <f>C30/B30-1</f>
        <v>0.05996043220210012</v>
      </c>
      <c r="D31" s="12">
        <f>D30/C30-1</f>
        <v>-0.14515434314429287</v>
      </c>
      <c r="E31" s="12">
        <f>E30/D30-1</f>
        <v>0.12344642257306004</v>
      </c>
      <c r="F31" s="12" t="s">
        <v>37</v>
      </c>
      <c r="G31" s="12">
        <f>G30/E30-1</f>
        <v>0.14949917775452226</v>
      </c>
      <c r="H31" s="12">
        <f>H30/G30-1</f>
        <v>0.04773052412537382</v>
      </c>
      <c r="I31" s="60">
        <v>0</v>
      </c>
      <c r="J31" s="6" t="s">
        <v>138</v>
      </c>
      <c r="K31" s="2"/>
      <c r="L31" s="2"/>
      <c r="M31" s="2"/>
      <c r="N31" s="2"/>
      <c r="O31" s="2"/>
    </row>
    <row r="32">
      <c r="A32" s="14" t="s">
        <v>122</v>
      </c>
      <c r="B32" s="12" t="s">
        <v>37</v>
      </c>
      <c r="C32" s="12" t="s">
        <v>37</v>
      </c>
      <c r="D32" s="12" t="s">
        <v>37</v>
      </c>
      <c r="E32" s="12" t="s">
        <v>37</v>
      </c>
      <c r="F32" s="12" t="s">
        <v>37</v>
      </c>
      <c r="G32" s="12">
        <f>G30/B30-1</f>
        <v>0.17014153096941098</v>
      </c>
      <c r="H32" s="12">
        <f>H30/C30-1</f>
        <v>0.15664034458004306</v>
      </c>
      <c r="I32" s="35">
        <f>I30/D30-1</f>
        <v>0.3530399731273093</v>
      </c>
      <c r="J32" s="2"/>
      <c r="K32" s="2"/>
      <c r="L32" s="2"/>
      <c r="M32" s="2"/>
      <c r="N32" s="2"/>
      <c r="O32" s="2"/>
    </row>
    <row r="33">
      <c r="A33" s="14" t="s">
        <v>110</v>
      </c>
      <c r="B33" s="1" t="s">
        <v>37</v>
      </c>
      <c r="C33" s="1">
        <f>IF(AND(ISNUMBER(C30),ISNUMBER(B30)),C30-B30,"n/a")</f>
        <v>788</v>
      </c>
      <c r="D33" s="1">
        <f>IF(AND(ISNUMBER(D30),ISNUMBER(C30)),D30-C30,"n/a")</f>
        <v>-2022</v>
      </c>
      <c r="E33" s="1">
        <f>IF(AND(ISNUMBER(E30),ISNUMBER(D30)),E30-D30,"n/a")</f>
        <v>1470</v>
      </c>
      <c r="F33" s="1" t="s">
        <v>37</v>
      </c>
      <c r="G33" s="1">
        <f>IF(AND(ISNUMBER(G30),ISNUMBER(E30)),G30-E30,"n/a")</f>
        <v>2000</v>
      </c>
      <c r="H33" s="1">
        <f>IF(AND(ISNUMBER(H30),ISNUMBER(G30)),H30-G30,"n/a")</f>
        <v>734</v>
      </c>
      <c r="I33" s="13">
        <f>IF(AND(ISNUMBER(I30),ISNUMBER(H30)),I30-H30,"n/a")</f>
        <v>0</v>
      </c>
      <c r="J33" s="2"/>
      <c r="K33" s="2"/>
      <c r="L33" s="2"/>
      <c r="M33" s="2"/>
      <c r="N33" s="2"/>
      <c r="O33" s="2"/>
    </row>
    <row r="34">
      <c r="A34" s="16" t="s">
        <v>164</v>
      </c>
      <c r="B34" s="15">
        <f>B27+B30</f>
        <v>195333</v>
      </c>
      <c r="C34" s="15">
        <f>C27+C30</f>
        <v>199475</v>
      </c>
      <c r="D34" s="15">
        <f>D27+D30</f>
        <v>200865</v>
      </c>
      <c r="E34" s="15">
        <f>E27+E30</f>
        <v>207453</v>
      </c>
      <c r="F34" s="15">
        <f>F27+F30</f>
        <v>200814.93424657534</v>
      </c>
      <c r="G34" s="15">
        <f>G27+G30</f>
        <v>219326</v>
      </c>
      <c r="H34" s="15">
        <f>H27+H30</f>
        <v>230069</v>
      </c>
      <c r="I34" s="38">
        <f>I27+I30</f>
        <v>235809.83500000002</v>
      </c>
      <c r="J34" s="2"/>
      <c r="K34" s="2"/>
      <c r="L34" s="2"/>
      <c r="M34" s="2"/>
      <c r="N34" s="2"/>
      <c r="O34" s="2"/>
    </row>
    <row r="35">
      <c r="A35" s="19" t="s">
        <v>122</v>
      </c>
      <c r="B35" s="12" t="s">
        <v>37</v>
      </c>
      <c r="C35" s="12" t="s">
        <v>37</v>
      </c>
      <c r="D35" s="12" t="s">
        <v>37</v>
      </c>
      <c r="E35" s="12" t="s">
        <v>37</v>
      </c>
      <c r="F35" s="12" t="s">
        <v>37</v>
      </c>
      <c r="G35" s="12">
        <f>G34/B34-1</f>
        <v>0.12283126763014951</v>
      </c>
      <c r="H35" s="12">
        <f>H34/C34-1</f>
        <v>0.15337260308309308</v>
      </c>
      <c r="I35" s="35">
        <f>I34/D34-1</f>
        <v>0.1739717471933886</v>
      </c>
      <c r="J35" s="2"/>
      <c r="K35" s="2"/>
      <c r="L35" s="2"/>
      <c r="M35" s="2"/>
      <c r="N35" s="2"/>
      <c r="O35" s="2"/>
    </row>
    <row r="36">
      <c r="A36" s="19" t="s">
        <v>110</v>
      </c>
      <c r="B36" s="1" t="s">
        <v>37</v>
      </c>
      <c r="C36" s="1">
        <f>IF(AND(ISNUMBER(C34),ISNUMBER(B34)),C34-B34,"n/a")</f>
        <v>4142</v>
      </c>
      <c r="D36" s="1">
        <f>IF(AND(ISNUMBER(D34),ISNUMBER(C34)),D34-C34,"n/a")</f>
        <v>1390</v>
      </c>
      <c r="E36" s="1">
        <f>IF(AND(ISNUMBER(E34),ISNUMBER(D34)),E34-D34,"n/a")</f>
        <v>6588</v>
      </c>
      <c r="F36" s="1" t="s">
        <v>37</v>
      </c>
      <c r="G36" s="1">
        <f>IF(AND(ISNUMBER(G34),ISNUMBER(E34)),G34-E34,"n/a")</f>
        <v>11873</v>
      </c>
      <c r="H36" s="1">
        <f>IF(AND(ISNUMBER(H34),ISNUMBER(G34)),H34-G34,"n/a")</f>
        <v>10743</v>
      </c>
      <c r="I36" s="13">
        <f>IF(AND(ISNUMBER(I34),ISNUMBER(H34)),I34-H34,"n/a")</f>
        <v>5740.835000000021</v>
      </c>
      <c r="J36" s="2"/>
      <c r="K36" s="2"/>
      <c r="L36" s="2"/>
      <c r="M36" s="2"/>
      <c r="N36" s="2"/>
      <c r="O36" s="2"/>
    </row>
    <row r="37">
      <c r="A37" s="36" t="s">
        <v>165</v>
      </c>
      <c r="B37" s="8">
        <v>56001</v>
      </c>
      <c r="C37" s="8">
        <v>55230</v>
      </c>
      <c r="D37" s="8">
        <v>56112</v>
      </c>
      <c r="E37" s="8">
        <v>59481</v>
      </c>
      <c r="F37" s="3">
        <f>SUMPRODUCT(B37:E37,B$7:E$7)/F$7</f>
        <v>56713.90684931507</v>
      </c>
      <c r="G37" s="8">
        <v>57796</v>
      </c>
      <c r="H37" s="8">
        <v>57877</v>
      </c>
      <c r="I37" s="46">
        <f>H37*(1+I38)</f>
        <v>58745.15499999999</v>
      </c>
      <c r="J37" s="6" t="s">
        <v>166</v>
      </c>
      <c r="K37" s="2"/>
      <c r="L37" s="2"/>
      <c r="M37" s="2"/>
      <c r="N37" s="2"/>
      <c r="O37" s="2"/>
    </row>
    <row r="38">
      <c r="A38" s="14" t="s">
        <v>95</v>
      </c>
      <c r="B38" s="12" t="s">
        <v>37</v>
      </c>
      <c r="C38" s="12">
        <f>C37/B37-1</f>
        <v>-0.013767611292655468</v>
      </c>
      <c r="D38" s="12">
        <f>D37/C37-1</f>
        <v>0.0159695817490495</v>
      </c>
      <c r="E38" s="12">
        <f>E37/D37-1</f>
        <v>0.060040633019674994</v>
      </c>
      <c r="F38" s="12" t="s">
        <v>37</v>
      </c>
      <c r="G38" s="12">
        <f>G37/E37-1</f>
        <v>-0.02832837376641284</v>
      </c>
      <c r="H38" s="12">
        <f>H37/G37-1</f>
        <v>0.0014014810713545156</v>
      </c>
      <c r="I38" s="60">
        <v>0.015</v>
      </c>
      <c r="J38" s="6" t="s">
        <v>138</v>
      </c>
      <c r="K38" s="2"/>
      <c r="L38" s="2"/>
      <c r="M38" s="2"/>
      <c r="N38" s="2"/>
      <c r="O38" s="2"/>
    </row>
    <row r="39">
      <c r="A39" s="14" t="s">
        <v>122</v>
      </c>
      <c r="B39" s="12" t="s">
        <v>37</v>
      </c>
      <c r="C39" s="12" t="s">
        <v>37</v>
      </c>
      <c r="D39" s="12" t="s">
        <v>37</v>
      </c>
      <c r="E39" s="12" t="s">
        <v>37</v>
      </c>
      <c r="F39" s="12" t="s">
        <v>37</v>
      </c>
      <c r="G39" s="12">
        <f>G37/B37-1</f>
        <v>0.03205299905358827</v>
      </c>
      <c r="H39" s="12">
        <f>H37/C37-1</f>
        <v>0.04792685134890462</v>
      </c>
      <c r="I39" s="35">
        <f>I37/D37-1</f>
        <v>0.04692677145708557</v>
      </c>
      <c r="J39" s="2"/>
      <c r="K39" s="2"/>
      <c r="L39" s="2"/>
      <c r="M39" s="2"/>
      <c r="N39" s="2"/>
      <c r="O39" s="2"/>
    </row>
    <row r="40">
      <c r="A40" s="14" t="s">
        <v>110</v>
      </c>
      <c r="B40" s="1" t="s">
        <v>37</v>
      </c>
      <c r="C40" s="1">
        <f>IF(AND(ISNUMBER(C37),ISNUMBER(B37)),C37-B37,"n/a")</f>
        <v>-771</v>
      </c>
      <c r="D40" s="1">
        <f>IF(AND(ISNUMBER(D37),ISNUMBER(C37)),D37-C37,"n/a")</f>
        <v>882</v>
      </c>
      <c r="E40" s="1">
        <f>IF(AND(ISNUMBER(E37),ISNUMBER(D37)),E37-D37,"n/a")</f>
        <v>3369</v>
      </c>
      <c r="F40" s="1" t="s">
        <v>37</v>
      </c>
      <c r="G40" s="1">
        <f>IF(AND(ISNUMBER(G37),ISNUMBER(E37)),G37-E37,"n/a")</f>
        <v>-1685</v>
      </c>
      <c r="H40" s="1">
        <f>IF(AND(ISNUMBER(H37),ISNUMBER(G37)),H37-G37,"n/a")</f>
        <v>81</v>
      </c>
      <c r="I40" s="13">
        <f>IF(AND(ISNUMBER(I37),ISNUMBER(H37)),I37-H37,"n/a")</f>
        <v>868.1549999999916</v>
      </c>
      <c r="J40" s="2"/>
      <c r="K40" s="2"/>
      <c r="L40" s="2"/>
      <c r="M40" s="2"/>
      <c r="N40" s="2"/>
      <c r="O40" s="2"/>
    </row>
    <row r="41">
      <c r="A41" s="36" t="s">
        <v>167</v>
      </c>
      <c r="B41" s="8">
        <v>54844</v>
      </c>
      <c r="C41" s="8">
        <v>60791</v>
      </c>
      <c r="D41" s="8">
        <v>60923</v>
      </c>
      <c r="E41" s="8">
        <v>60080</v>
      </c>
      <c r="F41" s="3">
        <f>SUMPRODUCT(B41:E41,B$7:E$7)/F$7</f>
        <v>59178.676712328765</v>
      </c>
      <c r="G41" s="8">
        <v>58599</v>
      </c>
      <c r="H41" s="8">
        <v>59500</v>
      </c>
      <c r="I41" s="46">
        <f>H41*(1+I42)</f>
        <v>60095</v>
      </c>
      <c r="J41" s="2"/>
      <c r="K41" s="2"/>
      <c r="L41" s="2"/>
      <c r="M41" s="2"/>
      <c r="N41" s="2"/>
      <c r="O41" s="2"/>
    </row>
    <row r="42">
      <c r="A42" s="14" t="s">
        <v>95</v>
      </c>
      <c r="B42" s="12" t="s">
        <v>37</v>
      </c>
      <c r="C42" s="12">
        <f>C41/B41-1</f>
        <v>0.10843483334548898</v>
      </c>
      <c r="D42" s="12">
        <f>D41/C41-1</f>
        <v>0.0021713740520801217</v>
      </c>
      <c r="E42" s="12">
        <f>E41/D41-1</f>
        <v>-0.013837138683255867</v>
      </c>
      <c r="F42" s="12" t="s">
        <v>37</v>
      </c>
      <c r="G42" s="12">
        <f>G41/E41-1</f>
        <v>-0.02465046604527299</v>
      </c>
      <c r="H42" s="12">
        <f>H41/G41-1</f>
        <v>0.015375689004931914</v>
      </c>
      <c r="I42" s="60">
        <v>0.01</v>
      </c>
      <c r="J42" s="6" t="s">
        <v>138</v>
      </c>
      <c r="K42" s="2"/>
      <c r="L42" s="2"/>
      <c r="M42" s="2"/>
      <c r="N42" s="2"/>
      <c r="O42" s="2"/>
    </row>
    <row r="43">
      <c r="A43" s="14" t="s">
        <v>122</v>
      </c>
      <c r="B43" s="12" t="s">
        <v>37</v>
      </c>
      <c r="C43" s="12" t="s">
        <v>37</v>
      </c>
      <c r="D43" s="12" t="s">
        <v>37</v>
      </c>
      <c r="E43" s="12" t="s">
        <v>37</v>
      </c>
      <c r="F43" s="12" t="s">
        <v>37</v>
      </c>
      <c r="G43" s="12">
        <f>G41/B41-1</f>
        <v>0.0684669243672964</v>
      </c>
      <c r="H43" s="12">
        <f>H41/C41-1</f>
        <v>-0.021236696221480167</v>
      </c>
      <c r="I43" s="35">
        <f>I41/D41-1</f>
        <v>-0.013590926251169533</v>
      </c>
      <c r="J43" s="2"/>
      <c r="K43" s="2"/>
      <c r="L43" s="2"/>
      <c r="M43" s="2"/>
      <c r="N43" s="2"/>
      <c r="O43" s="2"/>
    </row>
    <row r="44">
      <c r="A44" s="14" t="s">
        <v>110</v>
      </c>
      <c r="B44" s="1" t="s">
        <v>37</v>
      </c>
      <c r="C44" s="1">
        <f>IF(AND(ISNUMBER(C41),ISNUMBER(B41)),C41-B41,"n/a")</f>
        <v>5947</v>
      </c>
      <c r="D44" s="1">
        <f>IF(AND(ISNUMBER(D41),ISNUMBER(C41)),D41-C41,"n/a")</f>
        <v>132</v>
      </c>
      <c r="E44" s="1">
        <f>IF(AND(ISNUMBER(E41),ISNUMBER(D41)),E41-D41,"n/a")</f>
        <v>-843</v>
      </c>
      <c r="F44" s="1" t="s">
        <v>37</v>
      </c>
      <c r="G44" s="1">
        <f>IF(AND(ISNUMBER(G41),ISNUMBER(E41)),G41-E41,"n/a")</f>
        <v>-1481</v>
      </c>
      <c r="H44" s="1">
        <f>IF(AND(ISNUMBER(H41),ISNUMBER(G41)),H41-G41,"n/a")</f>
        <v>901</v>
      </c>
      <c r="I44" s="13">
        <f>IF(AND(ISNUMBER(I41),ISNUMBER(H41)),I41-H41,"n/a")</f>
        <v>595</v>
      </c>
      <c r="J44" s="2"/>
      <c r="K44" s="2"/>
      <c r="L44" s="2"/>
      <c r="M44" s="2"/>
      <c r="N44" s="2"/>
      <c r="O44" s="2"/>
    </row>
    <row r="45">
      <c r="A45" s="36" t="s">
        <v>168</v>
      </c>
      <c r="B45" s="8">
        <v>153462</v>
      </c>
      <c r="C45" s="8">
        <v>142873</v>
      </c>
      <c r="D45" s="8">
        <v>150745</v>
      </c>
      <c r="E45" s="8">
        <v>157623</v>
      </c>
      <c r="F45" s="3">
        <f>SUMPRODUCT(B45:E45,B$7:E$7)/F$7</f>
        <v>151185.96986301368</v>
      </c>
      <c r="G45" s="8">
        <v>163215</v>
      </c>
      <c r="H45" s="8">
        <v>159588</v>
      </c>
      <c r="I45" s="46">
        <f>H45*(1+I46)</f>
        <v>164375.64</v>
      </c>
      <c r="J45" s="2"/>
      <c r="K45" s="2"/>
      <c r="L45" s="2"/>
      <c r="M45" s="2"/>
      <c r="N45" s="2"/>
      <c r="O45" s="2"/>
    </row>
    <row r="46">
      <c r="A46" s="14" t="s">
        <v>95</v>
      </c>
      <c r="B46" s="12" t="s">
        <v>37</v>
      </c>
      <c r="C46" s="12">
        <f>C45/B45-1</f>
        <v>-0.06900079498507772</v>
      </c>
      <c r="D46" s="12">
        <f>D45/C45-1</f>
        <v>0.05509788413486105</v>
      </c>
      <c r="E46" s="12">
        <f>E45/D45-1</f>
        <v>0.04562672062091622</v>
      </c>
      <c r="F46" s="12" t="s">
        <v>37</v>
      </c>
      <c r="G46" s="12">
        <f>G45/E45-1</f>
        <v>0.03547705601339901</v>
      </c>
      <c r="H46" s="12">
        <f>H45/G45-1</f>
        <v>-0.022222222222222254</v>
      </c>
      <c r="I46" s="60">
        <v>0.03</v>
      </c>
      <c r="J46" s="6" t="s">
        <v>138</v>
      </c>
      <c r="K46" s="2"/>
      <c r="L46" s="2"/>
      <c r="M46" s="2"/>
      <c r="N46" s="2"/>
      <c r="O46" s="2"/>
    </row>
    <row r="47">
      <c r="A47" s="14" t="s">
        <v>122</v>
      </c>
      <c r="B47" s="12" t="s">
        <v>37</v>
      </c>
      <c r="C47" s="12" t="s">
        <v>37</v>
      </c>
      <c r="D47" s="12" t="s">
        <v>37</v>
      </c>
      <c r="E47" s="12" t="s">
        <v>37</v>
      </c>
      <c r="F47" s="12" t="s">
        <v>37</v>
      </c>
      <c r="G47" s="12">
        <f>G45/B45-1</f>
        <v>0.06355319232122603</v>
      </c>
      <c r="H47" s="12">
        <f>H45/C45-1</f>
        <v>0.11699201388645863</v>
      </c>
      <c r="I47" s="35">
        <f>I45/D45-1</f>
        <v>0.09042183820358884</v>
      </c>
      <c r="J47" s="2"/>
      <c r="K47" s="2"/>
      <c r="L47" s="2"/>
      <c r="M47" s="2"/>
      <c r="N47" s="2"/>
      <c r="O47" s="2"/>
    </row>
    <row r="48">
      <c r="A48" s="14" t="s">
        <v>110</v>
      </c>
      <c r="B48" s="1" t="s">
        <v>37</v>
      </c>
      <c r="C48" s="1">
        <f>IF(AND(ISNUMBER(C45),ISNUMBER(B45)),C45-B45,"n/a")</f>
        <v>-10589</v>
      </c>
      <c r="D48" s="1">
        <f>IF(AND(ISNUMBER(D45),ISNUMBER(C45)),D45-C45,"n/a")</f>
        <v>7872</v>
      </c>
      <c r="E48" s="1">
        <f>IF(AND(ISNUMBER(E45),ISNUMBER(D45)),E45-D45,"n/a")</f>
        <v>6878</v>
      </c>
      <c r="F48" s="1" t="s">
        <v>37</v>
      </c>
      <c r="G48" s="1">
        <f>IF(AND(ISNUMBER(G45),ISNUMBER(E45)),G45-E45,"n/a")</f>
        <v>5592</v>
      </c>
      <c r="H48" s="1">
        <f>IF(AND(ISNUMBER(H45),ISNUMBER(G45)),H45-G45,"n/a")</f>
        <v>-3627</v>
      </c>
      <c r="I48" s="13">
        <f>IF(AND(ISNUMBER(I45),ISNUMBER(H45)),I45-H45,"n/a")</f>
        <v>4787.640000000014</v>
      </c>
      <c r="J48" s="2"/>
      <c r="K48" s="2"/>
      <c r="L48" s="2"/>
      <c r="M48" s="2"/>
      <c r="N48" s="2"/>
      <c r="O48" s="2"/>
    </row>
    <row r="49">
      <c r="A49" s="36" t="s">
        <v>169</v>
      </c>
      <c r="B49" s="8">
        <v>10851</v>
      </c>
      <c r="C49" s="8">
        <v>9957</v>
      </c>
      <c r="D49" s="8">
        <v>9339</v>
      </c>
      <c r="E49" s="8">
        <v>8915</v>
      </c>
      <c r="F49" s="3">
        <f>SUMPRODUCT(B49:E49,B$7:E$7)/F$7</f>
        <v>9759.027397260274</v>
      </c>
      <c r="G49" s="8">
        <v>8361</v>
      </c>
      <c r="H49" s="8">
        <v>8600</v>
      </c>
      <c r="I49" s="46">
        <f>H49*(1+I50)</f>
        <v>8600</v>
      </c>
      <c r="J49" s="2"/>
      <c r="K49" s="2"/>
      <c r="L49" s="2"/>
      <c r="M49" s="2"/>
      <c r="N49" s="2"/>
      <c r="O49" s="2"/>
    </row>
    <row r="50">
      <c r="A50" s="14" t="s">
        <v>95</v>
      </c>
      <c r="B50" s="12" t="s">
        <v>37</v>
      </c>
      <c r="C50" s="12">
        <f>C49/B49-1</f>
        <v>-0.08238871993364671</v>
      </c>
      <c r="D50" s="12">
        <f>D49/C49-1</f>
        <v>-0.06206688761675205</v>
      </c>
      <c r="E50" s="12">
        <f>E49/D49-1</f>
        <v>-0.04540100653174861</v>
      </c>
      <c r="F50" s="12" t="s">
        <v>37</v>
      </c>
      <c r="G50" s="12">
        <f>G49/E49-1</f>
        <v>-0.06214245653393158</v>
      </c>
      <c r="H50" s="12">
        <f>H49/G49-1</f>
        <v>0.028585097476378385</v>
      </c>
      <c r="I50" s="60">
        <v>0</v>
      </c>
      <c r="J50" s="6" t="s">
        <v>138</v>
      </c>
      <c r="K50" s="2"/>
      <c r="L50" s="2"/>
      <c r="M50" s="2"/>
      <c r="N50" s="2"/>
      <c r="O50" s="2"/>
    </row>
    <row r="51">
      <c r="A51" s="14" t="s">
        <v>122</v>
      </c>
      <c r="B51" s="12" t="s">
        <v>37</v>
      </c>
      <c r="C51" s="12" t="s">
        <v>37</v>
      </c>
      <c r="D51" s="12" t="s">
        <v>37</v>
      </c>
      <c r="E51" s="12" t="s">
        <v>37</v>
      </c>
      <c r="F51" s="12" t="s">
        <v>37</v>
      </c>
      <c r="G51" s="12">
        <f>G49/B49-1</f>
        <v>-0.22947193807022392</v>
      </c>
      <c r="H51" s="12">
        <f>H49/C49-1</f>
        <v>-0.13628602992869343</v>
      </c>
      <c r="I51" s="35">
        <f>I49/D49-1</f>
        <v>-0.07913052789377872</v>
      </c>
      <c r="J51" s="2"/>
      <c r="K51" s="2"/>
      <c r="L51" s="2"/>
      <c r="M51" s="2"/>
      <c r="N51" s="2"/>
      <c r="O51" s="2"/>
    </row>
    <row r="52">
      <c r="A52" s="14" t="s">
        <v>110</v>
      </c>
      <c r="B52" s="1" t="s">
        <v>37</v>
      </c>
      <c r="C52" s="1">
        <f>IF(AND(ISNUMBER(C49),ISNUMBER(B49)),C49-B49,"n/a")</f>
        <v>-894</v>
      </c>
      <c r="D52" s="1">
        <f>IF(AND(ISNUMBER(D49),ISNUMBER(C49)),D49-C49,"n/a")</f>
        <v>-618</v>
      </c>
      <c r="E52" s="1">
        <f>IF(AND(ISNUMBER(E49),ISNUMBER(D49)),E49-D49,"n/a")</f>
        <v>-424</v>
      </c>
      <c r="F52" s="1" t="s">
        <v>37</v>
      </c>
      <c r="G52" s="1">
        <f>IF(AND(ISNUMBER(G49),ISNUMBER(E49)),G49-E49,"n/a")</f>
        <v>-554</v>
      </c>
      <c r="H52" s="1">
        <f>IF(AND(ISNUMBER(H49),ISNUMBER(G49)),H49-G49,"n/a")</f>
        <v>239</v>
      </c>
      <c r="I52" s="13">
        <f>IF(AND(ISNUMBER(I49),ISNUMBER(H49)),I49-H49,"n/a")</f>
        <v>0</v>
      </c>
      <c r="J52" s="2"/>
      <c r="K52" s="2"/>
      <c r="L52" s="2"/>
      <c r="M52" s="2"/>
      <c r="N52" s="2"/>
      <c r="O52" s="2"/>
    </row>
    <row r="53">
      <c r="A53" s="16" t="s">
        <v>170</v>
      </c>
      <c r="B53" s="15">
        <f>B37+B41+B45+B49</f>
        <v>275158</v>
      </c>
      <c r="C53" s="15">
        <f>C37+C41+C45+C49</f>
        <v>268851</v>
      </c>
      <c r="D53" s="15">
        <f>D37+D41+D45+D49</f>
        <v>277119</v>
      </c>
      <c r="E53" s="15">
        <f>E37+E41+E45+E49</f>
        <v>286099</v>
      </c>
      <c r="F53" s="15">
        <f>F37+F41+F45+F49</f>
        <v>276837.58082191786</v>
      </c>
      <c r="G53" s="15">
        <f>G37+G41+G45+G49</f>
        <v>287971</v>
      </c>
      <c r="H53" s="15">
        <f>H37+H41+H45+H49</f>
        <v>285565</v>
      </c>
      <c r="I53" s="38">
        <f>I37+I41+I45+I49</f>
        <v>291815.79500000004</v>
      </c>
      <c r="J53" s="2"/>
      <c r="K53" s="2"/>
      <c r="L53" s="2"/>
      <c r="M53" s="2"/>
      <c r="N53" s="2"/>
      <c r="O53" s="2"/>
    </row>
    <row r="54">
      <c r="A54" s="19" t="s">
        <v>122</v>
      </c>
      <c r="B54" s="12" t="s">
        <v>37</v>
      </c>
      <c r="C54" s="12" t="s">
        <v>37</v>
      </c>
      <c r="D54" s="12" t="s">
        <v>37</v>
      </c>
      <c r="E54" s="12" t="s">
        <v>37</v>
      </c>
      <c r="F54" s="12" t="s">
        <v>37</v>
      </c>
      <c r="G54" s="12">
        <f>G53/B53-1</f>
        <v>0.04656597300460108</v>
      </c>
      <c r="H54" s="12">
        <f>H53/C53-1</f>
        <v>0.06216826420582411</v>
      </c>
      <c r="I54" s="35">
        <f>I53/D53-1</f>
        <v>0.05303423799883822</v>
      </c>
      <c r="J54" s="2"/>
      <c r="K54" s="2"/>
      <c r="L54" s="2"/>
      <c r="M54" s="2"/>
      <c r="N54" s="2"/>
      <c r="O54" s="2"/>
    </row>
    <row r="55">
      <c r="A55" s="19" t="s">
        <v>110</v>
      </c>
      <c r="B55" s="1" t="s">
        <v>37</v>
      </c>
      <c r="C55" s="1">
        <f>IF(AND(ISNUMBER(C53),ISNUMBER(B53)),C53-B53,"n/a")</f>
        <v>-6307</v>
      </c>
      <c r="D55" s="1">
        <f>IF(AND(ISNUMBER(D53),ISNUMBER(C53)),D53-C53,"n/a")</f>
        <v>8268</v>
      </c>
      <c r="E55" s="1">
        <f>IF(AND(ISNUMBER(E53),ISNUMBER(D53)),E53-D53,"n/a")</f>
        <v>8980</v>
      </c>
      <c r="F55" s="1" t="s">
        <v>37</v>
      </c>
      <c r="G55" s="1">
        <f>IF(AND(ISNUMBER(G53),ISNUMBER(E53)),G53-E53,"n/a")</f>
        <v>1872</v>
      </c>
      <c r="H55" s="1">
        <f>IF(AND(ISNUMBER(H53),ISNUMBER(G53)),H53-G53,"n/a")</f>
        <v>-2406</v>
      </c>
      <c r="I55" s="13">
        <f>IF(AND(ISNUMBER(I53),ISNUMBER(H53)),I53-H53,"n/a")</f>
        <v>6250.795000000042</v>
      </c>
      <c r="J55" s="2"/>
      <c r="K55" s="2"/>
      <c r="L55" s="2"/>
      <c r="M55" s="2"/>
      <c r="N55" s="2"/>
      <c r="O55" s="2"/>
    </row>
    <row r="56">
      <c r="A56" s="36" t="s">
        <v>171</v>
      </c>
      <c r="B56" s="3">
        <f>B41+B45+B49</f>
        <v>219157</v>
      </c>
      <c r="C56" s="3">
        <f>C41+C45+C49</f>
        <v>213621</v>
      </c>
      <c r="D56" s="3">
        <f>D41+D45+D49</f>
        <v>221007</v>
      </c>
      <c r="E56" s="3">
        <f>E41+E45+E49</f>
        <v>226618</v>
      </c>
      <c r="F56" s="3">
        <f>F41+F45+F49</f>
        <v>220123.67397260273</v>
      </c>
      <c r="G56" s="3">
        <f>G41+G45+G49</f>
        <v>230175</v>
      </c>
      <c r="H56" s="3">
        <f>H41+H45+H49</f>
        <v>227688</v>
      </c>
      <c r="I56" s="46">
        <f>I41+I45+I49</f>
        <v>233070.64</v>
      </c>
      <c r="J56" s="2"/>
      <c r="K56" s="2"/>
      <c r="L56" s="2"/>
      <c r="M56" s="2"/>
      <c r="N56" s="2"/>
      <c r="O56" s="2"/>
    </row>
    <row r="57">
      <c r="A57" s="36" t="s">
        <v>172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>
      <c r="A58" s="62" t="s">
        <v>173</v>
      </c>
      <c r="B58" s="3" t="s">
        <v>37</v>
      </c>
      <c r="C58" s="3">
        <f>B27</f>
        <v>182191</v>
      </c>
      <c r="D58" s="3">
        <f>C27</f>
        <v>185545</v>
      </c>
      <c r="E58" s="3">
        <f>D27</f>
        <v>188957</v>
      </c>
      <c r="F58" s="3" t="s">
        <v>37</v>
      </c>
      <c r="G58" s="3">
        <f>E27</f>
        <v>194075</v>
      </c>
      <c r="H58" s="3">
        <f>G27</f>
        <v>203948</v>
      </c>
      <c r="I58" s="46">
        <f>H27</f>
        <v>213957</v>
      </c>
      <c r="J58" s="2"/>
      <c r="K58" s="2"/>
      <c r="L58" s="2"/>
      <c r="M58" s="2"/>
      <c r="N58" s="2"/>
      <c r="O58" s="2"/>
    </row>
    <row r="59">
      <c r="A59" s="62" t="s">
        <v>174</v>
      </c>
      <c r="B59" s="3" t="s">
        <v>37</v>
      </c>
      <c r="C59" s="8">
        <v>0</v>
      </c>
      <c r="D59" s="8">
        <v>0</v>
      </c>
      <c r="E59" s="8">
        <v>0</v>
      </c>
      <c r="F59" s="3" t="s">
        <v>37</v>
      </c>
      <c r="G59" s="8">
        <v>0</v>
      </c>
      <c r="H59" s="8">
        <v>0</v>
      </c>
      <c r="I59" s="32">
        <v>0</v>
      </c>
      <c r="J59" s="6" t="s">
        <v>175</v>
      </c>
      <c r="K59" s="2"/>
      <c r="L59" s="2"/>
      <c r="M59" s="2"/>
      <c r="N59" s="2"/>
      <c r="O59" s="2"/>
    </row>
    <row r="60">
      <c r="A60" s="62" t="s">
        <v>176</v>
      </c>
      <c r="B60" s="3" t="s">
        <v>37</v>
      </c>
      <c r="C60" s="3">
        <f>-C244</f>
        <v>-107</v>
      </c>
      <c r="D60" s="3">
        <f>-D244</f>
        <v>-116</v>
      </c>
      <c r="E60" s="3">
        <f>-E244</f>
        <v>-88</v>
      </c>
      <c r="F60" s="3" t="s">
        <v>37</v>
      </c>
      <c r="G60" s="3">
        <f>-G244</f>
        <v>-91</v>
      </c>
      <c r="H60" s="3">
        <f>-H244</f>
        <v>-93</v>
      </c>
      <c r="I60" s="46">
        <f>-I244</f>
        <v>-91.84070767123289</v>
      </c>
      <c r="J60" s="2"/>
      <c r="K60" s="2"/>
      <c r="L60" s="2"/>
      <c r="M60" s="2"/>
      <c r="N60" s="2"/>
      <c r="O60" s="2"/>
    </row>
    <row r="61">
      <c r="A61" s="79" t="s">
        <v>177</v>
      </c>
      <c r="B61" s="3" t="s">
        <v>37</v>
      </c>
      <c r="C61" s="3" t="s">
        <v>37</v>
      </c>
      <c r="D61" s="3" t="s">
        <v>37</v>
      </c>
      <c r="E61" s="3" t="s">
        <v>37</v>
      </c>
      <c r="F61" s="3" t="s">
        <v>37</v>
      </c>
      <c r="G61" s="3" t="s">
        <v>37</v>
      </c>
      <c r="H61" s="3" t="s">
        <v>37</v>
      </c>
      <c r="I61" s="46" t="s">
        <v>37</v>
      </c>
      <c r="J61" s="6" t="s">
        <v>178</v>
      </c>
      <c r="K61" s="2"/>
      <c r="L61" s="2"/>
      <c r="M61" s="2"/>
      <c r="N61" s="2"/>
      <c r="O61" s="2"/>
    </row>
    <row r="62">
      <c r="A62" s="79" t="s">
        <v>179</v>
      </c>
      <c r="B62" s="3" t="s">
        <v>37</v>
      </c>
      <c r="C62" s="3" t="s">
        <v>37</v>
      </c>
      <c r="D62" s="3" t="s">
        <v>37</v>
      </c>
      <c r="E62" s="3" t="s">
        <v>37</v>
      </c>
      <c r="F62" s="3" t="s">
        <v>37</v>
      </c>
      <c r="G62" s="3" t="s">
        <v>37</v>
      </c>
      <c r="H62" s="3" t="s">
        <v>37</v>
      </c>
      <c r="I62" s="46" t="s">
        <v>37</v>
      </c>
      <c r="J62" s="6" t="s">
        <v>180</v>
      </c>
      <c r="K62" s="2"/>
      <c r="L62" s="2"/>
      <c r="M62" s="2"/>
      <c r="N62" s="2"/>
      <c r="O62" s="2"/>
    </row>
    <row r="63">
      <c r="A63" s="62" t="s">
        <v>181</v>
      </c>
      <c r="B63" s="3" t="s">
        <v>37</v>
      </c>
      <c r="C63" s="3">
        <f>C64-C58-C59-C60</f>
        <v>3461</v>
      </c>
      <c r="D63" s="3">
        <f>D64-D58-D59-D60</f>
        <v>3528</v>
      </c>
      <c r="E63" s="3">
        <f>E64-E58-E59-E60</f>
        <v>5206</v>
      </c>
      <c r="F63" s="3" t="s">
        <v>37</v>
      </c>
      <c r="G63" s="3">
        <f>G64-G58-G59-G60</f>
        <v>9964</v>
      </c>
      <c r="H63" s="3">
        <f>H64-H58-H59-H60</f>
        <v>10102</v>
      </c>
      <c r="I63" s="46">
        <f>I64-I58-I59-I60</f>
        <v>5832.675707671254</v>
      </c>
      <c r="J63" s="6" t="s">
        <v>182</v>
      </c>
      <c r="K63" s="2"/>
      <c r="L63" s="2"/>
      <c r="M63" s="2"/>
      <c r="N63" s="2"/>
      <c r="O63" s="2"/>
    </row>
    <row r="64">
      <c r="A64" s="73" t="s">
        <v>183</v>
      </c>
      <c r="B64" s="15" t="s">
        <v>37</v>
      </c>
      <c r="C64" s="15">
        <f>C27</f>
        <v>185545</v>
      </c>
      <c r="D64" s="15">
        <f>D27</f>
        <v>188957</v>
      </c>
      <c r="E64" s="15">
        <f>E27</f>
        <v>194075</v>
      </c>
      <c r="F64" s="15" t="s">
        <v>37</v>
      </c>
      <c r="G64" s="15">
        <f>G27</f>
        <v>203948</v>
      </c>
      <c r="H64" s="15">
        <f>H27</f>
        <v>213957</v>
      </c>
      <c r="I64" s="38">
        <f>I27</f>
        <v>219697.83500000002</v>
      </c>
      <c r="J64" s="2"/>
      <c r="K64" s="2"/>
      <c r="L64" s="2"/>
      <c r="M64" s="2"/>
      <c r="N64" s="2"/>
      <c r="O64" s="2"/>
    </row>
    <row r="65">
      <c r="A65" s="61" t="s">
        <v>184</v>
      </c>
      <c r="B65" s="12" t="s">
        <v>37</v>
      </c>
      <c r="C65" s="12">
        <f>C63/C58</f>
        <v>0.018996547579188873</v>
      </c>
      <c r="D65" s="12">
        <f>D63/D58</f>
        <v>0.019014255301948314</v>
      </c>
      <c r="E65" s="12">
        <f>E63/E58</f>
        <v>0.02755124181692131</v>
      </c>
      <c r="F65" s="12" t="s">
        <v>37</v>
      </c>
      <c r="G65" s="12">
        <f>G63/G58</f>
        <v>0.051340976426639186</v>
      </c>
      <c r="H65" s="12">
        <f>H63/H58</f>
        <v>0.0495322337066311</v>
      </c>
      <c r="I65" s="35">
        <f>I63/I58</f>
        <v>0.027260971632950798</v>
      </c>
      <c r="J65" s="2"/>
      <c r="K65" s="2"/>
      <c r="L65" s="2"/>
      <c r="M65" s="2"/>
      <c r="N65" s="2"/>
      <c r="O65" s="2"/>
    </row>
    <row r="66">
      <c r="A66" s="61" t="s">
        <v>185</v>
      </c>
      <c r="B66" s="69" t="s">
        <v>37</v>
      </c>
      <c r="C66" s="69">
        <f>-C60/C58/(C$7/365)</f>
        <v>0.0023556367997092293</v>
      </c>
      <c r="D66" s="69">
        <f>-D60/D58/(D$7/365)</f>
        <v>0.002480354584086598</v>
      </c>
      <c r="E66" s="69">
        <f>-E60/E58/(E$7/365)</f>
        <v>0.001847671347357381</v>
      </c>
      <c r="F66" s="69" t="s">
        <v>37</v>
      </c>
      <c r="G66" s="69">
        <f>-G60/G58/(G$7/365)</f>
        <v>0.0019016130648231641</v>
      </c>
      <c r="H66" s="69">
        <f>-H60/H58/(H$7/365)</f>
        <v>0.0018290053249944988</v>
      </c>
      <c r="I66" s="67">
        <f>-I60/I58/(I$7/365)</f>
        <v>0.0017029965133180966</v>
      </c>
      <c r="J66" s="2"/>
      <c r="K66" s="2"/>
      <c r="L66" s="2"/>
      <c r="M66" s="2"/>
      <c r="N66" s="2"/>
      <c r="O66" s="2"/>
    </row>
    <row r="67">
      <c r="A67" s="36" t="s">
        <v>186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>
      <c r="A68" s="62" t="s">
        <v>187</v>
      </c>
      <c r="B68" s="3" t="s">
        <v>37</v>
      </c>
      <c r="C68" s="3">
        <f>B53</f>
        <v>275158</v>
      </c>
      <c r="D68" s="3">
        <f>C53</f>
        <v>268851</v>
      </c>
      <c r="E68" s="3">
        <f>D53</f>
        <v>277119</v>
      </c>
      <c r="F68" s="3" t="s">
        <v>37</v>
      </c>
      <c r="G68" s="3">
        <f>E53</f>
        <v>286099</v>
      </c>
      <c r="H68" s="3">
        <f>G53</f>
        <v>287971</v>
      </c>
      <c r="I68" s="46">
        <f>H53</f>
        <v>285565</v>
      </c>
      <c r="J68" s="2"/>
      <c r="K68" s="2"/>
      <c r="L68" s="2"/>
      <c r="M68" s="2"/>
      <c r="N68" s="2"/>
      <c r="O68" s="2"/>
    </row>
    <row r="69">
      <c r="A69" s="79" t="s">
        <v>188</v>
      </c>
      <c r="B69" s="3" t="s">
        <v>37</v>
      </c>
      <c r="C69" s="3">
        <f>C37-B37</f>
        <v>-771</v>
      </c>
      <c r="D69" s="3">
        <f>D37-C37</f>
        <v>882</v>
      </c>
      <c r="E69" s="3">
        <f>E37-D37</f>
        <v>3369</v>
      </c>
      <c r="F69" s="3" t="s">
        <v>37</v>
      </c>
      <c r="G69" s="3">
        <f>G37-E37</f>
        <v>-1685</v>
      </c>
      <c r="H69" s="3">
        <f>H37-G37</f>
        <v>81</v>
      </c>
      <c r="I69" s="46">
        <f>I37-H37</f>
        <v>868.1549999999916</v>
      </c>
      <c r="J69" s="2"/>
      <c r="K69" s="2"/>
      <c r="L69" s="2"/>
      <c r="M69" s="2"/>
      <c r="N69" s="2"/>
      <c r="O69" s="2"/>
    </row>
    <row r="70">
      <c r="A70" s="79" t="s">
        <v>189</v>
      </c>
      <c r="B70" s="3" t="s">
        <v>37</v>
      </c>
      <c r="C70" s="3">
        <f>C41-B41</f>
        <v>5947</v>
      </c>
      <c r="D70" s="3">
        <f>D41-C41</f>
        <v>132</v>
      </c>
      <c r="E70" s="3">
        <f>E41-D41</f>
        <v>-843</v>
      </c>
      <c r="F70" s="3" t="s">
        <v>37</v>
      </c>
      <c r="G70" s="3">
        <f>G41-E41</f>
        <v>-1481</v>
      </c>
      <c r="H70" s="3">
        <f>H41-G41</f>
        <v>901</v>
      </c>
      <c r="I70" s="46">
        <f>I41-H41</f>
        <v>595</v>
      </c>
      <c r="J70" s="2"/>
      <c r="K70" s="2"/>
      <c r="L70" s="2"/>
      <c r="M70" s="2"/>
      <c r="N70" s="2"/>
      <c r="O70" s="2"/>
    </row>
    <row r="71">
      <c r="A71" s="79" t="s">
        <v>190</v>
      </c>
      <c r="B71" s="3" t="s">
        <v>37</v>
      </c>
      <c r="C71" s="3">
        <f>C45-B45</f>
        <v>-10589</v>
      </c>
      <c r="D71" s="3">
        <f>D45-C45</f>
        <v>7872</v>
      </c>
      <c r="E71" s="3">
        <f>E45-D45</f>
        <v>6878</v>
      </c>
      <c r="F71" s="3" t="s">
        <v>37</v>
      </c>
      <c r="G71" s="3">
        <f>G45-E45</f>
        <v>5592</v>
      </c>
      <c r="H71" s="3">
        <f>H45-G45</f>
        <v>-3627</v>
      </c>
      <c r="I71" s="46">
        <f>I45-H45</f>
        <v>4787.640000000014</v>
      </c>
      <c r="J71" s="2"/>
      <c r="K71" s="2"/>
      <c r="L71" s="2"/>
      <c r="M71" s="2"/>
      <c r="N71" s="2"/>
      <c r="O71" s="2"/>
    </row>
    <row r="72">
      <c r="A72" s="79" t="s">
        <v>191</v>
      </c>
      <c r="B72" s="3" t="s">
        <v>37</v>
      </c>
      <c r="C72" s="3">
        <f>C49-B49</f>
        <v>-894</v>
      </c>
      <c r="D72" s="3">
        <f>D49-C49</f>
        <v>-618</v>
      </c>
      <c r="E72" s="3">
        <f>E49-D49</f>
        <v>-424</v>
      </c>
      <c r="F72" s="3" t="s">
        <v>37</v>
      </c>
      <c r="G72" s="3">
        <f>G49-E49</f>
        <v>-554</v>
      </c>
      <c r="H72" s="3">
        <f>H49-G49</f>
        <v>239</v>
      </c>
      <c r="I72" s="46">
        <f>I49-H49</f>
        <v>0</v>
      </c>
      <c r="J72" s="2"/>
      <c r="K72" s="2"/>
      <c r="L72" s="2"/>
      <c r="M72" s="2"/>
      <c r="N72" s="2"/>
      <c r="O72" s="2"/>
    </row>
    <row r="73">
      <c r="A73" s="73" t="s">
        <v>192</v>
      </c>
      <c r="B73" s="15" t="s">
        <v>37</v>
      </c>
      <c r="C73" s="15">
        <f>C69+C70+C71+C72</f>
        <v>-6307</v>
      </c>
      <c r="D73" s="15">
        <f>D69+D70+D71+D72</f>
        <v>8268</v>
      </c>
      <c r="E73" s="15">
        <f>E69+E70+E71+E72</f>
        <v>8980</v>
      </c>
      <c r="F73" s="15" t="s">
        <v>37</v>
      </c>
      <c r="G73" s="15">
        <f>G69+G70+G71+G72</f>
        <v>1872</v>
      </c>
      <c r="H73" s="15">
        <f>H69+H70+H71+H72</f>
        <v>-2406</v>
      </c>
      <c r="I73" s="38">
        <f>I69+I70+I71+I72</f>
        <v>6250.7950000000055</v>
      </c>
      <c r="J73" s="2"/>
      <c r="K73" s="2"/>
      <c r="L73" s="2"/>
      <c r="M73" s="2"/>
      <c r="N73" s="2"/>
      <c r="O73" s="2"/>
    </row>
    <row r="74">
      <c r="A74" s="73" t="s">
        <v>193</v>
      </c>
      <c r="B74" s="15" t="s">
        <v>37</v>
      </c>
      <c r="C74" s="15">
        <f>C68+C73</f>
        <v>268851</v>
      </c>
      <c r="D74" s="15">
        <f>D68+D73</f>
        <v>277119</v>
      </c>
      <c r="E74" s="15">
        <f>E68+E73</f>
        <v>286099</v>
      </c>
      <c r="F74" s="15" t="s">
        <v>37</v>
      </c>
      <c r="G74" s="15">
        <f>G68+G73</f>
        <v>287971</v>
      </c>
      <c r="H74" s="15">
        <f>H68+H73</f>
        <v>285565</v>
      </c>
      <c r="I74" s="38">
        <f>I68+I73</f>
        <v>291815.795</v>
      </c>
      <c r="J74" s="2"/>
      <c r="K74" s="2"/>
      <c r="L74" s="2"/>
      <c r="M74" s="2"/>
      <c r="N74" s="2"/>
      <c r="O74" s="2"/>
    </row>
    <row r="75">
      <c r="A75" s="62" t="s">
        <v>194</v>
      </c>
      <c r="B75" s="3" t="s">
        <v>37</v>
      </c>
      <c r="C75" s="3">
        <f>(C68+C74)/2</f>
        <v>272004.5</v>
      </c>
      <c r="D75" s="3">
        <f>(D68+D74)/2</f>
        <v>272985</v>
      </c>
      <c r="E75" s="3">
        <f>(E68+E74)/2</f>
        <v>281609</v>
      </c>
      <c r="F75" s="3" t="s">
        <v>37</v>
      </c>
      <c r="G75" s="3">
        <f>(G68+G74)/2</f>
        <v>287035</v>
      </c>
      <c r="H75" s="3">
        <f>(H68+H74)/2</f>
        <v>286768</v>
      </c>
      <c r="I75" s="46">
        <f>(I68+I74)/2</f>
        <v>288690.39749999996</v>
      </c>
      <c r="J75" s="2"/>
      <c r="K75" s="2"/>
      <c r="L75" s="2"/>
      <c r="M75" s="2"/>
      <c r="N75" s="2"/>
      <c r="O75" s="2"/>
    </row>
    <row r="76">
      <c r="A76" s="61" t="s">
        <v>195</v>
      </c>
      <c r="B76" s="12" t="s">
        <v>37</v>
      </c>
      <c r="C76" s="12">
        <f>C73/C68</f>
        <v>-0.022921376082105555</v>
      </c>
      <c r="D76" s="12">
        <f>D73/D68</f>
        <v>0.03075309372105739</v>
      </c>
      <c r="E76" s="12">
        <f>E73/E68</f>
        <v>0.032404851345450875</v>
      </c>
      <c r="F76" s="12" t="s">
        <v>37</v>
      </c>
      <c r="G76" s="12">
        <f>G73/G68</f>
        <v>0.006543189595210049</v>
      </c>
      <c r="H76" s="12">
        <f>H73/H68</f>
        <v>-0.00835500796955249</v>
      </c>
      <c r="I76" s="35">
        <f>I73/I68</f>
        <v>0.021889219617250034</v>
      </c>
      <c r="J76" s="2"/>
      <c r="K76" s="2"/>
      <c r="L76" s="2"/>
      <c r="M76" s="2"/>
      <c r="N76" s="2"/>
      <c r="O76" s="2"/>
    </row>
    <row r="77">
      <c r="A77" s="26" t="s">
        <v>196</v>
      </c>
      <c r="B77" s="12">
        <f>B27/B53</f>
        <v>0.6621323021682088</v>
      </c>
      <c r="C77" s="12">
        <f>C27/C53</f>
        <v>0.6901406355193025</v>
      </c>
      <c r="D77" s="12">
        <f>D27/D53</f>
        <v>0.6818623046416882</v>
      </c>
      <c r="E77" s="12">
        <f>E27/E53</f>
        <v>0.6783491029329008</v>
      </c>
      <c r="F77" s="12">
        <f>F27/F53</f>
        <v>0.6781161145108208</v>
      </c>
      <c r="G77" s="12">
        <f>G27/G53</f>
        <v>0.7082240920092648</v>
      </c>
      <c r="H77" s="12">
        <f>H27/H53</f>
        <v>0.7492409784112198</v>
      </c>
      <c r="I77" s="35">
        <f>I27/I53</f>
        <v>0.7528647823878073</v>
      </c>
      <c r="J77" s="2"/>
      <c r="K77" s="2"/>
      <c r="L77" s="2"/>
      <c r="M77" s="2"/>
      <c r="N77" s="2"/>
      <c r="O77" s="2"/>
    </row>
    <row r="78">
      <c r="A78" s="19" t="s">
        <v>144</v>
      </c>
      <c r="B78" s="5" t="s">
        <v>37</v>
      </c>
      <c r="C78" s="5">
        <f>IF(AND(ISNUMBER(C77),ISNUMBER(B77)),(C77-B77)*10000,"n/a")</f>
        <v>280.0833335109365</v>
      </c>
      <c r="D78" s="5">
        <f>IF(AND(ISNUMBER(D77),ISNUMBER(C77)),(D77-C77)*10000,"n/a")</f>
        <v>-82.78330877614314</v>
      </c>
      <c r="E78" s="5">
        <f>IF(AND(ISNUMBER(E77),ISNUMBER(D77)),(E77-D77)*10000,"n/a")</f>
        <v>-35.13201708787328</v>
      </c>
      <c r="F78" s="5" t="s">
        <v>37</v>
      </c>
      <c r="G78" s="5">
        <f>IF(AND(ISNUMBER(G77),ISNUMBER(E77)),(G77-E77)*10000,"n/a")</f>
        <v>298.7498907636399</v>
      </c>
      <c r="H78" s="5">
        <f>IF(AND(ISNUMBER(H77),ISNUMBER(G77)),(H77-G77)*10000,"n/a")</f>
        <v>410.16886401954997</v>
      </c>
      <c r="I78" s="45">
        <f>IF(AND(ISNUMBER(I77),ISNUMBER(H77)),(I77-H77)*10000,"n/a")</f>
        <v>36.23803976587459</v>
      </c>
      <c r="J78" s="2"/>
      <c r="K78" s="2"/>
      <c r="L78" s="2"/>
      <c r="M78" s="2"/>
      <c r="N78" s="2"/>
      <c r="O78" s="2"/>
    </row>
    <row r="79">
      <c r="A79" s="19" t="s">
        <v>145</v>
      </c>
      <c r="B79" s="5" t="s">
        <v>37</v>
      </c>
      <c r="C79" s="5" t="s">
        <v>37</v>
      </c>
      <c r="D79" s="5" t="s">
        <v>37</v>
      </c>
      <c r="E79" s="5" t="s">
        <v>37</v>
      </c>
      <c r="F79" s="5" t="s">
        <v>37</v>
      </c>
      <c r="G79" s="5">
        <f>IF(AND(ISNUMBER(G77),ISNUMBER(B77)),(G77-B77)*10000,"n/a")</f>
        <v>460.91789841056</v>
      </c>
      <c r="H79" s="5">
        <f>IF(AND(ISNUMBER(H77),ISNUMBER(C77)),(H77-C77)*10000,"n/a")</f>
        <v>591.0034289191734</v>
      </c>
      <c r="I79" s="45">
        <f>IF(AND(ISNUMBER(I77),ISNUMBER(D77)),(I77-D77)*10000,"n/a")</f>
        <v>710.0247774611912</v>
      </c>
      <c r="J79" s="2"/>
      <c r="K79" s="2"/>
      <c r="L79" s="2"/>
      <c r="M79" s="2"/>
      <c r="N79" s="2"/>
      <c r="O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>
      <c r="A81" s="16" t="s">
        <v>197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>
      <c r="A82" s="26" t="s">
        <v>198</v>
      </c>
      <c r="B82" s="58">
        <v>0.0355</v>
      </c>
      <c r="C82" s="58">
        <v>0.0347</v>
      </c>
      <c r="D82" s="58">
        <v>0.0349</v>
      </c>
      <c r="E82" s="58">
        <v>0.0344</v>
      </c>
      <c r="F82" s="69">
        <f>F85/F34/(F$7/365)</f>
        <v>0.03485298554243039</v>
      </c>
      <c r="G82" s="58">
        <v>0.0347</v>
      </c>
      <c r="H82" s="58">
        <v>0.0338</v>
      </c>
      <c r="I82" s="75">
        <v>0.0334</v>
      </c>
      <c r="J82" s="6" t="s">
        <v>199</v>
      </c>
      <c r="K82" s="2"/>
      <c r="L82" s="2"/>
      <c r="M82" s="2"/>
      <c r="N82" s="2"/>
      <c r="O82" s="2"/>
    </row>
    <row r="83">
      <c r="A83" s="19" t="s">
        <v>144</v>
      </c>
      <c r="B83" s="5" t="s">
        <v>37</v>
      </c>
      <c r="C83" s="5">
        <f>IF(AND(ISNUMBER(C82),ISNUMBER(B82)),(C82-B82)*10000,"n/a")</f>
        <v>-7.999999999999952</v>
      </c>
      <c r="D83" s="5">
        <f>IF(AND(ISNUMBER(D82),ISNUMBER(C82)),(D82-C82)*10000,"n/a")</f>
        <v>1.999999999999988</v>
      </c>
      <c r="E83" s="5">
        <f>IF(AND(ISNUMBER(E82),ISNUMBER(D82)),(E82-D82)*10000,"n/a")</f>
        <v>-5.000000000000004</v>
      </c>
      <c r="F83" s="5" t="s">
        <v>37</v>
      </c>
      <c r="G83" s="5">
        <f>IF(AND(ISNUMBER(G82),ISNUMBER(E82)),(G82-E82)*10000,"n/a")</f>
        <v>3.0000000000000164</v>
      </c>
      <c r="H83" s="5">
        <f>IF(AND(ISNUMBER(H82),ISNUMBER(G82)),(H82-G82)*10000,"n/a")</f>
        <v>-9.00000000000005</v>
      </c>
      <c r="I83" s="45">
        <f>IF(AND(ISNUMBER(I82),ISNUMBER(H82)),(I82-H82)*10000,"n/a")</f>
        <v>-3.999999999999976</v>
      </c>
      <c r="J83" s="2"/>
      <c r="K83" s="2"/>
      <c r="L83" s="2"/>
      <c r="M83" s="2"/>
      <c r="N83" s="2"/>
      <c r="O83" s="2"/>
    </row>
    <row r="84">
      <c r="A84" s="19" t="s">
        <v>145</v>
      </c>
      <c r="B84" s="5" t="s">
        <v>37</v>
      </c>
      <c r="C84" s="5" t="s">
        <v>37</v>
      </c>
      <c r="D84" s="5" t="s">
        <v>37</v>
      </c>
      <c r="E84" s="5" t="s">
        <v>37</v>
      </c>
      <c r="F84" s="5" t="s">
        <v>37</v>
      </c>
      <c r="G84" s="5">
        <f>IF(AND(ISNUMBER(G82),ISNUMBER(B82)),(G82-B82)*10000,"n/a")</f>
        <v>-7.999999999999952</v>
      </c>
      <c r="H84" s="5">
        <f>IF(AND(ISNUMBER(H82),ISNUMBER(C82)),(H82-C82)*10000,"n/a")</f>
        <v>-9.00000000000005</v>
      </c>
      <c r="I84" s="45">
        <f>IF(AND(ISNUMBER(I82),ISNUMBER(D82)),(I82-D82)*10000,"n/a")</f>
        <v>-15.000000000000014</v>
      </c>
      <c r="J84" s="2"/>
      <c r="K84" s="2"/>
      <c r="L84" s="2"/>
      <c r="M84" s="2"/>
      <c r="N84" s="2"/>
      <c r="O84" s="2"/>
    </row>
    <row r="85">
      <c r="A85" s="16" t="s">
        <v>121</v>
      </c>
      <c r="B85" s="20">
        <v>1709</v>
      </c>
      <c r="C85" s="20">
        <v>1724</v>
      </c>
      <c r="D85" s="20">
        <v>1769</v>
      </c>
      <c r="E85" s="20">
        <v>1797</v>
      </c>
      <c r="F85" s="9">
        <f>SUM(B85:E85)</f>
        <v>6999</v>
      </c>
      <c r="G85" s="20">
        <v>1874</v>
      </c>
      <c r="H85" s="20">
        <v>1937</v>
      </c>
      <c r="I85" s="31">
        <f>I34*I82*(I$7/365)</f>
        <v>1985.1957835287674</v>
      </c>
      <c r="J85" s="2"/>
      <c r="K85" s="2"/>
      <c r="L85" s="2"/>
      <c r="M85" s="2"/>
      <c r="N85" s="2"/>
      <c r="O85" s="2"/>
    </row>
    <row r="86">
      <c r="A86" s="19" t="s">
        <v>97</v>
      </c>
      <c r="B86" s="12" t="s">
        <v>37</v>
      </c>
      <c r="C86" s="12" t="s">
        <v>37</v>
      </c>
      <c r="D86" s="12" t="s">
        <v>37</v>
      </c>
      <c r="E86" s="12" t="s">
        <v>37</v>
      </c>
      <c r="F86" s="12" t="s">
        <v>37</v>
      </c>
      <c r="G86" s="12">
        <f>G85/B85-1</f>
        <v>0.09654768870684616</v>
      </c>
      <c r="H86" s="12">
        <f>H85/C85-1</f>
        <v>0.1235498839907192</v>
      </c>
      <c r="I86" s="35">
        <f>I85/D85-1</f>
        <v>0.12221355767595665</v>
      </c>
      <c r="J86" s="2"/>
      <c r="K86" s="2"/>
      <c r="L86" s="2"/>
      <c r="M86" s="2"/>
      <c r="N86" s="2"/>
      <c r="O86" s="2"/>
    </row>
    <row r="87">
      <c r="A87" s="19" t="s">
        <v>98</v>
      </c>
      <c r="B87" s="12" t="s">
        <v>37</v>
      </c>
      <c r="C87" s="12" t="s">
        <v>37</v>
      </c>
      <c r="D87" s="12" t="s">
        <v>37</v>
      </c>
      <c r="E87" s="12" t="s">
        <v>37</v>
      </c>
      <c r="F87" s="12" t="s">
        <v>37</v>
      </c>
      <c r="G87" s="12" t="s">
        <v>37</v>
      </c>
      <c r="H87" s="12" t="s">
        <v>37</v>
      </c>
      <c r="I87" s="35" t="s">
        <v>37</v>
      </c>
      <c r="J87" s="6" t="s">
        <v>200</v>
      </c>
      <c r="K87" s="2"/>
      <c r="L87" s="2"/>
      <c r="M87" s="2"/>
      <c r="N87" s="2"/>
      <c r="O87" s="2"/>
    </row>
    <row r="88">
      <c r="A88" s="19" t="s">
        <v>100</v>
      </c>
      <c r="B88" s="12" t="s">
        <v>37</v>
      </c>
      <c r="C88" s="12" t="s">
        <v>37</v>
      </c>
      <c r="D88" s="12" t="s">
        <v>37</v>
      </c>
      <c r="E88" s="12" t="s">
        <v>37</v>
      </c>
      <c r="F88" s="12" t="s">
        <v>37</v>
      </c>
      <c r="G88" s="12" t="s">
        <v>37</v>
      </c>
      <c r="H88" s="12" t="s">
        <v>37</v>
      </c>
      <c r="I88" s="35" t="s">
        <v>37</v>
      </c>
      <c r="J88" s="6" t="s">
        <v>101</v>
      </c>
      <c r="K88" s="2"/>
      <c r="L88" s="2"/>
      <c r="M88" s="2"/>
      <c r="N88" s="2"/>
      <c r="O88" s="2"/>
    </row>
    <row r="89">
      <c r="A89" s="19" t="s">
        <v>102</v>
      </c>
      <c r="B89" s="12" t="s">
        <v>37</v>
      </c>
      <c r="C89" s="12" t="s">
        <v>37</v>
      </c>
      <c r="D89" s="12" t="s">
        <v>37</v>
      </c>
      <c r="E89" s="12" t="s">
        <v>37</v>
      </c>
      <c r="F89" s="12" t="s">
        <v>37</v>
      </c>
      <c r="G89" s="12" t="str">
        <f>IF(ISNUMBER(G88),(1+G86)/((1+G87)*(1+G88))-1,"n/a")</f>
        <v>n/a</v>
      </c>
      <c r="H89" s="12" t="str">
        <f>IF(ISNUMBER(H88),(1+H86)/((1+H87)*(1+H88))-1,"n/a")</f>
        <v>n/a</v>
      </c>
      <c r="I89" s="35" t="str">
        <f>IF(ISNUMBER(I88),(1+I86)/((1+I87)*(1+I88))-1,"n/a")</f>
        <v>n/a</v>
      </c>
      <c r="J89" s="6" t="s">
        <v>103</v>
      </c>
      <c r="K89" s="2"/>
      <c r="L89" s="2"/>
      <c r="M89" s="2"/>
      <c r="N89" s="2"/>
      <c r="O89" s="2"/>
    </row>
    <row r="90">
      <c r="A90" s="19" t="s">
        <v>104</v>
      </c>
      <c r="B90" s="12" t="s">
        <v>37</v>
      </c>
      <c r="C90" s="12" t="s">
        <v>37</v>
      </c>
      <c r="D90" s="12" t="s">
        <v>37</v>
      </c>
      <c r="E90" s="12" t="s">
        <v>37</v>
      </c>
      <c r="F90" s="12" t="s">
        <v>37</v>
      </c>
      <c r="G90" s="12" t="str">
        <f>IF(ISNUMBER(G87),G86-G87,"n/a")</f>
        <v>n/a</v>
      </c>
      <c r="H90" s="12" t="str">
        <f>IF(ISNUMBER(H87),H86-H87,"n/a")</f>
        <v>n/a</v>
      </c>
      <c r="I90" s="35" t="str">
        <f>IF(ISNUMBER(I87),I86-I87,"n/a")</f>
        <v>n/a</v>
      </c>
      <c r="J90" s="2"/>
      <c r="K90" s="2"/>
      <c r="L90" s="2"/>
      <c r="M90" s="2"/>
      <c r="N90" s="2"/>
      <c r="O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>
      <c r="A92" s="16" t="s">
        <v>201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>
      <c r="A93" s="36" t="s">
        <v>202</v>
      </c>
      <c r="B93" s="8">
        <v>152</v>
      </c>
      <c r="C93" s="8">
        <v>163</v>
      </c>
      <c r="D93" s="8">
        <v>152</v>
      </c>
      <c r="E93" s="8">
        <v>144</v>
      </c>
      <c r="F93" s="3">
        <f>SUM(B93:E93)</f>
        <v>611</v>
      </c>
      <c r="G93" s="8">
        <v>156</v>
      </c>
      <c r="H93" s="8">
        <v>156</v>
      </c>
      <c r="I93" s="46">
        <f>D93*(1+I94)</f>
        <v>159.6</v>
      </c>
      <c r="J93" s="2"/>
      <c r="K93" s="2"/>
      <c r="L93" s="2"/>
      <c r="M93" s="2"/>
      <c r="N93" s="2"/>
      <c r="O93" s="2"/>
    </row>
    <row r="94">
      <c r="A94" s="14" t="s">
        <v>122</v>
      </c>
      <c r="B94" s="12" t="s">
        <v>37</v>
      </c>
      <c r="C94" s="12" t="s">
        <v>37</v>
      </c>
      <c r="D94" s="12" t="s">
        <v>37</v>
      </c>
      <c r="E94" s="12" t="s">
        <v>37</v>
      </c>
      <c r="F94" s="12" t="s">
        <v>37</v>
      </c>
      <c r="G94" s="12">
        <f>G93/B93-1</f>
        <v>0.026315789473684292</v>
      </c>
      <c r="H94" s="12">
        <f>H93/C93-1</f>
        <v>-0.042944785276073594</v>
      </c>
      <c r="I94" s="60">
        <v>0.05</v>
      </c>
      <c r="J94" s="6" t="s">
        <v>138</v>
      </c>
      <c r="K94" s="2"/>
      <c r="L94" s="2"/>
      <c r="M94" s="2"/>
      <c r="N94" s="2"/>
      <c r="O94" s="2"/>
    </row>
    <row r="95">
      <c r="A95" s="14" t="s">
        <v>110</v>
      </c>
      <c r="B95" s="1" t="s">
        <v>37</v>
      </c>
      <c r="C95" s="1">
        <f>IF(AND(ISNUMBER(C93),ISNUMBER(B93)),C93-B93,"n/a")</f>
        <v>11</v>
      </c>
      <c r="D95" s="1">
        <f>IF(AND(ISNUMBER(D93),ISNUMBER(C93)),D93-C93,"n/a")</f>
        <v>-11</v>
      </c>
      <c r="E95" s="1">
        <f>IF(AND(ISNUMBER(E93),ISNUMBER(D93)),E93-D93,"n/a")</f>
        <v>-8</v>
      </c>
      <c r="F95" s="1" t="s">
        <v>37</v>
      </c>
      <c r="G95" s="1">
        <f>IF(AND(ISNUMBER(G93),ISNUMBER(E93)),G93-E93,"n/a")</f>
        <v>12</v>
      </c>
      <c r="H95" s="1">
        <f>IF(AND(ISNUMBER(H93),ISNUMBER(G93)),H93-G93,"n/a")</f>
        <v>0</v>
      </c>
      <c r="I95" s="13">
        <f>IF(AND(ISNUMBER(I93),ISNUMBER(H93)),I93-H93,"n/a")</f>
        <v>3.5999999999999943</v>
      </c>
      <c r="J95" s="2"/>
      <c r="K95" s="2"/>
      <c r="L95" s="2"/>
      <c r="M95" s="2"/>
      <c r="N95" s="2"/>
      <c r="O95" s="2"/>
    </row>
    <row r="96">
      <c r="A96" s="14" t="s">
        <v>98</v>
      </c>
      <c r="B96" s="12" t="s">
        <v>37</v>
      </c>
      <c r="C96" s="12" t="s">
        <v>37</v>
      </c>
      <c r="D96" s="12" t="s">
        <v>37</v>
      </c>
      <c r="E96" s="12" t="s">
        <v>37</v>
      </c>
      <c r="F96" s="12" t="s">
        <v>37</v>
      </c>
      <c r="G96" s="65">
        <v>0</v>
      </c>
      <c r="H96" s="65">
        <v>0</v>
      </c>
      <c r="I96" s="60">
        <v>0</v>
      </c>
      <c r="J96" s="6" t="s">
        <v>106</v>
      </c>
      <c r="K96" s="2"/>
      <c r="L96" s="2"/>
      <c r="M96" s="2"/>
      <c r="N96" s="2"/>
      <c r="O96" s="2"/>
    </row>
    <row r="97">
      <c r="A97" s="14" t="s">
        <v>100</v>
      </c>
      <c r="B97" s="12" t="s">
        <v>37</v>
      </c>
      <c r="C97" s="12" t="s">
        <v>37</v>
      </c>
      <c r="D97" s="12" t="s">
        <v>37</v>
      </c>
      <c r="E97" s="12" t="s">
        <v>37</v>
      </c>
      <c r="F97" s="12" t="s">
        <v>37</v>
      </c>
      <c r="G97" s="12" t="s">
        <v>37</v>
      </c>
      <c r="H97" s="12" t="s">
        <v>37</v>
      </c>
      <c r="I97" s="35" t="s">
        <v>37</v>
      </c>
      <c r="J97" s="6" t="s">
        <v>101</v>
      </c>
      <c r="K97" s="2"/>
      <c r="L97" s="2"/>
      <c r="M97" s="2"/>
      <c r="N97" s="2"/>
      <c r="O97" s="2"/>
    </row>
    <row r="98">
      <c r="A98" s="14" t="s">
        <v>102</v>
      </c>
      <c r="B98" s="12" t="s">
        <v>37</v>
      </c>
      <c r="C98" s="12" t="s">
        <v>37</v>
      </c>
      <c r="D98" s="12" t="s">
        <v>37</v>
      </c>
      <c r="E98" s="12" t="s">
        <v>37</v>
      </c>
      <c r="F98" s="12" t="s">
        <v>37</v>
      </c>
      <c r="G98" s="12" t="str">
        <f>IF(ISNUMBER(G97),(1+G94)/((1+G96)*(1+G97))-1,"n/a")</f>
        <v>n/a</v>
      </c>
      <c r="H98" s="12" t="str">
        <f>IF(ISNUMBER(H97),(1+H94)/((1+H96)*(1+H97))-1,"n/a")</f>
        <v>n/a</v>
      </c>
      <c r="I98" s="35" t="str">
        <f>IF(ISNUMBER(I97),(1+I94)/((1+I96)*(1+I97))-1,"n/a")</f>
        <v>n/a</v>
      </c>
      <c r="J98" s="6" t="s">
        <v>103</v>
      </c>
      <c r="K98" s="2"/>
      <c r="L98" s="2"/>
      <c r="M98" s="2"/>
      <c r="N98" s="2"/>
      <c r="O98" s="2"/>
    </row>
    <row r="99">
      <c r="A99" s="14" t="s">
        <v>104</v>
      </c>
      <c r="B99" s="12" t="s">
        <v>37</v>
      </c>
      <c r="C99" s="12" t="s">
        <v>37</v>
      </c>
      <c r="D99" s="12" t="s">
        <v>37</v>
      </c>
      <c r="E99" s="12" t="s">
        <v>37</v>
      </c>
      <c r="F99" s="12" t="s">
        <v>37</v>
      </c>
      <c r="G99" s="12">
        <f>IF(ISNUMBER(G96),G94-G96,"n/a")</f>
        <v>0.026315789473684292</v>
      </c>
      <c r="H99" s="12">
        <f>IF(ISNUMBER(H96),H94-H96,"n/a")</f>
        <v>-0.042944785276073594</v>
      </c>
      <c r="I99" s="35">
        <f>IF(ISNUMBER(I96),I94-I96,"n/a")</f>
        <v>0.05</v>
      </c>
      <c r="J99" s="2"/>
      <c r="K99" s="2"/>
      <c r="L99" s="2"/>
      <c r="M99" s="2"/>
      <c r="N99" s="2"/>
      <c r="O99" s="2"/>
    </row>
    <row r="100">
      <c r="A100" s="36" t="s">
        <v>203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>
      <c r="A101" s="62" t="s">
        <v>204</v>
      </c>
      <c r="B101" s="8">
        <v>167</v>
      </c>
      <c r="C101" s="8">
        <v>172</v>
      </c>
      <c r="D101" s="8">
        <v>175</v>
      </c>
      <c r="E101" s="8">
        <v>181</v>
      </c>
      <c r="F101" s="3">
        <f>SUM(B101:E101)</f>
        <v>695</v>
      </c>
      <c r="G101" s="8">
        <v>178</v>
      </c>
      <c r="H101" s="8">
        <v>191</v>
      </c>
      <c r="I101" s="46">
        <f>D101*(1+I102)</f>
        <v>194.25000000000003</v>
      </c>
      <c r="J101" s="2"/>
      <c r="K101" s="2"/>
      <c r="L101" s="2"/>
      <c r="M101" s="2"/>
      <c r="N101" s="2"/>
      <c r="O101" s="2"/>
    </row>
    <row r="102">
      <c r="A102" s="61" t="s">
        <v>122</v>
      </c>
      <c r="B102" s="12" t="s">
        <v>37</v>
      </c>
      <c r="C102" s="12" t="s">
        <v>37</v>
      </c>
      <c r="D102" s="12" t="s">
        <v>37</v>
      </c>
      <c r="E102" s="12" t="s">
        <v>37</v>
      </c>
      <c r="F102" s="12" t="s">
        <v>37</v>
      </c>
      <c r="G102" s="12">
        <f>G101/B101-1</f>
        <v>0.06586826347305386</v>
      </c>
      <c r="H102" s="12">
        <f>H101/C101-1</f>
        <v>0.11046511627906974</v>
      </c>
      <c r="I102" s="60">
        <v>0.11</v>
      </c>
      <c r="J102" s="6" t="s">
        <v>138</v>
      </c>
      <c r="K102" s="2"/>
      <c r="L102" s="2"/>
      <c r="M102" s="2"/>
      <c r="N102" s="2"/>
      <c r="O102" s="2"/>
    </row>
    <row r="103">
      <c r="A103" s="61" t="s">
        <v>110</v>
      </c>
      <c r="B103" s="1" t="s">
        <v>37</v>
      </c>
      <c r="C103" s="1">
        <f>IF(AND(ISNUMBER(C101),ISNUMBER(B101)),C101-B101,"n/a")</f>
        <v>5</v>
      </c>
      <c r="D103" s="1">
        <f>IF(AND(ISNUMBER(D101),ISNUMBER(C101)),D101-C101,"n/a")</f>
        <v>3</v>
      </c>
      <c r="E103" s="1">
        <f>IF(AND(ISNUMBER(E101),ISNUMBER(D101)),E101-D101,"n/a")</f>
        <v>6</v>
      </c>
      <c r="F103" s="1" t="s">
        <v>37</v>
      </c>
      <c r="G103" s="1">
        <f>IF(AND(ISNUMBER(G101),ISNUMBER(E101)),G101-E101,"n/a")</f>
        <v>-3</v>
      </c>
      <c r="H103" s="1">
        <f>IF(AND(ISNUMBER(H101),ISNUMBER(G101)),H101-G101,"n/a")</f>
        <v>13</v>
      </c>
      <c r="I103" s="13">
        <f>IF(AND(ISNUMBER(I101),ISNUMBER(H101)),I101-H101,"n/a")</f>
        <v>3.2500000000000284</v>
      </c>
      <c r="J103" s="2"/>
      <c r="K103" s="2"/>
      <c r="L103" s="2"/>
      <c r="M103" s="2"/>
      <c r="N103" s="2"/>
      <c r="O103" s="2"/>
    </row>
    <row r="104">
      <c r="A104" s="61" t="s">
        <v>98</v>
      </c>
      <c r="B104" s="12" t="s">
        <v>37</v>
      </c>
      <c r="C104" s="12" t="s">
        <v>37</v>
      </c>
      <c r="D104" s="12" t="s">
        <v>37</v>
      </c>
      <c r="E104" s="12" t="s">
        <v>37</v>
      </c>
      <c r="F104" s="12" t="s">
        <v>37</v>
      </c>
      <c r="G104" s="65">
        <v>0</v>
      </c>
      <c r="H104" s="65">
        <v>0</v>
      </c>
      <c r="I104" s="60">
        <v>0</v>
      </c>
      <c r="J104" s="6" t="s">
        <v>106</v>
      </c>
      <c r="K104" s="2"/>
      <c r="L104" s="2"/>
      <c r="M104" s="2"/>
      <c r="N104" s="2"/>
      <c r="O104" s="2"/>
    </row>
    <row r="105">
      <c r="A105" s="61" t="s">
        <v>100</v>
      </c>
      <c r="B105" s="12" t="s">
        <v>37</v>
      </c>
      <c r="C105" s="12" t="s">
        <v>37</v>
      </c>
      <c r="D105" s="12" t="s">
        <v>37</v>
      </c>
      <c r="E105" s="12" t="s">
        <v>37</v>
      </c>
      <c r="F105" s="12" t="s">
        <v>37</v>
      </c>
      <c r="G105" s="12" t="s">
        <v>37</v>
      </c>
      <c r="H105" s="12" t="s">
        <v>37</v>
      </c>
      <c r="I105" s="35" t="s">
        <v>37</v>
      </c>
      <c r="J105" s="6" t="s">
        <v>101</v>
      </c>
      <c r="K105" s="2"/>
      <c r="L105" s="2"/>
      <c r="M105" s="2"/>
      <c r="N105" s="2"/>
      <c r="O105" s="2"/>
    </row>
    <row r="106">
      <c r="A106" s="61" t="s">
        <v>102</v>
      </c>
      <c r="B106" s="12" t="s">
        <v>37</v>
      </c>
      <c r="C106" s="12" t="s">
        <v>37</v>
      </c>
      <c r="D106" s="12" t="s">
        <v>37</v>
      </c>
      <c r="E106" s="12" t="s">
        <v>37</v>
      </c>
      <c r="F106" s="12" t="s">
        <v>37</v>
      </c>
      <c r="G106" s="12" t="str">
        <f>IF(ISNUMBER(G105),(1+G102)/((1+G104)*(1+G105))-1,"n/a")</f>
        <v>n/a</v>
      </c>
      <c r="H106" s="12" t="str">
        <f>IF(ISNUMBER(H105),(1+H102)/((1+H104)*(1+H105))-1,"n/a")</f>
        <v>n/a</v>
      </c>
      <c r="I106" s="35" t="str">
        <f>IF(ISNUMBER(I105),(1+I102)/((1+I104)*(1+I105))-1,"n/a")</f>
        <v>n/a</v>
      </c>
      <c r="J106" s="6" t="s">
        <v>103</v>
      </c>
      <c r="K106" s="2"/>
      <c r="L106" s="2"/>
      <c r="M106" s="2"/>
      <c r="N106" s="2"/>
      <c r="O106" s="2"/>
    </row>
    <row r="107">
      <c r="A107" s="61" t="s">
        <v>104</v>
      </c>
      <c r="B107" s="12" t="s">
        <v>37</v>
      </c>
      <c r="C107" s="12" t="s">
        <v>37</v>
      </c>
      <c r="D107" s="12" t="s">
        <v>37</v>
      </c>
      <c r="E107" s="12" t="s">
        <v>37</v>
      </c>
      <c r="F107" s="12" t="s">
        <v>37</v>
      </c>
      <c r="G107" s="12">
        <f>IF(ISNUMBER(G104),G102-G104,"n/a")</f>
        <v>0.06586826347305386</v>
      </c>
      <c r="H107" s="12">
        <f>IF(ISNUMBER(H104),H102-H104,"n/a")</f>
        <v>0.11046511627906974</v>
      </c>
      <c r="I107" s="35">
        <f>IF(ISNUMBER(I104),I102-I104,"n/a")</f>
        <v>0.11</v>
      </c>
      <c r="J107" s="2"/>
      <c r="K107" s="2"/>
      <c r="L107" s="2"/>
      <c r="M107" s="2"/>
      <c r="N107" s="2"/>
      <c r="O107" s="2"/>
    </row>
    <row r="108">
      <c r="A108" s="62" t="s">
        <v>205</v>
      </c>
      <c r="B108" s="8">
        <v>64</v>
      </c>
      <c r="C108" s="8">
        <v>62</v>
      </c>
      <c r="D108" s="8">
        <v>65</v>
      </c>
      <c r="E108" s="8">
        <v>65</v>
      </c>
      <c r="F108" s="3">
        <f>SUM(B108:E108)</f>
        <v>256</v>
      </c>
      <c r="G108" s="8">
        <v>65</v>
      </c>
      <c r="H108" s="8">
        <v>69</v>
      </c>
      <c r="I108" s="46">
        <f>D108*(1+I109)</f>
        <v>70.85000000000001</v>
      </c>
      <c r="J108" s="2"/>
      <c r="K108" s="2"/>
      <c r="L108" s="2"/>
      <c r="M108" s="2"/>
      <c r="N108" s="2"/>
      <c r="O108" s="2"/>
    </row>
    <row r="109">
      <c r="A109" s="61" t="s">
        <v>122</v>
      </c>
      <c r="B109" s="12" t="s">
        <v>37</v>
      </c>
      <c r="C109" s="12" t="s">
        <v>37</v>
      </c>
      <c r="D109" s="12" t="s">
        <v>37</v>
      </c>
      <c r="E109" s="12" t="s">
        <v>37</v>
      </c>
      <c r="F109" s="12" t="s">
        <v>37</v>
      </c>
      <c r="G109" s="12">
        <f>G108/B108-1</f>
        <v>0.015625</v>
      </c>
      <c r="H109" s="12">
        <f>H108/C108-1</f>
        <v>0.11290322580645151</v>
      </c>
      <c r="I109" s="60">
        <v>0.09</v>
      </c>
      <c r="J109" s="6" t="s">
        <v>138</v>
      </c>
      <c r="K109" s="2"/>
      <c r="L109" s="2"/>
      <c r="M109" s="2"/>
      <c r="N109" s="2"/>
      <c r="O109" s="2"/>
    </row>
    <row r="110">
      <c r="A110" s="61" t="s">
        <v>110</v>
      </c>
      <c r="B110" s="1" t="s">
        <v>37</v>
      </c>
      <c r="C110" s="1">
        <f>IF(AND(ISNUMBER(C108),ISNUMBER(B108)),C108-B108,"n/a")</f>
        <v>-2</v>
      </c>
      <c r="D110" s="1">
        <f>IF(AND(ISNUMBER(D108),ISNUMBER(C108)),D108-C108,"n/a")</f>
        <v>3</v>
      </c>
      <c r="E110" s="1">
        <f>IF(AND(ISNUMBER(E108),ISNUMBER(D108)),E108-D108,"n/a")</f>
        <v>0</v>
      </c>
      <c r="F110" s="1" t="s">
        <v>37</v>
      </c>
      <c r="G110" s="1">
        <f>IF(AND(ISNUMBER(G108),ISNUMBER(E108)),G108-E108,"n/a")</f>
        <v>0</v>
      </c>
      <c r="H110" s="1">
        <f>IF(AND(ISNUMBER(H108),ISNUMBER(G108)),H108-G108,"n/a")</f>
        <v>4</v>
      </c>
      <c r="I110" s="13">
        <f>IF(AND(ISNUMBER(I108),ISNUMBER(H108)),I108-H108,"n/a")</f>
        <v>1.8500000000000085</v>
      </c>
      <c r="J110" s="2"/>
      <c r="K110" s="2"/>
      <c r="L110" s="2"/>
      <c r="M110" s="2"/>
      <c r="N110" s="2"/>
      <c r="O110" s="2"/>
    </row>
    <row r="111">
      <c r="A111" s="61" t="s">
        <v>98</v>
      </c>
      <c r="B111" s="12" t="s">
        <v>37</v>
      </c>
      <c r="C111" s="12" t="s">
        <v>37</v>
      </c>
      <c r="D111" s="12" t="s">
        <v>37</v>
      </c>
      <c r="E111" s="12" t="s">
        <v>37</v>
      </c>
      <c r="F111" s="12" t="s">
        <v>37</v>
      </c>
      <c r="G111" s="65">
        <v>0</v>
      </c>
      <c r="H111" s="65">
        <v>0</v>
      </c>
      <c r="I111" s="60">
        <v>0</v>
      </c>
      <c r="J111" s="6" t="s">
        <v>106</v>
      </c>
      <c r="K111" s="2"/>
      <c r="L111" s="2"/>
      <c r="M111" s="2"/>
      <c r="N111" s="2"/>
      <c r="O111" s="2"/>
    </row>
    <row r="112">
      <c r="A112" s="61" t="s">
        <v>100</v>
      </c>
      <c r="B112" s="12" t="s">
        <v>37</v>
      </c>
      <c r="C112" s="12" t="s">
        <v>37</v>
      </c>
      <c r="D112" s="12" t="s">
        <v>37</v>
      </c>
      <c r="E112" s="12" t="s">
        <v>37</v>
      </c>
      <c r="F112" s="12" t="s">
        <v>37</v>
      </c>
      <c r="G112" s="12" t="s">
        <v>37</v>
      </c>
      <c r="H112" s="12" t="s">
        <v>37</v>
      </c>
      <c r="I112" s="35" t="s">
        <v>37</v>
      </c>
      <c r="J112" s="6" t="s">
        <v>101</v>
      </c>
      <c r="K112" s="2"/>
      <c r="L112" s="2"/>
      <c r="M112" s="2"/>
      <c r="N112" s="2"/>
      <c r="O112" s="2"/>
    </row>
    <row r="113">
      <c r="A113" s="61" t="s">
        <v>102</v>
      </c>
      <c r="B113" s="12" t="s">
        <v>37</v>
      </c>
      <c r="C113" s="12" t="s">
        <v>37</v>
      </c>
      <c r="D113" s="12" t="s">
        <v>37</v>
      </c>
      <c r="E113" s="12" t="s">
        <v>37</v>
      </c>
      <c r="F113" s="12" t="s">
        <v>37</v>
      </c>
      <c r="G113" s="12" t="str">
        <f>IF(ISNUMBER(G112),(1+G109)/((1+G111)*(1+G112))-1,"n/a")</f>
        <v>n/a</v>
      </c>
      <c r="H113" s="12" t="str">
        <f>IF(ISNUMBER(H112),(1+H109)/((1+H111)*(1+H112))-1,"n/a")</f>
        <v>n/a</v>
      </c>
      <c r="I113" s="35" t="str">
        <f>IF(ISNUMBER(I112),(1+I109)/((1+I111)*(1+I112))-1,"n/a")</f>
        <v>n/a</v>
      </c>
      <c r="J113" s="6" t="s">
        <v>103</v>
      </c>
      <c r="K113" s="2"/>
      <c r="L113" s="2"/>
      <c r="M113" s="2"/>
      <c r="N113" s="2"/>
      <c r="O113" s="2"/>
    </row>
    <row r="114">
      <c r="A114" s="61" t="s">
        <v>104</v>
      </c>
      <c r="B114" s="12" t="s">
        <v>37</v>
      </c>
      <c r="C114" s="12" t="s">
        <v>37</v>
      </c>
      <c r="D114" s="12" t="s">
        <v>37</v>
      </c>
      <c r="E114" s="12" t="s">
        <v>37</v>
      </c>
      <c r="F114" s="12" t="s">
        <v>37</v>
      </c>
      <c r="G114" s="12">
        <f>IF(ISNUMBER(G111),G109-G111,"n/a")</f>
        <v>0.015625</v>
      </c>
      <c r="H114" s="12">
        <f>IF(ISNUMBER(H111),H109-H111,"n/a")</f>
        <v>0.11290322580645151</v>
      </c>
      <c r="I114" s="35">
        <f>IF(ISNUMBER(I111),I109-I111,"n/a")</f>
        <v>0.09</v>
      </c>
      <c r="J114" s="2"/>
      <c r="K114" s="2"/>
      <c r="L114" s="2"/>
      <c r="M114" s="2"/>
      <c r="N114" s="2"/>
      <c r="O114" s="2"/>
    </row>
    <row r="115">
      <c r="A115" s="62" t="s">
        <v>206</v>
      </c>
      <c r="B115" s="8">
        <v>219</v>
      </c>
      <c r="C115" s="8">
        <v>231</v>
      </c>
      <c r="D115" s="8">
        <v>242</v>
      </c>
      <c r="E115" s="8">
        <v>253</v>
      </c>
      <c r="F115" s="3">
        <f>SUM(B115:E115)</f>
        <v>945</v>
      </c>
      <c r="G115" s="8">
        <v>243</v>
      </c>
      <c r="H115" s="8">
        <v>262</v>
      </c>
      <c r="I115" s="46">
        <f>D115*(1+I116)</f>
        <v>273.46</v>
      </c>
      <c r="J115" s="2"/>
      <c r="K115" s="2"/>
      <c r="L115" s="2"/>
      <c r="M115" s="2"/>
      <c r="N115" s="2"/>
      <c r="O115" s="2"/>
    </row>
    <row r="116">
      <c r="A116" s="61" t="s">
        <v>122</v>
      </c>
      <c r="B116" s="12" t="s">
        <v>37</v>
      </c>
      <c r="C116" s="12" t="s">
        <v>37</v>
      </c>
      <c r="D116" s="12" t="s">
        <v>37</v>
      </c>
      <c r="E116" s="12" t="s">
        <v>37</v>
      </c>
      <c r="F116" s="12" t="s">
        <v>37</v>
      </c>
      <c r="G116" s="12">
        <f>G115/B115-1</f>
        <v>0.1095890410958904</v>
      </c>
      <c r="H116" s="12">
        <f>H115/C115-1</f>
        <v>0.1341991341991342</v>
      </c>
      <c r="I116" s="60">
        <v>0.13</v>
      </c>
      <c r="J116" s="6" t="s">
        <v>138</v>
      </c>
      <c r="K116" s="2"/>
      <c r="L116" s="2"/>
      <c r="M116" s="2"/>
      <c r="N116" s="2"/>
      <c r="O116" s="2"/>
    </row>
    <row r="117">
      <c r="A117" s="61" t="s">
        <v>110</v>
      </c>
      <c r="B117" s="1" t="s">
        <v>37</v>
      </c>
      <c r="C117" s="1">
        <f>IF(AND(ISNUMBER(C115),ISNUMBER(B115)),C115-B115,"n/a")</f>
        <v>12</v>
      </c>
      <c r="D117" s="1">
        <f>IF(AND(ISNUMBER(D115),ISNUMBER(C115)),D115-C115,"n/a")</f>
        <v>11</v>
      </c>
      <c r="E117" s="1">
        <f>IF(AND(ISNUMBER(E115),ISNUMBER(D115)),E115-D115,"n/a")</f>
        <v>11</v>
      </c>
      <c r="F117" s="1" t="s">
        <v>37</v>
      </c>
      <c r="G117" s="1">
        <f>IF(AND(ISNUMBER(G115),ISNUMBER(E115)),G115-E115,"n/a")</f>
        <v>-10</v>
      </c>
      <c r="H117" s="1">
        <f>IF(AND(ISNUMBER(H115),ISNUMBER(G115)),H115-G115,"n/a")</f>
        <v>19</v>
      </c>
      <c r="I117" s="13">
        <f>IF(AND(ISNUMBER(I115),ISNUMBER(H115)),I115-H115,"n/a")</f>
        <v>11.45999999999998</v>
      </c>
      <c r="J117" s="2"/>
      <c r="K117" s="2"/>
      <c r="L117" s="2"/>
      <c r="M117" s="2"/>
      <c r="N117" s="2"/>
      <c r="O117" s="2"/>
    </row>
    <row r="118">
      <c r="A118" s="61" t="s">
        <v>98</v>
      </c>
      <c r="B118" s="12" t="s">
        <v>37</v>
      </c>
      <c r="C118" s="12" t="s">
        <v>37</v>
      </c>
      <c r="D118" s="12" t="s">
        <v>37</v>
      </c>
      <c r="E118" s="12" t="s">
        <v>37</v>
      </c>
      <c r="F118" s="12" t="s">
        <v>37</v>
      </c>
      <c r="G118" s="65">
        <v>0</v>
      </c>
      <c r="H118" s="65">
        <v>0</v>
      </c>
      <c r="I118" s="60">
        <v>0</v>
      </c>
      <c r="J118" s="6" t="s">
        <v>106</v>
      </c>
      <c r="K118" s="2"/>
      <c r="L118" s="2"/>
      <c r="M118" s="2"/>
      <c r="N118" s="2"/>
      <c r="O118" s="2"/>
    </row>
    <row r="119">
      <c r="A119" s="61" t="s">
        <v>100</v>
      </c>
      <c r="B119" s="12" t="s">
        <v>37</v>
      </c>
      <c r="C119" s="12" t="s">
        <v>37</v>
      </c>
      <c r="D119" s="12" t="s">
        <v>37</v>
      </c>
      <c r="E119" s="12" t="s">
        <v>37</v>
      </c>
      <c r="F119" s="12" t="s">
        <v>37</v>
      </c>
      <c r="G119" s="12" t="s">
        <v>37</v>
      </c>
      <c r="H119" s="12" t="s">
        <v>37</v>
      </c>
      <c r="I119" s="35" t="s">
        <v>37</v>
      </c>
      <c r="J119" s="6" t="s">
        <v>101</v>
      </c>
      <c r="K119" s="2"/>
      <c r="L119" s="2"/>
      <c r="M119" s="2"/>
      <c r="N119" s="2"/>
      <c r="O119" s="2"/>
    </row>
    <row r="120">
      <c r="A120" s="61" t="s">
        <v>102</v>
      </c>
      <c r="B120" s="12" t="s">
        <v>37</v>
      </c>
      <c r="C120" s="12" t="s">
        <v>37</v>
      </c>
      <c r="D120" s="12" t="s">
        <v>37</v>
      </c>
      <c r="E120" s="12" t="s">
        <v>37</v>
      </c>
      <c r="F120" s="12" t="s">
        <v>37</v>
      </c>
      <c r="G120" s="12" t="str">
        <f>IF(ISNUMBER(G119),(1+G116)/((1+G118)*(1+G119))-1,"n/a")</f>
        <v>n/a</v>
      </c>
      <c r="H120" s="12" t="str">
        <f>IF(ISNUMBER(H119),(1+H116)/((1+H118)*(1+H119))-1,"n/a")</f>
        <v>n/a</v>
      </c>
      <c r="I120" s="35" t="str">
        <f>IF(ISNUMBER(I119),(1+I116)/((1+I118)*(1+I119))-1,"n/a")</f>
        <v>n/a</v>
      </c>
      <c r="J120" s="6" t="s">
        <v>103</v>
      </c>
      <c r="K120" s="2"/>
      <c r="L120" s="2"/>
      <c r="M120" s="2"/>
      <c r="N120" s="2"/>
      <c r="O120" s="2"/>
    </row>
    <row r="121">
      <c r="A121" s="61" t="s">
        <v>104</v>
      </c>
      <c r="B121" s="12" t="s">
        <v>37</v>
      </c>
      <c r="C121" s="12" t="s">
        <v>37</v>
      </c>
      <c r="D121" s="12" t="s">
        <v>37</v>
      </c>
      <c r="E121" s="12" t="s">
        <v>37</v>
      </c>
      <c r="F121" s="12" t="s">
        <v>37</v>
      </c>
      <c r="G121" s="12">
        <f>IF(ISNUMBER(G118),G116-G118,"n/a")</f>
        <v>0.1095890410958904</v>
      </c>
      <c r="H121" s="12">
        <f>IF(ISNUMBER(H118),H116-H118,"n/a")</f>
        <v>0.1341991341991342</v>
      </c>
      <c r="I121" s="35">
        <f>IF(ISNUMBER(I118),I116-I118,"n/a")</f>
        <v>0.13</v>
      </c>
      <c r="J121" s="2"/>
      <c r="K121" s="2"/>
      <c r="L121" s="2"/>
      <c r="M121" s="2"/>
      <c r="N121" s="2"/>
      <c r="O121" s="2"/>
    </row>
    <row r="122">
      <c r="A122" s="62" t="s">
        <v>207</v>
      </c>
      <c r="B122" s="8">
        <v>140</v>
      </c>
      <c r="C122" s="8">
        <v>144</v>
      </c>
      <c r="D122" s="8">
        <v>154</v>
      </c>
      <c r="E122" s="8">
        <v>160</v>
      </c>
      <c r="F122" s="3">
        <f>SUM(B122:E122)</f>
        <v>598</v>
      </c>
      <c r="G122" s="8">
        <v>162</v>
      </c>
      <c r="H122" s="8">
        <v>165</v>
      </c>
      <c r="I122" s="46">
        <f>D122*(1+I123)</f>
        <v>175.56000000000003</v>
      </c>
      <c r="J122" s="2"/>
      <c r="K122" s="2"/>
      <c r="L122" s="2"/>
      <c r="M122" s="2"/>
      <c r="N122" s="2"/>
      <c r="O122" s="2"/>
    </row>
    <row r="123">
      <c r="A123" s="61" t="s">
        <v>122</v>
      </c>
      <c r="B123" s="12" t="s">
        <v>37</v>
      </c>
      <c r="C123" s="12" t="s">
        <v>37</v>
      </c>
      <c r="D123" s="12" t="s">
        <v>37</v>
      </c>
      <c r="E123" s="12" t="s">
        <v>37</v>
      </c>
      <c r="F123" s="12" t="s">
        <v>37</v>
      </c>
      <c r="G123" s="12">
        <f>G122/B122-1</f>
        <v>0.15714285714285725</v>
      </c>
      <c r="H123" s="12">
        <f>H122/C122-1</f>
        <v>0.14583333333333326</v>
      </c>
      <c r="I123" s="60">
        <v>0.14</v>
      </c>
      <c r="J123" s="6" t="s">
        <v>138</v>
      </c>
      <c r="K123" s="2"/>
      <c r="L123" s="2"/>
      <c r="M123" s="2"/>
      <c r="N123" s="2"/>
      <c r="O123" s="2"/>
    </row>
    <row r="124">
      <c r="A124" s="61" t="s">
        <v>110</v>
      </c>
      <c r="B124" s="1" t="s">
        <v>37</v>
      </c>
      <c r="C124" s="1">
        <f>IF(AND(ISNUMBER(C122),ISNUMBER(B122)),C122-B122,"n/a")</f>
        <v>4</v>
      </c>
      <c r="D124" s="1">
        <f>IF(AND(ISNUMBER(D122),ISNUMBER(C122)),D122-C122,"n/a")</f>
        <v>10</v>
      </c>
      <c r="E124" s="1">
        <f>IF(AND(ISNUMBER(E122),ISNUMBER(D122)),E122-D122,"n/a")</f>
        <v>6</v>
      </c>
      <c r="F124" s="1" t="s">
        <v>37</v>
      </c>
      <c r="G124" s="1">
        <f>IF(AND(ISNUMBER(G122),ISNUMBER(E122)),G122-E122,"n/a")</f>
        <v>2</v>
      </c>
      <c r="H124" s="1">
        <f>IF(AND(ISNUMBER(H122),ISNUMBER(G122)),H122-G122,"n/a")</f>
        <v>3</v>
      </c>
      <c r="I124" s="13">
        <f>IF(AND(ISNUMBER(I122),ISNUMBER(H122)),I122-H122,"n/a")</f>
        <v>10.56000000000003</v>
      </c>
      <c r="J124" s="2"/>
      <c r="K124" s="2"/>
      <c r="L124" s="2"/>
      <c r="M124" s="2"/>
      <c r="N124" s="2"/>
      <c r="O124" s="2"/>
    </row>
    <row r="125">
      <c r="A125" s="61" t="s">
        <v>98</v>
      </c>
      <c r="B125" s="12" t="s">
        <v>37</v>
      </c>
      <c r="C125" s="12" t="s">
        <v>37</v>
      </c>
      <c r="D125" s="12" t="s">
        <v>37</v>
      </c>
      <c r="E125" s="12" t="s">
        <v>37</v>
      </c>
      <c r="F125" s="12" t="s">
        <v>37</v>
      </c>
      <c r="G125" s="65">
        <v>0</v>
      </c>
      <c r="H125" s="65">
        <v>0</v>
      </c>
      <c r="I125" s="60">
        <v>0</v>
      </c>
      <c r="J125" s="6" t="s">
        <v>106</v>
      </c>
      <c r="K125" s="2"/>
      <c r="L125" s="2"/>
      <c r="M125" s="2"/>
      <c r="N125" s="2"/>
      <c r="O125" s="2"/>
    </row>
    <row r="126">
      <c r="A126" s="61" t="s">
        <v>100</v>
      </c>
      <c r="B126" s="12" t="s">
        <v>37</v>
      </c>
      <c r="C126" s="12" t="s">
        <v>37</v>
      </c>
      <c r="D126" s="12" t="s">
        <v>37</v>
      </c>
      <c r="E126" s="12" t="s">
        <v>37</v>
      </c>
      <c r="F126" s="12" t="s">
        <v>37</v>
      </c>
      <c r="G126" s="12" t="s">
        <v>37</v>
      </c>
      <c r="H126" s="12" t="s">
        <v>37</v>
      </c>
      <c r="I126" s="35" t="s">
        <v>37</v>
      </c>
      <c r="J126" s="6" t="s">
        <v>101</v>
      </c>
      <c r="K126" s="2"/>
      <c r="L126" s="2"/>
      <c r="M126" s="2"/>
      <c r="N126" s="2"/>
      <c r="O126" s="2"/>
    </row>
    <row r="127">
      <c r="A127" s="61" t="s">
        <v>102</v>
      </c>
      <c r="B127" s="12" t="s">
        <v>37</v>
      </c>
      <c r="C127" s="12" t="s">
        <v>37</v>
      </c>
      <c r="D127" s="12" t="s">
        <v>37</v>
      </c>
      <c r="E127" s="12" t="s">
        <v>37</v>
      </c>
      <c r="F127" s="12" t="s">
        <v>37</v>
      </c>
      <c r="G127" s="12" t="str">
        <f>IF(ISNUMBER(G126),(1+G123)/((1+G125)*(1+G126))-1,"n/a")</f>
        <v>n/a</v>
      </c>
      <c r="H127" s="12" t="str">
        <f>IF(ISNUMBER(H126),(1+H123)/((1+H125)*(1+H126))-1,"n/a")</f>
        <v>n/a</v>
      </c>
      <c r="I127" s="35" t="str">
        <f>IF(ISNUMBER(I126),(1+I123)/((1+I125)*(1+I126))-1,"n/a")</f>
        <v>n/a</v>
      </c>
      <c r="J127" s="6" t="s">
        <v>103</v>
      </c>
      <c r="K127" s="2"/>
      <c r="L127" s="2"/>
      <c r="M127" s="2"/>
      <c r="N127" s="2"/>
      <c r="O127" s="2"/>
    </row>
    <row r="128">
      <c r="A128" s="61" t="s">
        <v>104</v>
      </c>
      <c r="B128" s="12" t="s">
        <v>37</v>
      </c>
      <c r="C128" s="12" t="s">
        <v>37</v>
      </c>
      <c r="D128" s="12" t="s">
        <v>37</v>
      </c>
      <c r="E128" s="12" t="s">
        <v>37</v>
      </c>
      <c r="F128" s="12" t="s">
        <v>37</v>
      </c>
      <c r="G128" s="12">
        <f>IF(ISNUMBER(G125),G123-G125,"n/a")</f>
        <v>0.15714285714285725</v>
      </c>
      <c r="H128" s="12">
        <f>IF(ISNUMBER(H125),H123-H125,"n/a")</f>
        <v>0.14583333333333326</v>
      </c>
      <c r="I128" s="35">
        <f>IF(ISNUMBER(I125),I123-I125,"n/a")</f>
        <v>0.14</v>
      </c>
      <c r="J128" s="2"/>
      <c r="K128" s="2"/>
      <c r="L128" s="2"/>
      <c r="M128" s="2"/>
      <c r="N128" s="2"/>
      <c r="O128" s="2"/>
    </row>
    <row r="129">
      <c r="A129" s="62" t="s">
        <v>208</v>
      </c>
      <c r="B129" s="8">
        <v>63</v>
      </c>
      <c r="C129" s="8">
        <v>67</v>
      </c>
      <c r="D129" s="8">
        <v>69</v>
      </c>
      <c r="E129" s="8">
        <v>70</v>
      </c>
      <c r="F129" s="3">
        <f>SUM(B129:E129)</f>
        <v>269</v>
      </c>
      <c r="G129" s="8">
        <v>71</v>
      </c>
      <c r="H129" s="8">
        <v>72</v>
      </c>
      <c r="I129" s="46">
        <f>D129*(1+I130)</f>
        <v>73.83</v>
      </c>
      <c r="J129" s="2"/>
      <c r="K129" s="2"/>
      <c r="L129" s="2"/>
      <c r="M129" s="2"/>
      <c r="N129" s="2"/>
      <c r="O129" s="2"/>
    </row>
    <row r="130">
      <c r="A130" s="61" t="s">
        <v>122</v>
      </c>
      <c r="B130" s="12" t="s">
        <v>37</v>
      </c>
      <c r="C130" s="12" t="s">
        <v>37</v>
      </c>
      <c r="D130" s="12" t="s">
        <v>37</v>
      </c>
      <c r="E130" s="12" t="s">
        <v>37</v>
      </c>
      <c r="F130" s="12" t="s">
        <v>37</v>
      </c>
      <c r="G130" s="12">
        <f>G129/B129-1</f>
        <v>0.12698412698412698</v>
      </c>
      <c r="H130" s="12">
        <f>H129/C129-1</f>
        <v>0.07462686567164178</v>
      </c>
      <c r="I130" s="60">
        <v>0.07</v>
      </c>
      <c r="J130" s="6" t="s">
        <v>138</v>
      </c>
      <c r="K130" s="2"/>
      <c r="L130" s="2"/>
      <c r="M130" s="2"/>
      <c r="N130" s="2"/>
      <c r="O130" s="2"/>
    </row>
    <row r="131">
      <c r="A131" s="61" t="s">
        <v>110</v>
      </c>
      <c r="B131" s="1" t="s">
        <v>37</v>
      </c>
      <c r="C131" s="1">
        <f>IF(AND(ISNUMBER(C129),ISNUMBER(B129)),C129-B129,"n/a")</f>
        <v>4</v>
      </c>
      <c r="D131" s="1">
        <f>IF(AND(ISNUMBER(D129),ISNUMBER(C129)),D129-C129,"n/a")</f>
        <v>2</v>
      </c>
      <c r="E131" s="1">
        <f>IF(AND(ISNUMBER(E129),ISNUMBER(D129)),E129-D129,"n/a")</f>
        <v>1</v>
      </c>
      <c r="F131" s="1" t="s">
        <v>37</v>
      </c>
      <c r="G131" s="1">
        <f>IF(AND(ISNUMBER(G129),ISNUMBER(E129)),G129-E129,"n/a")</f>
        <v>1</v>
      </c>
      <c r="H131" s="1">
        <f>IF(AND(ISNUMBER(H129),ISNUMBER(G129)),H129-G129,"n/a")</f>
        <v>1</v>
      </c>
      <c r="I131" s="13">
        <f>IF(AND(ISNUMBER(I129),ISNUMBER(H129)),I129-H129,"n/a")</f>
        <v>1.8299999999999983</v>
      </c>
      <c r="J131" s="2"/>
      <c r="K131" s="2"/>
      <c r="L131" s="2"/>
      <c r="M131" s="2"/>
      <c r="N131" s="2"/>
      <c r="O131" s="2"/>
    </row>
    <row r="132">
      <c r="A132" s="61" t="s">
        <v>98</v>
      </c>
      <c r="B132" s="12" t="s">
        <v>37</v>
      </c>
      <c r="C132" s="12" t="s">
        <v>37</v>
      </c>
      <c r="D132" s="12" t="s">
        <v>37</v>
      </c>
      <c r="E132" s="12" t="s">
        <v>37</v>
      </c>
      <c r="F132" s="12" t="s">
        <v>37</v>
      </c>
      <c r="G132" s="65">
        <v>0</v>
      </c>
      <c r="H132" s="65">
        <v>0</v>
      </c>
      <c r="I132" s="60">
        <v>0</v>
      </c>
      <c r="J132" s="6" t="s">
        <v>106</v>
      </c>
      <c r="K132" s="2"/>
      <c r="L132" s="2"/>
      <c r="M132" s="2"/>
      <c r="N132" s="2"/>
      <c r="O132" s="2"/>
    </row>
    <row r="133">
      <c r="A133" s="61" t="s">
        <v>100</v>
      </c>
      <c r="B133" s="12" t="s">
        <v>37</v>
      </c>
      <c r="C133" s="12" t="s">
        <v>37</v>
      </c>
      <c r="D133" s="12" t="s">
        <v>37</v>
      </c>
      <c r="E133" s="12" t="s">
        <v>37</v>
      </c>
      <c r="F133" s="12" t="s">
        <v>37</v>
      </c>
      <c r="G133" s="12" t="s">
        <v>37</v>
      </c>
      <c r="H133" s="12" t="s">
        <v>37</v>
      </c>
      <c r="I133" s="35" t="s">
        <v>37</v>
      </c>
      <c r="J133" s="6" t="s">
        <v>101</v>
      </c>
      <c r="K133" s="2"/>
      <c r="L133" s="2"/>
      <c r="M133" s="2"/>
      <c r="N133" s="2"/>
      <c r="O133" s="2"/>
    </row>
    <row r="134">
      <c r="A134" s="61" t="s">
        <v>102</v>
      </c>
      <c r="B134" s="12" t="s">
        <v>37</v>
      </c>
      <c r="C134" s="12" t="s">
        <v>37</v>
      </c>
      <c r="D134" s="12" t="s">
        <v>37</v>
      </c>
      <c r="E134" s="12" t="s">
        <v>37</v>
      </c>
      <c r="F134" s="12" t="s">
        <v>37</v>
      </c>
      <c r="G134" s="12" t="str">
        <f>IF(ISNUMBER(G133),(1+G130)/((1+G132)*(1+G133))-1,"n/a")</f>
        <v>n/a</v>
      </c>
      <c r="H134" s="12" t="str">
        <f>IF(ISNUMBER(H133),(1+H130)/((1+H132)*(1+H133))-1,"n/a")</f>
        <v>n/a</v>
      </c>
      <c r="I134" s="35" t="str">
        <f>IF(ISNUMBER(I133),(1+I130)/((1+I132)*(1+I133))-1,"n/a")</f>
        <v>n/a</v>
      </c>
      <c r="J134" s="6" t="s">
        <v>103</v>
      </c>
      <c r="K134" s="2"/>
      <c r="L134" s="2"/>
      <c r="M134" s="2"/>
      <c r="N134" s="2"/>
      <c r="O134" s="2"/>
    </row>
    <row r="135">
      <c r="A135" s="61" t="s">
        <v>104</v>
      </c>
      <c r="B135" s="12" t="s">
        <v>37</v>
      </c>
      <c r="C135" s="12" t="s">
        <v>37</v>
      </c>
      <c r="D135" s="12" t="s">
        <v>37</v>
      </c>
      <c r="E135" s="12" t="s">
        <v>37</v>
      </c>
      <c r="F135" s="12" t="s">
        <v>37</v>
      </c>
      <c r="G135" s="12">
        <f>IF(ISNUMBER(G132),G130-G132,"n/a")</f>
        <v>0.12698412698412698</v>
      </c>
      <c r="H135" s="12">
        <f>IF(ISNUMBER(H132),H130-H132,"n/a")</f>
        <v>0.07462686567164178</v>
      </c>
      <c r="I135" s="35">
        <f>IF(ISNUMBER(I132),I130-I132,"n/a")</f>
        <v>0.07</v>
      </c>
      <c r="J135" s="2"/>
      <c r="K135" s="2"/>
      <c r="L135" s="2"/>
      <c r="M135" s="2"/>
      <c r="N135" s="2"/>
      <c r="O135" s="2"/>
    </row>
    <row r="136">
      <c r="A136" s="62" t="s">
        <v>209</v>
      </c>
      <c r="B136" s="8">
        <v>26</v>
      </c>
      <c r="C136" s="8">
        <v>26</v>
      </c>
      <c r="D136" s="8">
        <v>24</v>
      </c>
      <c r="E136" s="8">
        <v>26</v>
      </c>
      <c r="F136" s="3">
        <f>SUM(B136:E136)</f>
        <v>102</v>
      </c>
      <c r="G136" s="8">
        <v>25</v>
      </c>
      <c r="H136" s="8">
        <v>25</v>
      </c>
      <c r="I136" s="46">
        <f>D136*(1+I137)</f>
        <v>24.96</v>
      </c>
      <c r="J136" s="2"/>
      <c r="K136" s="2"/>
      <c r="L136" s="2"/>
      <c r="M136" s="2"/>
      <c r="N136" s="2"/>
      <c r="O136" s="2"/>
    </row>
    <row r="137">
      <c r="A137" s="61" t="s">
        <v>122</v>
      </c>
      <c r="B137" s="12" t="s">
        <v>37</v>
      </c>
      <c r="C137" s="12" t="s">
        <v>37</v>
      </c>
      <c r="D137" s="12" t="s">
        <v>37</v>
      </c>
      <c r="E137" s="12" t="s">
        <v>37</v>
      </c>
      <c r="F137" s="12" t="s">
        <v>37</v>
      </c>
      <c r="G137" s="12">
        <f>G136/B136-1</f>
        <v>-0.038461538461538436</v>
      </c>
      <c r="H137" s="12">
        <f>H136/C136-1</f>
        <v>-0.038461538461538436</v>
      </c>
      <c r="I137" s="60">
        <v>0.04</v>
      </c>
      <c r="J137" s="6" t="s">
        <v>138</v>
      </c>
      <c r="K137" s="2"/>
      <c r="L137" s="2"/>
      <c r="M137" s="2"/>
      <c r="N137" s="2"/>
      <c r="O137" s="2"/>
    </row>
    <row r="138">
      <c r="A138" s="61" t="s">
        <v>110</v>
      </c>
      <c r="B138" s="1" t="s">
        <v>37</v>
      </c>
      <c r="C138" s="1">
        <f>IF(AND(ISNUMBER(C136),ISNUMBER(B136)),C136-B136,"n/a")</f>
        <v>0</v>
      </c>
      <c r="D138" s="1">
        <f>IF(AND(ISNUMBER(D136),ISNUMBER(C136)),D136-C136,"n/a")</f>
        <v>-2</v>
      </c>
      <c r="E138" s="1">
        <f>IF(AND(ISNUMBER(E136),ISNUMBER(D136)),E136-D136,"n/a")</f>
        <v>2</v>
      </c>
      <c r="F138" s="1" t="s">
        <v>37</v>
      </c>
      <c r="G138" s="1">
        <f>IF(AND(ISNUMBER(G136),ISNUMBER(E136)),G136-E136,"n/a")</f>
        <v>-1</v>
      </c>
      <c r="H138" s="1">
        <f>IF(AND(ISNUMBER(H136),ISNUMBER(G136)),H136-G136,"n/a")</f>
        <v>0</v>
      </c>
      <c r="I138" s="13">
        <f>IF(AND(ISNUMBER(I136),ISNUMBER(H136)),I136-H136,"n/a")</f>
        <v>-0.03999999999999915</v>
      </c>
      <c r="J138" s="2"/>
      <c r="K138" s="2"/>
      <c r="L138" s="2"/>
      <c r="M138" s="2"/>
      <c r="N138" s="2"/>
      <c r="O138" s="2"/>
    </row>
    <row r="139">
      <c r="A139" s="61" t="s">
        <v>98</v>
      </c>
      <c r="B139" s="12" t="s">
        <v>37</v>
      </c>
      <c r="C139" s="12" t="s">
        <v>37</v>
      </c>
      <c r="D139" s="12" t="s">
        <v>37</v>
      </c>
      <c r="E139" s="12" t="s">
        <v>37</v>
      </c>
      <c r="F139" s="12" t="s">
        <v>37</v>
      </c>
      <c r="G139" s="65">
        <v>0</v>
      </c>
      <c r="H139" s="65">
        <v>0</v>
      </c>
      <c r="I139" s="60">
        <v>0</v>
      </c>
      <c r="J139" s="6" t="s">
        <v>106</v>
      </c>
      <c r="K139" s="2"/>
      <c r="L139" s="2"/>
      <c r="M139" s="2"/>
      <c r="N139" s="2"/>
      <c r="O139" s="2"/>
    </row>
    <row r="140">
      <c r="A140" s="61" t="s">
        <v>100</v>
      </c>
      <c r="B140" s="12" t="s">
        <v>37</v>
      </c>
      <c r="C140" s="12" t="s">
        <v>37</v>
      </c>
      <c r="D140" s="12" t="s">
        <v>37</v>
      </c>
      <c r="E140" s="12" t="s">
        <v>37</v>
      </c>
      <c r="F140" s="12" t="s">
        <v>37</v>
      </c>
      <c r="G140" s="12" t="s">
        <v>37</v>
      </c>
      <c r="H140" s="12" t="s">
        <v>37</v>
      </c>
      <c r="I140" s="35" t="s">
        <v>37</v>
      </c>
      <c r="J140" s="6" t="s">
        <v>101</v>
      </c>
      <c r="K140" s="2"/>
      <c r="L140" s="2"/>
      <c r="M140" s="2"/>
      <c r="N140" s="2"/>
      <c r="O140" s="2"/>
    </row>
    <row r="141">
      <c r="A141" s="61" t="s">
        <v>102</v>
      </c>
      <c r="B141" s="12" t="s">
        <v>37</v>
      </c>
      <c r="C141" s="12" t="s">
        <v>37</v>
      </c>
      <c r="D141" s="12" t="s">
        <v>37</v>
      </c>
      <c r="E141" s="12" t="s">
        <v>37</v>
      </c>
      <c r="F141" s="12" t="s">
        <v>37</v>
      </c>
      <c r="G141" s="12" t="str">
        <f>IF(ISNUMBER(G140),(1+G137)/((1+G139)*(1+G140))-1,"n/a")</f>
        <v>n/a</v>
      </c>
      <c r="H141" s="12" t="str">
        <f>IF(ISNUMBER(H140),(1+H137)/((1+H139)*(1+H140))-1,"n/a")</f>
        <v>n/a</v>
      </c>
      <c r="I141" s="35" t="str">
        <f>IF(ISNUMBER(I140),(1+I137)/((1+I139)*(1+I140))-1,"n/a")</f>
        <v>n/a</v>
      </c>
      <c r="J141" s="6" t="s">
        <v>103</v>
      </c>
      <c r="K141" s="2"/>
      <c r="L141" s="2"/>
      <c r="M141" s="2"/>
      <c r="N141" s="2"/>
      <c r="O141" s="2"/>
    </row>
    <row r="142">
      <c r="A142" s="61" t="s">
        <v>104</v>
      </c>
      <c r="B142" s="12" t="s">
        <v>37</v>
      </c>
      <c r="C142" s="12" t="s">
        <v>37</v>
      </c>
      <c r="D142" s="12" t="s">
        <v>37</v>
      </c>
      <c r="E142" s="12" t="s">
        <v>37</v>
      </c>
      <c r="F142" s="12" t="s">
        <v>37</v>
      </c>
      <c r="G142" s="12">
        <f>IF(ISNUMBER(G139),G137-G139,"n/a")</f>
        <v>-0.038461538461538436</v>
      </c>
      <c r="H142" s="12">
        <f>IF(ISNUMBER(H139),H137-H139,"n/a")</f>
        <v>-0.038461538461538436</v>
      </c>
      <c r="I142" s="35">
        <f>IF(ISNUMBER(I139),I137-I139,"n/a")</f>
        <v>0.04</v>
      </c>
      <c r="J142" s="2"/>
      <c r="K142" s="2"/>
      <c r="L142" s="2"/>
      <c r="M142" s="2"/>
      <c r="N142" s="2"/>
      <c r="O142" s="2"/>
    </row>
    <row r="143">
      <c r="A143" s="68" t="s">
        <v>210</v>
      </c>
      <c r="B143" s="15">
        <f>B101+B108+B115+B122+B129+B136</f>
        <v>679</v>
      </c>
      <c r="C143" s="15">
        <f>C101+C108+C115+C122+C129+C136</f>
        <v>702</v>
      </c>
      <c r="D143" s="15">
        <f>D101+D108+D115+D122+D129+D136</f>
        <v>729</v>
      </c>
      <c r="E143" s="15">
        <f>E101+E108+E115+E122+E129+E136</f>
        <v>755</v>
      </c>
      <c r="F143" s="15">
        <f>F101+F108+F115+F122+F129+F136</f>
        <v>2865</v>
      </c>
      <c r="G143" s="15">
        <f>G101+G108+G115+G122+G129+G136</f>
        <v>744</v>
      </c>
      <c r="H143" s="15">
        <f>H101+H108+H115+H122+H129+H136</f>
        <v>784</v>
      </c>
      <c r="I143" s="38">
        <f>I101+I108+I115+I122+I129+I136</f>
        <v>812.9100000000001</v>
      </c>
      <c r="J143" s="6" t="s">
        <v>211</v>
      </c>
      <c r="K143" s="2"/>
      <c r="L143" s="2"/>
      <c r="M143" s="2"/>
      <c r="N143" s="2"/>
      <c r="O143" s="2"/>
    </row>
    <row r="144">
      <c r="A144" s="14" t="s">
        <v>122</v>
      </c>
      <c r="B144" s="12" t="s">
        <v>37</v>
      </c>
      <c r="C144" s="12" t="s">
        <v>37</v>
      </c>
      <c r="D144" s="12" t="s">
        <v>37</v>
      </c>
      <c r="E144" s="12" t="s">
        <v>37</v>
      </c>
      <c r="F144" s="12" t="s">
        <v>37</v>
      </c>
      <c r="G144" s="12">
        <f>G143/B143-1</f>
        <v>0.09572901325478655</v>
      </c>
      <c r="H144" s="12">
        <f>H143/C143-1</f>
        <v>0.11680911680911676</v>
      </c>
      <c r="I144" s="35">
        <f>I143/D143-1</f>
        <v>0.11510288065843644</v>
      </c>
      <c r="J144" s="2"/>
      <c r="K144" s="2"/>
      <c r="L144" s="2"/>
      <c r="M144" s="2"/>
      <c r="N144" s="2"/>
      <c r="O144" s="2"/>
    </row>
    <row r="145">
      <c r="A145" s="14" t="s">
        <v>110</v>
      </c>
      <c r="B145" s="1" t="s">
        <v>37</v>
      </c>
      <c r="C145" s="1">
        <f>IF(AND(ISNUMBER(C143),ISNUMBER(B143)),C143-B143,"n/a")</f>
        <v>23</v>
      </c>
      <c r="D145" s="1">
        <f>IF(AND(ISNUMBER(D143),ISNUMBER(C143)),D143-C143,"n/a")</f>
        <v>27</v>
      </c>
      <c r="E145" s="1">
        <f>IF(AND(ISNUMBER(E143),ISNUMBER(D143)),E143-D143,"n/a")</f>
        <v>26</v>
      </c>
      <c r="F145" s="1" t="s">
        <v>37</v>
      </c>
      <c r="G145" s="1">
        <f>IF(AND(ISNUMBER(G143),ISNUMBER(E143)),G143-E143,"n/a")</f>
        <v>-11</v>
      </c>
      <c r="H145" s="1">
        <f>IF(AND(ISNUMBER(H143),ISNUMBER(G143)),H143-G143,"n/a")</f>
        <v>40</v>
      </c>
      <c r="I145" s="13">
        <f>IF(AND(ISNUMBER(I143),ISNUMBER(H143)),I143-H143,"n/a")</f>
        <v>28.910000000000082</v>
      </c>
      <c r="J145" s="2"/>
      <c r="K145" s="2"/>
      <c r="L145" s="2"/>
      <c r="M145" s="2"/>
      <c r="N145" s="2"/>
      <c r="O145" s="2"/>
    </row>
    <row r="146">
      <c r="A146" s="14" t="s">
        <v>98</v>
      </c>
      <c r="B146" s="12" t="s">
        <v>37</v>
      </c>
      <c r="C146" s="12" t="s">
        <v>37</v>
      </c>
      <c r="D146" s="12" t="s">
        <v>37</v>
      </c>
      <c r="E146" s="12" t="s">
        <v>37</v>
      </c>
      <c r="F146" s="12" t="s">
        <v>37</v>
      </c>
      <c r="G146" s="65">
        <v>0</v>
      </c>
      <c r="H146" s="65">
        <v>0</v>
      </c>
      <c r="I146" s="60">
        <v>0</v>
      </c>
      <c r="J146" s="6" t="s">
        <v>106</v>
      </c>
      <c r="K146" s="2"/>
      <c r="L146" s="2"/>
      <c r="M146" s="2"/>
      <c r="N146" s="2"/>
      <c r="O146" s="2"/>
    </row>
    <row r="147">
      <c r="A147" s="14" t="s">
        <v>100</v>
      </c>
      <c r="B147" s="12" t="s">
        <v>37</v>
      </c>
      <c r="C147" s="12" t="s">
        <v>37</v>
      </c>
      <c r="D147" s="12" t="s">
        <v>37</v>
      </c>
      <c r="E147" s="12" t="s">
        <v>37</v>
      </c>
      <c r="F147" s="12" t="s">
        <v>37</v>
      </c>
      <c r="G147" s="12" t="s">
        <v>37</v>
      </c>
      <c r="H147" s="12" t="s">
        <v>37</v>
      </c>
      <c r="I147" s="35" t="s">
        <v>37</v>
      </c>
      <c r="J147" s="6" t="s">
        <v>101</v>
      </c>
      <c r="K147" s="2"/>
      <c r="L147" s="2"/>
      <c r="M147" s="2"/>
      <c r="N147" s="2"/>
      <c r="O147" s="2"/>
    </row>
    <row r="148">
      <c r="A148" s="14" t="s">
        <v>102</v>
      </c>
      <c r="B148" s="12" t="s">
        <v>37</v>
      </c>
      <c r="C148" s="12" t="s">
        <v>37</v>
      </c>
      <c r="D148" s="12" t="s">
        <v>37</v>
      </c>
      <c r="E148" s="12" t="s">
        <v>37</v>
      </c>
      <c r="F148" s="12" t="s">
        <v>37</v>
      </c>
      <c r="G148" s="12" t="str">
        <f>IF(ISNUMBER(G147),(1+G144)/((1+G146)*(1+G147))-1,"n/a")</f>
        <v>n/a</v>
      </c>
      <c r="H148" s="12" t="str">
        <f>IF(ISNUMBER(H147),(1+H144)/((1+H146)*(1+H147))-1,"n/a")</f>
        <v>n/a</v>
      </c>
      <c r="I148" s="35" t="str">
        <f>IF(ISNUMBER(I147),(1+I144)/((1+I146)*(1+I147))-1,"n/a")</f>
        <v>n/a</v>
      </c>
      <c r="J148" s="6" t="s">
        <v>103</v>
      </c>
      <c r="K148" s="2"/>
      <c r="L148" s="2"/>
      <c r="M148" s="2"/>
      <c r="N148" s="2"/>
      <c r="O148" s="2"/>
    </row>
    <row r="149">
      <c r="A149" s="14" t="s">
        <v>104</v>
      </c>
      <c r="B149" s="12" t="s">
        <v>37</v>
      </c>
      <c r="C149" s="12" t="s">
        <v>37</v>
      </c>
      <c r="D149" s="12" t="s">
        <v>37</v>
      </c>
      <c r="E149" s="12" t="s">
        <v>37</v>
      </c>
      <c r="F149" s="12" t="s">
        <v>37</v>
      </c>
      <c r="G149" s="12">
        <f>IF(ISNUMBER(G146),G144-G146,"n/a")</f>
        <v>0.09572901325478655</v>
      </c>
      <c r="H149" s="12">
        <f>IF(ISNUMBER(H146),H144-H146,"n/a")</f>
        <v>0.11680911680911676</v>
      </c>
      <c r="I149" s="35">
        <f>IF(ISNUMBER(I146),I144-I146,"n/a")</f>
        <v>0.11510288065843644</v>
      </c>
      <c r="J149" s="2"/>
      <c r="K149" s="2"/>
      <c r="L149" s="2"/>
      <c r="M149" s="2"/>
      <c r="N149" s="2"/>
      <c r="O149" s="2"/>
    </row>
    <row r="150">
      <c r="A150" s="62" t="s">
        <v>212</v>
      </c>
      <c r="B150" s="3">
        <f>B161-B157</f>
        <v>294</v>
      </c>
      <c r="C150" s="3">
        <f>C161-C157</f>
        <v>315</v>
      </c>
      <c r="D150" s="3">
        <f>D161-D157</f>
        <v>374</v>
      </c>
      <c r="E150" s="3">
        <f>E161-E157</f>
        <v>379</v>
      </c>
      <c r="F150" s="3">
        <f>SUM(B150:E150)</f>
        <v>1362</v>
      </c>
      <c r="G150" s="3">
        <f>G161-G157</f>
        <v>377</v>
      </c>
      <c r="H150" s="3">
        <f>H161-H157</f>
        <v>409</v>
      </c>
      <c r="I150" s="46">
        <f>D150*(1+I151)</f>
        <v>418.88000000000005</v>
      </c>
      <c r="J150" s="6" t="s">
        <v>213</v>
      </c>
      <c r="K150" s="2"/>
      <c r="L150" s="2"/>
      <c r="M150" s="2"/>
      <c r="N150" s="2"/>
      <c r="O150" s="2"/>
    </row>
    <row r="151">
      <c r="A151" s="61" t="s">
        <v>122</v>
      </c>
      <c r="B151" s="12" t="s">
        <v>37</v>
      </c>
      <c r="C151" s="12" t="s">
        <v>37</v>
      </c>
      <c r="D151" s="12" t="s">
        <v>37</v>
      </c>
      <c r="E151" s="12" t="s">
        <v>37</v>
      </c>
      <c r="F151" s="12" t="s">
        <v>37</v>
      </c>
      <c r="G151" s="12">
        <f>G150/B150-1</f>
        <v>0.282312925170068</v>
      </c>
      <c r="H151" s="12">
        <f>H150/C150-1</f>
        <v>0.29841269841269846</v>
      </c>
      <c r="I151" s="60">
        <v>0.12</v>
      </c>
      <c r="J151" s="6" t="s">
        <v>138</v>
      </c>
      <c r="K151" s="2"/>
      <c r="L151" s="2"/>
      <c r="M151" s="2"/>
      <c r="N151" s="2"/>
      <c r="O151" s="2"/>
    </row>
    <row r="152">
      <c r="A152" s="61" t="s">
        <v>110</v>
      </c>
      <c r="B152" s="1" t="s">
        <v>37</v>
      </c>
      <c r="C152" s="1">
        <f>IF(AND(ISNUMBER(C150),ISNUMBER(B150)),C150-B150,"n/a")</f>
        <v>21</v>
      </c>
      <c r="D152" s="1">
        <f>IF(AND(ISNUMBER(D150),ISNUMBER(C150)),D150-C150,"n/a")</f>
        <v>59</v>
      </c>
      <c r="E152" s="1">
        <f>IF(AND(ISNUMBER(E150),ISNUMBER(D150)),E150-D150,"n/a")</f>
        <v>5</v>
      </c>
      <c r="F152" s="1" t="s">
        <v>37</v>
      </c>
      <c r="G152" s="1">
        <f>IF(AND(ISNUMBER(G150),ISNUMBER(E150)),G150-E150,"n/a")</f>
        <v>-2</v>
      </c>
      <c r="H152" s="1">
        <f>IF(AND(ISNUMBER(H150),ISNUMBER(G150)),H150-G150,"n/a")</f>
        <v>32</v>
      </c>
      <c r="I152" s="13">
        <f>IF(AND(ISNUMBER(I150),ISNUMBER(H150)),I150-H150,"n/a")</f>
        <v>9.880000000000052</v>
      </c>
      <c r="J152" s="2"/>
      <c r="K152" s="2"/>
      <c r="L152" s="2"/>
      <c r="M152" s="2"/>
      <c r="N152" s="2"/>
      <c r="O152" s="2"/>
    </row>
    <row r="153">
      <c r="A153" s="61" t="s">
        <v>98</v>
      </c>
      <c r="B153" s="12" t="s">
        <v>37</v>
      </c>
      <c r="C153" s="12" t="s">
        <v>37</v>
      </c>
      <c r="D153" s="12" t="s">
        <v>37</v>
      </c>
      <c r="E153" s="12" t="s">
        <v>37</v>
      </c>
      <c r="F153" s="12" t="s">
        <v>37</v>
      </c>
      <c r="G153" s="65">
        <v>0</v>
      </c>
      <c r="H153" s="65">
        <v>0</v>
      </c>
      <c r="I153" s="60">
        <v>0</v>
      </c>
      <c r="J153" s="6" t="s">
        <v>106</v>
      </c>
      <c r="K153" s="2"/>
      <c r="L153" s="2"/>
      <c r="M153" s="2"/>
      <c r="N153" s="2"/>
      <c r="O153" s="2"/>
    </row>
    <row r="154">
      <c r="A154" s="61" t="s">
        <v>100</v>
      </c>
      <c r="B154" s="12" t="s">
        <v>37</v>
      </c>
      <c r="C154" s="12" t="s">
        <v>37</v>
      </c>
      <c r="D154" s="12" t="s">
        <v>37</v>
      </c>
      <c r="E154" s="12" t="s">
        <v>37</v>
      </c>
      <c r="F154" s="12" t="s">
        <v>37</v>
      </c>
      <c r="G154" s="12" t="s">
        <v>37</v>
      </c>
      <c r="H154" s="12" t="s">
        <v>37</v>
      </c>
      <c r="I154" s="35" t="s">
        <v>37</v>
      </c>
      <c r="J154" s="6" t="s">
        <v>101</v>
      </c>
      <c r="K154" s="2"/>
      <c r="L154" s="2"/>
      <c r="M154" s="2"/>
      <c r="N154" s="2"/>
      <c r="O154" s="2"/>
    </row>
    <row r="155">
      <c r="A155" s="61" t="s">
        <v>102</v>
      </c>
      <c r="B155" s="12" t="s">
        <v>37</v>
      </c>
      <c r="C155" s="12" t="s">
        <v>37</v>
      </c>
      <c r="D155" s="12" t="s">
        <v>37</v>
      </c>
      <c r="E155" s="12" t="s">
        <v>37</v>
      </c>
      <c r="F155" s="12" t="s">
        <v>37</v>
      </c>
      <c r="G155" s="12" t="str">
        <f>IF(ISNUMBER(G154),(1+G151)/((1+G153)*(1+G154))-1,"n/a")</f>
        <v>n/a</v>
      </c>
      <c r="H155" s="12" t="str">
        <f>IF(ISNUMBER(H154),(1+H151)/((1+H153)*(1+H154))-1,"n/a")</f>
        <v>n/a</v>
      </c>
      <c r="I155" s="35" t="str">
        <f>IF(ISNUMBER(I154),(1+I151)/((1+I153)*(1+I154))-1,"n/a")</f>
        <v>n/a</v>
      </c>
      <c r="J155" s="6" t="s">
        <v>103</v>
      </c>
      <c r="K155" s="2"/>
      <c r="L155" s="2"/>
      <c r="M155" s="2"/>
      <c r="N155" s="2"/>
      <c r="O155" s="2"/>
    </row>
    <row r="156">
      <c r="A156" s="61" t="s">
        <v>104</v>
      </c>
      <c r="B156" s="12" t="s">
        <v>37</v>
      </c>
      <c r="C156" s="12" t="s">
        <v>37</v>
      </c>
      <c r="D156" s="12" t="s">
        <v>37</v>
      </c>
      <c r="E156" s="12" t="s">
        <v>37</v>
      </c>
      <c r="F156" s="12" t="s">
        <v>37</v>
      </c>
      <c r="G156" s="12">
        <f>IF(ISNUMBER(G153),G151-G153,"n/a")</f>
        <v>0.282312925170068</v>
      </c>
      <c r="H156" s="12">
        <f>IF(ISNUMBER(H153),H151-H153,"n/a")</f>
        <v>0.29841269841269846</v>
      </c>
      <c r="I156" s="35">
        <f>IF(ISNUMBER(I153),I151-I153,"n/a")</f>
        <v>0.12</v>
      </c>
      <c r="J156" s="2"/>
      <c r="K156" s="2"/>
      <c r="L156" s="2"/>
      <c r="M156" s="2"/>
      <c r="N156" s="2"/>
      <c r="O156" s="2"/>
    </row>
    <row r="157">
      <c r="A157" s="62" t="s">
        <v>214</v>
      </c>
      <c r="B157" s="8">
        <v>0</v>
      </c>
      <c r="C157" s="8">
        <v>0</v>
      </c>
      <c r="D157" s="8">
        <v>0</v>
      </c>
      <c r="E157" s="8">
        <v>0</v>
      </c>
      <c r="F157" s="3">
        <f>SUM(B157:E157)</f>
        <v>0</v>
      </c>
      <c r="G157" s="8">
        <v>0</v>
      </c>
      <c r="H157" s="8">
        <v>98</v>
      </c>
      <c r="I157" s="32">
        <v>200</v>
      </c>
      <c r="J157" s="6" t="s">
        <v>215</v>
      </c>
      <c r="K157" s="2"/>
      <c r="L157" s="2"/>
      <c r="M157" s="2"/>
      <c r="N157" s="2"/>
      <c r="O157" s="2"/>
    </row>
    <row r="158">
      <c r="A158" s="61" t="s">
        <v>216</v>
      </c>
      <c r="B158" s="1" t="s">
        <v>37</v>
      </c>
      <c r="C158" s="1" t="s">
        <v>37</v>
      </c>
      <c r="D158" s="1" t="s">
        <v>37</v>
      </c>
      <c r="E158" s="1" t="s">
        <v>37</v>
      </c>
      <c r="F158" s="1" t="s">
        <v>37</v>
      </c>
      <c r="G158" s="1">
        <f>IF(AND(ISNUMBER(G157),ISNUMBER(B157)),G157-B157,"n/a")</f>
        <v>0</v>
      </c>
      <c r="H158" s="1">
        <f>IF(AND(ISNUMBER(H157),ISNUMBER(C157)),H157-C157,"n/a")</f>
        <v>98</v>
      </c>
      <c r="I158" s="13">
        <f>IF(AND(ISNUMBER(I157),ISNUMBER(D157)),I157-D157,"n/a")</f>
        <v>200</v>
      </c>
      <c r="J158" s="2"/>
      <c r="K158" s="2"/>
      <c r="L158" s="2"/>
      <c r="M158" s="2"/>
      <c r="N158" s="2"/>
      <c r="O158" s="2"/>
    </row>
    <row r="159">
      <c r="A159" s="61" t="s">
        <v>110</v>
      </c>
      <c r="B159" s="1" t="s">
        <v>37</v>
      </c>
      <c r="C159" s="1">
        <f>IF(AND(ISNUMBER(C157),ISNUMBER(B157)),C157-B157,"n/a")</f>
        <v>0</v>
      </c>
      <c r="D159" s="1">
        <f>IF(AND(ISNUMBER(D157),ISNUMBER(C157)),D157-C157,"n/a")</f>
        <v>0</v>
      </c>
      <c r="E159" s="1">
        <f>IF(AND(ISNUMBER(E157),ISNUMBER(D157)),E157-D157,"n/a")</f>
        <v>0</v>
      </c>
      <c r="F159" s="1" t="s">
        <v>37</v>
      </c>
      <c r="G159" s="1">
        <f>IF(AND(ISNUMBER(G157),ISNUMBER(E157)),G157-E157,"n/a")</f>
        <v>0</v>
      </c>
      <c r="H159" s="1">
        <f>IF(AND(ISNUMBER(H157),ISNUMBER(G157)),H157-G157,"n/a")</f>
        <v>98</v>
      </c>
      <c r="I159" s="13">
        <f>IF(AND(ISNUMBER(I157),ISNUMBER(H157)),I157-H157,"n/a")</f>
        <v>102</v>
      </c>
      <c r="J159" s="2"/>
      <c r="K159" s="2"/>
      <c r="L159" s="2"/>
      <c r="M159" s="2"/>
      <c r="N159" s="2"/>
      <c r="O159" s="2"/>
    </row>
    <row r="160">
      <c r="A160" s="79" t="s">
        <v>217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>
      <c r="A161" s="68" t="s">
        <v>218</v>
      </c>
      <c r="B161" s="25">
        <v>294</v>
      </c>
      <c r="C161" s="25">
        <v>315</v>
      </c>
      <c r="D161" s="25">
        <v>374</v>
      </c>
      <c r="E161" s="25">
        <v>379</v>
      </c>
      <c r="F161" s="15">
        <f>SUM(B161:E161)</f>
        <v>1362</v>
      </c>
      <c r="G161" s="25">
        <v>377</v>
      </c>
      <c r="H161" s="25">
        <v>507</v>
      </c>
      <c r="I161" s="38">
        <f>I150+I157</f>
        <v>618.8800000000001</v>
      </c>
      <c r="J161" s="2"/>
      <c r="K161" s="2"/>
      <c r="L161" s="2"/>
      <c r="M161" s="2"/>
      <c r="N161" s="2"/>
      <c r="O161" s="2"/>
    </row>
    <row r="162">
      <c r="A162" s="14" t="s">
        <v>122</v>
      </c>
      <c r="B162" s="12" t="s">
        <v>37</v>
      </c>
      <c r="C162" s="12" t="s">
        <v>37</v>
      </c>
      <c r="D162" s="12" t="s">
        <v>37</v>
      </c>
      <c r="E162" s="12" t="s">
        <v>37</v>
      </c>
      <c r="F162" s="12" t="s">
        <v>37</v>
      </c>
      <c r="G162" s="12">
        <f>G161/B161-1</f>
        <v>0.282312925170068</v>
      </c>
      <c r="H162" s="12">
        <f>H161/C161-1</f>
        <v>0.6095238095238096</v>
      </c>
      <c r="I162" s="35">
        <f>I161/D161-1</f>
        <v>0.6547593582887703</v>
      </c>
      <c r="J162" s="2"/>
      <c r="K162" s="2"/>
      <c r="L162" s="2"/>
      <c r="M162" s="2"/>
      <c r="N162" s="2"/>
      <c r="O162" s="2"/>
    </row>
    <row r="163">
      <c r="A163" s="14" t="s">
        <v>110</v>
      </c>
      <c r="B163" s="1" t="s">
        <v>37</v>
      </c>
      <c r="C163" s="1">
        <f>IF(AND(ISNUMBER(C161),ISNUMBER(B161)),C161-B161,"n/a")</f>
        <v>21</v>
      </c>
      <c r="D163" s="1">
        <f>IF(AND(ISNUMBER(D161),ISNUMBER(C161)),D161-C161,"n/a")</f>
        <v>59</v>
      </c>
      <c r="E163" s="1">
        <f>IF(AND(ISNUMBER(E161),ISNUMBER(D161)),E161-D161,"n/a")</f>
        <v>5</v>
      </c>
      <c r="F163" s="1" t="s">
        <v>37</v>
      </c>
      <c r="G163" s="1">
        <f>IF(AND(ISNUMBER(G161),ISNUMBER(E161)),G161-E161,"n/a")</f>
        <v>-2</v>
      </c>
      <c r="H163" s="1">
        <f>IF(AND(ISNUMBER(H161),ISNUMBER(G161)),H161-G161,"n/a")</f>
        <v>130</v>
      </c>
      <c r="I163" s="13">
        <f>IF(AND(ISNUMBER(I161),ISNUMBER(H161)),I161-H161,"n/a")</f>
        <v>111.88000000000011</v>
      </c>
      <c r="J163" s="2"/>
      <c r="K163" s="2"/>
      <c r="L163" s="2"/>
      <c r="M163" s="2"/>
      <c r="N163" s="2"/>
      <c r="O163" s="2"/>
    </row>
    <row r="164">
      <c r="A164" s="14" t="s">
        <v>98</v>
      </c>
      <c r="B164" s="12" t="s">
        <v>37</v>
      </c>
      <c r="C164" s="12" t="s">
        <v>37</v>
      </c>
      <c r="D164" s="12" t="s">
        <v>37</v>
      </c>
      <c r="E164" s="12" t="s">
        <v>37</v>
      </c>
      <c r="F164" s="12" t="s">
        <v>37</v>
      </c>
      <c r="G164" s="12">
        <f>G157/B161</f>
        <v>0</v>
      </c>
      <c r="H164" s="12">
        <f>H157/C161</f>
        <v>0.3111111111111111</v>
      </c>
      <c r="I164" s="35">
        <f>I157/D161</f>
        <v>0.5347593582887701</v>
      </c>
      <c r="J164" s="6" t="s">
        <v>99</v>
      </c>
      <c r="K164" s="2"/>
      <c r="L164" s="2"/>
      <c r="M164" s="2"/>
      <c r="N164" s="2"/>
      <c r="O164" s="2"/>
    </row>
    <row r="165">
      <c r="A165" s="14" t="s">
        <v>100</v>
      </c>
      <c r="B165" s="12" t="s">
        <v>37</v>
      </c>
      <c r="C165" s="12" t="s">
        <v>37</v>
      </c>
      <c r="D165" s="12" t="s">
        <v>37</v>
      </c>
      <c r="E165" s="12" t="s">
        <v>37</v>
      </c>
      <c r="F165" s="12" t="s">
        <v>37</v>
      </c>
      <c r="G165" s="12" t="s">
        <v>37</v>
      </c>
      <c r="H165" s="12" t="s">
        <v>37</v>
      </c>
      <c r="I165" s="35" t="s">
        <v>37</v>
      </c>
      <c r="J165" s="6" t="s">
        <v>101</v>
      </c>
      <c r="K165" s="2"/>
      <c r="L165" s="2"/>
      <c r="M165" s="2"/>
      <c r="N165" s="2"/>
      <c r="O165" s="2"/>
    </row>
    <row r="166">
      <c r="A166" s="14" t="s">
        <v>102</v>
      </c>
      <c r="B166" s="12" t="s">
        <v>37</v>
      </c>
      <c r="C166" s="12" t="s">
        <v>37</v>
      </c>
      <c r="D166" s="12" t="s">
        <v>37</v>
      </c>
      <c r="E166" s="12" t="s">
        <v>37</v>
      </c>
      <c r="F166" s="12" t="s">
        <v>37</v>
      </c>
      <c r="G166" s="12" t="str">
        <f>IF(ISNUMBER(G165),(1+G162)/((1+G164)*(1+G165))-1,"n/a")</f>
        <v>n/a</v>
      </c>
      <c r="H166" s="12" t="str">
        <f>IF(ISNUMBER(H165),(1+H162)/((1+H164)*(1+H165))-1,"n/a")</f>
        <v>n/a</v>
      </c>
      <c r="I166" s="35" t="str">
        <f>IF(ISNUMBER(I165),(1+I162)/((1+I164)*(1+I165))-1,"n/a")</f>
        <v>n/a</v>
      </c>
      <c r="J166" s="6" t="s">
        <v>103</v>
      </c>
      <c r="K166" s="2"/>
      <c r="L166" s="2"/>
      <c r="M166" s="2"/>
      <c r="N166" s="2"/>
      <c r="O166" s="2"/>
    </row>
    <row r="167">
      <c r="A167" s="14" t="s">
        <v>104</v>
      </c>
      <c r="B167" s="12" t="s">
        <v>37</v>
      </c>
      <c r="C167" s="12" t="s">
        <v>37</v>
      </c>
      <c r="D167" s="12" t="s">
        <v>37</v>
      </c>
      <c r="E167" s="12" t="s">
        <v>37</v>
      </c>
      <c r="F167" s="12" t="s">
        <v>37</v>
      </c>
      <c r="G167" s="12">
        <f>IF(ISNUMBER(G164),G162-G164,"n/a")</f>
        <v>0.282312925170068</v>
      </c>
      <c r="H167" s="12">
        <f>IF(ISNUMBER(H164),H162-H164,"n/a")</f>
        <v>0.29841269841269846</v>
      </c>
      <c r="I167" s="35">
        <f>IF(ISNUMBER(I164),I162-I164,"n/a")</f>
        <v>0.12000000000000022</v>
      </c>
      <c r="J167" s="2"/>
      <c r="K167" s="2"/>
      <c r="L167" s="2"/>
      <c r="M167" s="2"/>
      <c r="N167" s="2"/>
      <c r="O167" s="2"/>
    </row>
    <row r="168">
      <c r="A168" s="36" t="s">
        <v>219</v>
      </c>
      <c r="B168" s="8">
        <v>137</v>
      </c>
      <c r="C168" s="8">
        <v>139</v>
      </c>
      <c r="D168" s="8">
        <v>144</v>
      </c>
      <c r="E168" s="8">
        <v>161</v>
      </c>
      <c r="F168" s="3">
        <f>SUM(B168:E168)</f>
        <v>581</v>
      </c>
      <c r="G168" s="8">
        <v>155</v>
      </c>
      <c r="H168" s="8">
        <v>171</v>
      </c>
      <c r="I168" s="46">
        <f>D168*(1+I169)</f>
        <v>167.04</v>
      </c>
      <c r="J168" s="2"/>
      <c r="K168" s="2"/>
      <c r="L168" s="2"/>
      <c r="M168" s="2"/>
      <c r="N168" s="2"/>
      <c r="O168" s="2"/>
    </row>
    <row r="169">
      <c r="A169" s="14" t="s">
        <v>122</v>
      </c>
      <c r="B169" s="12" t="s">
        <v>37</v>
      </c>
      <c r="C169" s="12" t="s">
        <v>37</v>
      </c>
      <c r="D169" s="12" t="s">
        <v>37</v>
      </c>
      <c r="E169" s="12" t="s">
        <v>37</v>
      </c>
      <c r="F169" s="12" t="s">
        <v>37</v>
      </c>
      <c r="G169" s="12">
        <f>G168/B168-1</f>
        <v>0.13138686131386867</v>
      </c>
      <c r="H169" s="12">
        <f>H168/C168-1</f>
        <v>0.2302158273381294</v>
      </c>
      <c r="I169" s="60">
        <v>0.16</v>
      </c>
      <c r="J169" s="6" t="s">
        <v>138</v>
      </c>
      <c r="K169" s="2"/>
      <c r="L169" s="2"/>
      <c r="M169" s="2"/>
      <c r="N169" s="2"/>
      <c r="O169" s="2"/>
    </row>
    <row r="170">
      <c r="A170" s="14" t="s">
        <v>110</v>
      </c>
      <c r="B170" s="1" t="s">
        <v>37</v>
      </c>
      <c r="C170" s="1">
        <f>IF(AND(ISNUMBER(C168),ISNUMBER(B168)),C168-B168,"n/a")</f>
        <v>2</v>
      </c>
      <c r="D170" s="1">
        <f>IF(AND(ISNUMBER(D168),ISNUMBER(C168)),D168-C168,"n/a")</f>
        <v>5</v>
      </c>
      <c r="E170" s="1">
        <f>IF(AND(ISNUMBER(E168),ISNUMBER(D168)),E168-D168,"n/a")</f>
        <v>17</v>
      </c>
      <c r="F170" s="1" t="s">
        <v>37</v>
      </c>
      <c r="G170" s="1">
        <f>IF(AND(ISNUMBER(G168),ISNUMBER(E168)),G168-E168,"n/a")</f>
        <v>-6</v>
      </c>
      <c r="H170" s="1">
        <f>IF(AND(ISNUMBER(H168),ISNUMBER(G168)),H168-G168,"n/a")</f>
        <v>16</v>
      </c>
      <c r="I170" s="13">
        <f>IF(AND(ISNUMBER(I168),ISNUMBER(H168)),I168-H168,"n/a")</f>
        <v>-3.960000000000008</v>
      </c>
      <c r="J170" s="2"/>
      <c r="K170" s="2"/>
      <c r="L170" s="2"/>
      <c r="M170" s="2"/>
      <c r="N170" s="2"/>
      <c r="O170" s="2"/>
    </row>
    <row r="171">
      <c r="A171" s="14" t="s">
        <v>98</v>
      </c>
      <c r="B171" s="12" t="s">
        <v>37</v>
      </c>
      <c r="C171" s="12" t="s">
        <v>37</v>
      </c>
      <c r="D171" s="12" t="s">
        <v>37</v>
      </c>
      <c r="E171" s="12" t="s">
        <v>37</v>
      </c>
      <c r="F171" s="12" t="s">
        <v>37</v>
      </c>
      <c r="G171" s="65">
        <v>0</v>
      </c>
      <c r="H171" s="65">
        <v>0</v>
      </c>
      <c r="I171" s="60">
        <v>0</v>
      </c>
      <c r="J171" s="6" t="s">
        <v>106</v>
      </c>
      <c r="K171" s="2"/>
      <c r="L171" s="2"/>
      <c r="M171" s="2"/>
      <c r="N171" s="2"/>
      <c r="O171" s="2"/>
    </row>
    <row r="172">
      <c r="A172" s="14" t="s">
        <v>100</v>
      </c>
      <c r="B172" s="12" t="s">
        <v>37</v>
      </c>
      <c r="C172" s="12" t="s">
        <v>37</v>
      </c>
      <c r="D172" s="12" t="s">
        <v>37</v>
      </c>
      <c r="E172" s="12" t="s">
        <v>37</v>
      </c>
      <c r="F172" s="12" t="s">
        <v>37</v>
      </c>
      <c r="G172" s="12" t="s">
        <v>37</v>
      </c>
      <c r="H172" s="12" t="s">
        <v>37</v>
      </c>
      <c r="I172" s="35" t="s">
        <v>37</v>
      </c>
      <c r="J172" s="6" t="s">
        <v>101</v>
      </c>
      <c r="K172" s="2"/>
      <c r="L172" s="2"/>
      <c r="M172" s="2"/>
      <c r="N172" s="2"/>
      <c r="O172" s="2"/>
    </row>
    <row r="173">
      <c r="A173" s="14" t="s">
        <v>102</v>
      </c>
      <c r="B173" s="12" t="s">
        <v>37</v>
      </c>
      <c r="C173" s="12" t="s">
        <v>37</v>
      </c>
      <c r="D173" s="12" t="s">
        <v>37</v>
      </c>
      <c r="E173" s="12" t="s">
        <v>37</v>
      </c>
      <c r="F173" s="12" t="s">
        <v>37</v>
      </c>
      <c r="G173" s="12" t="str">
        <f>IF(ISNUMBER(G172),(1+G169)/((1+G171)*(1+G172))-1,"n/a")</f>
        <v>n/a</v>
      </c>
      <c r="H173" s="12" t="str">
        <f>IF(ISNUMBER(H172),(1+H169)/((1+H171)*(1+H172))-1,"n/a")</f>
        <v>n/a</v>
      </c>
      <c r="I173" s="35" t="str">
        <f>IF(ISNUMBER(I172),(1+I169)/((1+I171)*(1+I172))-1,"n/a")</f>
        <v>n/a</v>
      </c>
      <c r="J173" s="6" t="s">
        <v>103</v>
      </c>
      <c r="K173" s="2"/>
      <c r="L173" s="2"/>
      <c r="M173" s="2"/>
      <c r="N173" s="2"/>
      <c r="O173" s="2"/>
    </row>
    <row r="174">
      <c r="A174" s="14" t="s">
        <v>104</v>
      </c>
      <c r="B174" s="12" t="s">
        <v>37</v>
      </c>
      <c r="C174" s="12" t="s">
        <v>37</v>
      </c>
      <c r="D174" s="12" t="s">
        <v>37</v>
      </c>
      <c r="E174" s="12" t="s">
        <v>37</v>
      </c>
      <c r="F174" s="12" t="s">
        <v>37</v>
      </c>
      <c r="G174" s="12">
        <f>IF(ISNUMBER(G171),G169-G171,"n/a")</f>
        <v>0.13138686131386867</v>
      </c>
      <c r="H174" s="12">
        <f>IF(ISNUMBER(H171),H169-H171,"n/a")</f>
        <v>0.2302158273381294</v>
      </c>
      <c r="I174" s="35">
        <f>IF(ISNUMBER(I171),I169-I171,"n/a")</f>
        <v>0.16</v>
      </c>
      <c r="J174" s="2"/>
      <c r="K174" s="2"/>
      <c r="L174" s="2"/>
      <c r="M174" s="2"/>
      <c r="N174" s="2"/>
      <c r="O174" s="2"/>
    </row>
    <row r="175">
      <c r="A175" s="36" t="s">
        <v>220</v>
      </c>
      <c r="B175" s="8">
        <v>87</v>
      </c>
      <c r="C175" s="8">
        <v>90</v>
      </c>
      <c r="D175" s="8">
        <v>97</v>
      </c>
      <c r="E175" s="8">
        <v>101</v>
      </c>
      <c r="F175" s="3">
        <f>SUM(B175:E175)</f>
        <v>375</v>
      </c>
      <c r="G175" s="8">
        <v>97</v>
      </c>
      <c r="H175" s="8">
        <v>102</v>
      </c>
      <c r="I175" s="46">
        <f>D175*(1+I176)</f>
        <v>104.76</v>
      </c>
      <c r="J175" s="2"/>
      <c r="K175" s="2"/>
      <c r="L175" s="2"/>
      <c r="M175" s="2"/>
      <c r="N175" s="2"/>
      <c r="O175" s="2"/>
    </row>
    <row r="176">
      <c r="A176" s="14" t="s">
        <v>122</v>
      </c>
      <c r="B176" s="12" t="s">
        <v>37</v>
      </c>
      <c r="C176" s="12" t="s">
        <v>37</v>
      </c>
      <c r="D176" s="12" t="s">
        <v>37</v>
      </c>
      <c r="E176" s="12" t="s">
        <v>37</v>
      </c>
      <c r="F176" s="12" t="s">
        <v>37</v>
      </c>
      <c r="G176" s="12">
        <f>G175/B175-1</f>
        <v>0.11494252873563227</v>
      </c>
      <c r="H176" s="12">
        <f>H175/C175-1</f>
        <v>0.1333333333333333</v>
      </c>
      <c r="I176" s="60">
        <v>0.08</v>
      </c>
      <c r="J176" s="6" t="s">
        <v>138</v>
      </c>
      <c r="K176" s="2"/>
      <c r="L176" s="2"/>
      <c r="M176" s="2"/>
      <c r="N176" s="2"/>
      <c r="O176" s="2"/>
    </row>
    <row r="177">
      <c r="A177" s="14" t="s">
        <v>110</v>
      </c>
      <c r="B177" s="1" t="s">
        <v>37</v>
      </c>
      <c r="C177" s="1">
        <f>IF(AND(ISNUMBER(C175),ISNUMBER(B175)),C175-B175,"n/a")</f>
        <v>3</v>
      </c>
      <c r="D177" s="1">
        <f>IF(AND(ISNUMBER(D175),ISNUMBER(C175)),D175-C175,"n/a")</f>
        <v>7</v>
      </c>
      <c r="E177" s="1">
        <f>IF(AND(ISNUMBER(E175),ISNUMBER(D175)),E175-D175,"n/a")</f>
        <v>4</v>
      </c>
      <c r="F177" s="1" t="s">
        <v>37</v>
      </c>
      <c r="G177" s="1">
        <f>IF(AND(ISNUMBER(G175),ISNUMBER(E175)),G175-E175,"n/a")</f>
        <v>-4</v>
      </c>
      <c r="H177" s="1">
        <f>IF(AND(ISNUMBER(H175),ISNUMBER(G175)),H175-G175,"n/a")</f>
        <v>5</v>
      </c>
      <c r="I177" s="13">
        <f>IF(AND(ISNUMBER(I175),ISNUMBER(H175)),I175-H175,"n/a")</f>
        <v>2.760000000000005</v>
      </c>
      <c r="J177" s="2"/>
      <c r="K177" s="2"/>
      <c r="L177" s="2"/>
      <c r="M177" s="2"/>
      <c r="N177" s="2"/>
      <c r="O177" s="2"/>
    </row>
    <row r="178">
      <c r="A178" s="14" t="s">
        <v>98</v>
      </c>
      <c r="B178" s="12" t="s">
        <v>37</v>
      </c>
      <c r="C178" s="12" t="s">
        <v>37</v>
      </c>
      <c r="D178" s="12" t="s">
        <v>37</v>
      </c>
      <c r="E178" s="12" t="s">
        <v>37</v>
      </c>
      <c r="F178" s="12" t="s">
        <v>37</v>
      </c>
      <c r="G178" s="65">
        <v>0</v>
      </c>
      <c r="H178" s="65">
        <v>0</v>
      </c>
      <c r="I178" s="60">
        <v>0</v>
      </c>
      <c r="J178" s="6" t="s">
        <v>106</v>
      </c>
      <c r="K178" s="2"/>
      <c r="L178" s="2"/>
      <c r="M178" s="2"/>
      <c r="N178" s="2"/>
      <c r="O178" s="2"/>
    </row>
    <row r="179">
      <c r="A179" s="14" t="s">
        <v>100</v>
      </c>
      <c r="B179" s="12" t="s">
        <v>37</v>
      </c>
      <c r="C179" s="12" t="s">
        <v>37</v>
      </c>
      <c r="D179" s="12" t="s">
        <v>37</v>
      </c>
      <c r="E179" s="12" t="s">
        <v>37</v>
      </c>
      <c r="F179" s="12" t="s">
        <v>37</v>
      </c>
      <c r="G179" s="12" t="s">
        <v>37</v>
      </c>
      <c r="H179" s="12" t="s">
        <v>37</v>
      </c>
      <c r="I179" s="35" t="s">
        <v>37</v>
      </c>
      <c r="J179" s="6" t="s">
        <v>101</v>
      </c>
      <c r="K179" s="2"/>
      <c r="L179" s="2"/>
      <c r="M179" s="2"/>
      <c r="N179" s="2"/>
      <c r="O179" s="2"/>
    </row>
    <row r="180">
      <c r="A180" s="14" t="s">
        <v>102</v>
      </c>
      <c r="B180" s="12" t="s">
        <v>37</v>
      </c>
      <c r="C180" s="12" t="s">
        <v>37</v>
      </c>
      <c r="D180" s="12" t="s">
        <v>37</v>
      </c>
      <c r="E180" s="12" t="s">
        <v>37</v>
      </c>
      <c r="F180" s="12" t="s">
        <v>37</v>
      </c>
      <c r="G180" s="12" t="str">
        <f>IF(ISNUMBER(G179),(1+G176)/((1+G178)*(1+G179))-1,"n/a")</f>
        <v>n/a</v>
      </c>
      <c r="H180" s="12" t="str">
        <f>IF(ISNUMBER(H179),(1+H176)/((1+H178)*(1+H179))-1,"n/a")</f>
        <v>n/a</v>
      </c>
      <c r="I180" s="35" t="str">
        <f>IF(ISNUMBER(I179),(1+I176)/((1+I178)*(1+I179))-1,"n/a")</f>
        <v>n/a</v>
      </c>
      <c r="J180" s="6" t="s">
        <v>103</v>
      </c>
      <c r="K180" s="2"/>
      <c r="L180" s="2"/>
      <c r="M180" s="2"/>
      <c r="N180" s="2"/>
      <c r="O180" s="2"/>
    </row>
    <row r="181">
      <c r="A181" s="14" t="s">
        <v>104</v>
      </c>
      <c r="B181" s="12" t="s">
        <v>37</v>
      </c>
      <c r="C181" s="12" t="s">
        <v>37</v>
      </c>
      <c r="D181" s="12" t="s">
        <v>37</v>
      </c>
      <c r="E181" s="12" t="s">
        <v>37</v>
      </c>
      <c r="F181" s="12" t="s">
        <v>37</v>
      </c>
      <c r="G181" s="12">
        <f>IF(ISNUMBER(G178),G176-G178,"n/a")</f>
        <v>0.11494252873563227</v>
      </c>
      <c r="H181" s="12">
        <f>IF(ISNUMBER(H178),H176-H178,"n/a")</f>
        <v>0.1333333333333333</v>
      </c>
      <c r="I181" s="35">
        <f>IF(ISNUMBER(I178),I176-I178,"n/a")</f>
        <v>0.08</v>
      </c>
      <c r="J181" s="2"/>
      <c r="K181" s="2"/>
      <c r="L181" s="2"/>
      <c r="M181" s="2"/>
      <c r="N181" s="2"/>
      <c r="O181" s="2"/>
    </row>
    <row r="182">
      <c r="A182" s="36" t="s">
        <v>221</v>
      </c>
      <c r="B182" s="8">
        <v>73</v>
      </c>
      <c r="C182" s="8">
        <v>87</v>
      </c>
      <c r="D182" s="8">
        <v>77</v>
      </c>
      <c r="E182" s="8">
        <v>74</v>
      </c>
      <c r="F182" s="3">
        <f>SUM(B182:E182)</f>
        <v>311</v>
      </c>
      <c r="G182" s="8">
        <v>79</v>
      </c>
      <c r="H182" s="8">
        <v>114</v>
      </c>
      <c r="I182" s="46">
        <f>D182*(1+I183)</f>
        <v>100.10000000000001</v>
      </c>
      <c r="J182" s="2"/>
      <c r="K182" s="2"/>
      <c r="L182" s="2"/>
      <c r="M182" s="2"/>
      <c r="N182" s="2"/>
      <c r="O182" s="2"/>
    </row>
    <row r="183">
      <c r="A183" s="14" t="s">
        <v>122</v>
      </c>
      <c r="B183" s="12" t="s">
        <v>37</v>
      </c>
      <c r="C183" s="12" t="s">
        <v>37</v>
      </c>
      <c r="D183" s="12" t="s">
        <v>37</v>
      </c>
      <c r="E183" s="12" t="s">
        <v>37</v>
      </c>
      <c r="F183" s="12" t="s">
        <v>37</v>
      </c>
      <c r="G183" s="12">
        <f>G182/B182-1</f>
        <v>0.08219178082191791</v>
      </c>
      <c r="H183" s="12">
        <f>H182/C182-1</f>
        <v>0.31034482758620685</v>
      </c>
      <c r="I183" s="60">
        <v>0.3</v>
      </c>
      <c r="J183" s="6" t="s">
        <v>138</v>
      </c>
      <c r="K183" s="2"/>
      <c r="L183" s="2"/>
      <c r="M183" s="2"/>
      <c r="N183" s="2"/>
      <c r="O183" s="2"/>
    </row>
    <row r="184">
      <c r="A184" s="14" t="s">
        <v>110</v>
      </c>
      <c r="B184" s="1" t="s">
        <v>37</v>
      </c>
      <c r="C184" s="1">
        <f>IF(AND(ISNUMBER(C182),ISNUMBER(B182)),C182-B182,"n/a")</f>
        <v>14</v>
      </c>
      <c r="D184" s="1">
        <f>IF(AND(ISNUMBER(D182),ISNUMBER(C182)),D182-C182,"n/a")</f>
        <v>-10</v>
      </c>
      <c r="E184" s="1">
        <f>IF(AND(ISNUMBER(E182),ISNUMBER(D182)),E182-D182,"n/a")</f>
        <v>-3</v>
      </c>
      <c r="F184" s="1" t="s">
        <v>37</v>
      </c>
      <c r="G184" s="1">
        <f>IF(AND(ISNUMBER(G182),ISNUMBER(E182)),G182-E182,"n/a")</f>
        <v>5</v>
      </c>
      <c r="H184" s="1">
        <f>IF(AND(ISNUMBER(H182),ISNUMBER(G182)),H182-G182,"n/a")</f>
        <v>35</v>
      </c>
      <c r="I184" s="13">
        <f>IF(AND(ISNUMBER(I182),ISNUMBER(H182)),I182-H182,"n/a")</f>
        <v>-13.899999999999991</v>
      </c>
      <c r="J184" s="2"/>
      <c r="K184" s="2"/>
      <c r="L184" s="2"/>
      <c r="M184" s="2"/>
      <c r="N184" s="2"/>
      <c r="O184" s="2"/>
    </row>
    <row r="185">
      <c r="A185" s="14" t="s">
        <v>98</v>
      </c>
      <c r="B185" s="12" t="s">
        <v>37</v>
      </c>
      <c r="C185" s="12" t="s">
        <v>37</v>
      </c>
      <c r="D185" s="12" t="s">
        <v>37</v>
      </c>
      <c r="E185" s="12" t="s">
        <v>37</v>
      </c>
      <c r="F185" s="12" t="s">
        <v>37</v>
      </c>
      <c r="G185" s="65">
        <v>0</v>
      </c>
      <c r="H185" s="65">
        <v>0</v>
      </c>
      <c r="I185" s="60">
        <v>0</v>
      </c>
      <c r="J185" s="6" t="s">
        <v>106</v>
      </c>
      <c r="K185" s="2"/>
      <c r="L185" s="2"/>
      <c r="M185" s="2"/>
      <c r="N185" s="2"/>
      <c r="O185" s="2"/>
    </row>
    <row r="186">
      <c r="A186" s="14" t="s">
        <v>100</v>
      </c>
      <c r="B186" s="12" t="s">
        <v>37</v>
      </c>
      <c r="C186" s="12" t="s">
        <v>37</v>
      </c>
      <c r="D186" s="12" t="s">
        <v>37</v>
      </c>
      <c r="E186" s="12" t="s">
        <v>37</v>
      </c>
      <c r="F186" s="12" t="s">
        <v>37</v>
      </c>
      <c r="G186" s="12" t="s">
        <v>37</v>
      </c>
      <c r="H186" s="12" t="s">
        <v>37</v>
      </c>
      <c r="I186" s="35" t="s">
        <v>37</v>
      </c>
      <c r="J186" s="6" t="s">
        <v>101</v>
      </c>
      <c r="K186" s="2"/>
      <c r="L186" s="2"/>
      <c r="M186" s="2"/>
      <c r="N186" s="2"/>
      <c r="O186" s="2"/>
    </row>
    <row r="187">
      <c r="A187" s="14" t="s">
        <v>102</v>
      </c>
      <c r="B187" s="12" t="s">
        <v>37</v>
      </c>
      <c r="C187" s="12" t="s">
        <v>37</v>
      </c>
      <c r="D187" s="12" t="s">
        <v>37</v>
      </c>
      <c r="E187" s="12" t="s">
        <v>37</v>
      </c>
      <c r="F187" s="12" t="s">
        <v>37</v>
      </c>
      <c r="G187" s="12" t="str">
        <f>IF(ISNUMBER(G186),(1+G183)/((1+G185)*(1+G186))-1,"n/a")</f>
        <v>n/a</v>
      </c>
      <c r="H187" s="12" t="str">
        <f>IF(ISNUMBER(H186),(1+H183)/((1+H185)*(1+H186))-1,"n/a")</f>
        <v>n/a</v>
      </c>
      <c r="I187" s="35" t="str">
        <f>IF(ISNUMBER(I186),(1+I183)/((1+I185)*(1+I186))-1,"n/a")</f>
        <v>n/a</v>
      </c>
      <c r="J187" s="6" t="s">
        <v>103</v>
      </c>
      <c r="K187" s="2"/>
      <c r="L187" s="2"/>
      <c r="M187" s="2"/>
      <c r="N187" s="2"/>
      <c r="O187" s="2"/>
    </row>
    <row r="188">
      <c r="A188" s="14" t="s">
        <v>104</v>
      </c>
      <c r="B188" s="12" t="s">
        <v>37</v>
      </c>
      <c r="C188" s="12" t="s">
        <v>37</v>
      </c>
      <c r="D188" s="12" t="s">
        <v>37</v>
      </c>
      <c r="E188" s="12" t="s">
        <v>37</v>
      </c>
      <c r="F188" s="12" t="s">
        <v>37</v>
      </c>
      <c r="G188" s="12">
        <f>IF(ISNUMBER(G185),G183-G185,"n/a")</f>
        <v>0.08219178082191791</v>
      </c>
      <c r="H188" s="12">
        <f>IF(ISNUMBER(H185),H183-H185,"n/a")</f>
        <v>0.31034482758620685</v>
      </c>
      <c r="I188" s="35">
        <f>IF(ISNUMBER(I185),I183-I185,"n/a")</f>
        <v>0.3</v>
      </c>
      <c r="J188" s="2"/>
      <c r="K188" s="2"/>
      <c r="L188" s="2"/>
      <c r="M188" s="2"/>
      <c r="N188" s="2"/>
      <c r="O188" s="2"/>
    </row>
    <row r="189">
      <c r="A189" s="16" t="s">
        <v>222</v>
      </c>
      <c r="B189" s="15">
        <f>B93+B143+B161+B168+B175+B182</f>
        <v>1422</v>
      </c>
      <c r="C189" s="15">
        <f>C93+C143+C161+C168+C175+C182</f>
        <v>1496</v>
      </c>
      <c r="D189" s="15">
        <f>D93+D143+D161+D168+D175+D182</f>
        <v>1573</v>
      </c>
      <c r="E189" s="15">
        <f>E93+E143+E161+E168+E175+E182</f>
        <v>1614</v>
      </c>
      <c r="F189" s="15">
        <f>F93+F143+F161+F168+F175+F182</f>
        <v>6105</v>
      </c>
      <c r="G189" s="15">
        <f>G93+G143+G161+G168+G175+G182</f>
        <v>1608</v>
      </c>
      <c r="H189" s="15">
        <f>H93+H143+H161+H168+H175+H182</f>
        <v>1834</v>
      </c>
      <c r="I189" s="38">
        <f>I93+I143+I161+I168+I175+I182</f>
        <v>1963.2900000000002</v>
      </c>
      <c r="J189" s="2"/>
      <c r="K189" s="2"/>
      <c r="L189" s="2"/>
      <c r="M189" s="2"/>
      <c r="N189" s="2"/>
      <c r="O189" s="2"/>
    </row>
    <row r="190">
      <c r="A190" s="19" t="s">
        <v>97</v>
      </c>
      <c r="B190" s="12" t="s">
        <v>37</v>
      </c>
      <c r="C190" s="12" t="s">
        <v>37</v>
      </c>
      <c r="D190" s="12" t="s">
        <v>37</v>
      </c>
      <c r="E190" s="12" t="s">
        <v>37</v>
      </c>
      <c r="F190" s="12" t="s">
        <v>37</v>
      </c>
      <c r="G190" s="12">
        <f>G189/B189-1</f>
        <v>0.13080168776371304</v>
      </c>
      <c r="H190" s="12">
        <f>H189/C189-1</f>
        <v>0.22593582887700525</v>
      </c>
      <c r="I190" s="35">
        <f>I189/D189-1</f>
        <v>0.2481182453909727</v>
      </c>
      <c r="J190" s="2"/>
      <c r="K190" s="2"/>
      <c r="L190" s="2"/>
      <c r="M190" s="2"/>
      <c r="N190" s="2"/>
      <c r="O190" s="2"/>
    </row>
    <row r="191">
      <c r="A191" s="19" t="s">
        <v>98</v>
      </c>
      <c r="B191" s="12" t="s">
        <v>37</v>
      </c>
      <c r="C191" s="12" t="s">
        <v>37</v>
      </c>
      <c r="D191" s="12" t="s">
        <v>37</v>
      </c>
      <c r="E191" s="12" t="s">
        <v>37</v>
      </c>
      <c r="F191" s="12" t="s">
        <v>37</v>
      </c>
      <c r="G191" s="12">
        <f>G157/B189</f>
        <v>0</v>
      </c>
      <c r="H191" s="12">
        <f>H157/C189</f>
        <v>0.06550802139037433</v>
      </c>
      <c r="I191" s="35">
        <f>I157/D189</f>
        <v>0.12714558169103624</v>
      </c>
      <c r="J191" s="6" t="s">
        <v>99</v>
      </c>
      <c r="K191" s="2"/>
      <c r="L191" s="2"/>
      <c r="M191" s="2"/>
      <c r="N191" s="2"/>
      <c r="O191" s="2"/>
    </row>
    <row r="192">
      <c r="A192" s="19" t="s">
        <v>100</v>
      </c>
      <c r="B192" s="12" t="s">
        <v>37</v>
      </c>
      <c r="C192" s="12" t="s">
        <v>37</v>
      </c>
      <c r="D192" s="12" t="s">
        <v>37</v>
      </c>
      <c r="E192" s="12" t="s">
        <v>37</v>
      </c>
      <c r="F192" s="12" t="s">
        <v>37</v>
      </c>
      <c r="G192" s="12" t="s">
        <v>37</v>
      </c>
      <c r="H192" s="12" t="s">
        <v>37</v>
      </c>
      <c r="I192" s="35" t="s">
        <v>37</v>
      </c>
      <c r="J192" s="6" t="s">
        <v>101</v>
      </c>
      <c r="K192" s="2"/>
      <c r="L192" s="2"/>
      <c r="M192" s="2"/>
      <c r="N192" s="2"/>
      <c r="O192" s="2"/>
    </row>
    <row r="193">
      <c r="A193" s="19" t="s">
        <v>102</v>
      </c>
      <c r="B193" s="12" t="s">
        <v>37</v>
      </c>
      <c r="C193" s="12" t="s">
        <v>37</v>
      </c>
      <c r="D193" s="12" t="s">
        <v>37</v>
      </c>
      <c r="E193" s="12" t="s">
        <v>37</v>
      </c>
      <c r="F193" s="12" t="s">
        <v>37</v>
      </c>
      <c r="G193" s="12" t="str">
        <f>IF(ISNUMBER(G192),(1+G190)/((1+G191)*(1+G192))-1,"n/a")</f>
        <v>n/a</v>
      </c>
      <c r="H193" s="12" t="str">
        <f>IF(ISNUMBER(H192),(1+H190)/((1+H191)*(1+H192))-1,"n/a")</f>
        <v>n/a</v>
      </c>
      <c r="I193" s="35" t="str">
        <f>IF(ISNUMBER(I192),(1+I190)/((1+I191)*(1+I192))-1,"n/a")</f>
        <v>n/a</v>
      </c>
      <c r="J193" s="6" t="s">
        <v>103</v>
      </c>
      <c r="K193" s="2"/>
      <c r="L193" s="2"/>
      <c r="M193" s="2"/>
      <c r="N193" s="2"/>
      <c r="O193" s="2"/>
    </row>
    <row r="194">
      <c r="A194" s="19" t="s">
        <v>104</v>
      </c>
      <c r="B194" s="12" t="s">
        <v>37</v>
      </c>
      <c r="C194" s="12" t="s">
        <v>37</v>
      </c>
      <c r="D194" s="12" t="s">
        <v>37</v>
      </c>
      <c r="E194" s="12" t="s">
        <v>37</v>
      </c>
      <c r="F194" s="12" t="s">
        <v>37</v>
      </c>
      <c r="G194" s="12">
        <f>IF(ISNUMBER(G191),G190-G191,"n/a")</f>
        <v>0.13080168776371304</v>
      </c>
      <c r="H194" s="12">
        <f>IF(ISNUMBER(H191),H190-H191,"n/a")</f>
        <v>0.16042780748663094</v>
      </c>
      <c r="I194" s="35">
        <f>IF(ISNUMBER(I191),I190-I191,"n/a")</f>
        <v>0.12097266369993648</v>
      </c>
      <c r="J194" s="2"/>
      <c r="K194" s="2"/>
      <c r="L194" s="2"/>
      <c r="M194" s="2"/>
      <c r="N194" s="2"/>
      <c r="O194" s="2"/>
    </row>
    <row r="195">
      <c r="A195" s="19" t="s">
        <v>223</v>
      </c>
      <c r="B195" s="10">
        <v>1422</v>
      </c>
      <c r="C195" s="10">
        <v>1496</v>
      </c>
      <c r="D195" s="10">
        <v>1573</v>
      </c>
      <c r="E195" s="10">
        <v>1614</v>
      </c>
      <c r="F195" s="1">
        <f>SUM(B195:E195)</f>
        <v>6105</v>
      </c>
      <c r="G195" s="10">
        <v>1608</v>
      </c>
      <c r="H195" s="10">
        <v>1834</v>
      </c>
      <c r="I195" s="13" t="s">
        <v>37</v>
      </c>
      <c r="J195" s="2"/>
      <c r="K195" s="2"/>
      <c r="L195" s="2"/>
      <c r="M195" s="2"/>
      <c r="N195" s="2"/>
      <c r="O195" s="2"/>
    </row>
    <row r="196">
      <c r="A196" s="26" t="s">
        <v>224</v>
      </c>
      <c r="B196" s="1">
        <f>B189-B195</f>
        <v>0</v>
      </c>
      <c r="C196" s="1">
        <f>C189-C195</f>
        <v>0</v>
      </c>
      <c r="D196" s="1">
        <f>D189-D195</f>
        <v>0</v>
      </c>
      <c r="E196" s="1">
        <f>E189-E195</f>
        <v>0</v>
      </c>
      <c r="F196" s="1">
        <f>F189-F195</f>
        <v>0</v>
      </c>
      <c r="G196" s="1">
        <f>G189-G195</f>
        <v>0</v>
      </c>
      <c r="H196" s="1">
        <f>H189-H195</f>
        <v>0</v>
      </c>
      <c r="I196" s="2"/>
      <c r="J196" s="2"/>
      <c r="K196" s="2"/>
      <c r="L196" s="2"/>
      <c r="M196" s="2"/>
      <c r="N196" s="2"/>
      <c r="O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>
      <c r="A198" s="16" t="s">
        <v>34</v>
      </c>
      <c r="B198" s="15">
        <f>B85+B189</f>
        <v>3131</v>
      </c>
      <c r="C198" s="15">
        <f>C85+C189</f>
        <v>3220</v>
      </c>
      <c r="D198" s="15">
        <f>D85+D189</f>
        <v>3342</v>
      </c>
      <c r="E198" s="15">
        <f>E85+E189</f>
        <v>3411</v>
      </c>
      <c r="F198" s="15">
        <f>F85+F189</f>
        <v>13104</v>
      </c>
      <c r="G198" s="15">
        <f>G85+G189</f>
        <v>3482</v>
      </c>
      <c r="H198" s="15">
        <f>H85+H189</f>
        <v>3771</v>
      </c>
      <c r="I198" s="38">
        <f>I85+I189</f>
        <v>3948.4857835287676</v>
      </c>
      <c r="J198" s="2"/>
      <c r="K198" s="2"/>
      <c r="L198" s="2"/>
      <c r="M198" s="2"/>
      <c r="N198" s="2"/>
      <c r="O198" s="2"/>
    </row>
    <row r="199">
      <c r="A199" s="19" t="s">
        <v>97</v>
      </c>
      <c r="B199" s="12" t="s">
        <v>37</v>
      </c>
      <c r="C199" s="12" t="s">
        <v>37</v>
      </c>
      <c r="D199" s="12" t="s">
        <v>37</v>
      </c>
      <c r="E199" s="12" t="s">
        <v>37</v>
      </c>
      <c r="F199" s="12" t="s">
        <v>37</v>
      </c>
      <c r="G199" s="12">
        <f>G198/B198-1</f>
        <v>0.1121047588629831</v>
      </c>
      <c r="H199" s="12">
        <f>H198/C198-1</f>
        <v>0.17111801242236035</v>
      </c>
      <c r="I199" s="35">
        <f>I198/D198-1</f>
        <v>0.18147390291106147</v>
      </c>
      <c r="J199" s="2"/>
      <c r="K199" s="2"/>
      <c r="L199" s="2"/>
      <c r="M199" s="2"/>
      <c r="N199" s="2"/>
      <c r="O199" s="2"/>
    </row>
    <row r="200">
      <c r="A200" s="19" t="s">
        <v>98</v>
      </c>
      <c r="B200" s="12" t="s">
        <v>37</v>
      </c>
      <c r="C200" s="12" t="s">
        <v>37</v>
      </c>
      <c r="D200" s="12" t="s">
        <v>37</v>
      </c>
      <c r="E200" s="12" t="s">
        <v>37</v>
      </c>
      <c r="F200" s="12" t="s">
        <v>37</v>
      </c>
      <c r="G200" s="12">
        <f>G157/B198</f>
        <v>0</v>
      </c>
      <c r="H200" s="12">
        <f>H157/C198</f>
        <v>0.030434782608695653</v>
      </c>
      <c r="I200" s="35">
        <f>I157/D198</f>
        <v>0.059844404548174746</v>
      </c>
      <c r="J200" s="6" t="s">
        <v>99</v>
      </c>
      <c r="K200" s="2"/>
      <c r="L200" s="2"/>
      <c r="M200" s="2"/>
      <c r="N200" s="2"/>
      <c r="O200" s="2"/>
    </row>
    <row r="201">
      <c r="A201" s="19" t="s">
        <v>100</v>
      </c>
      <c r="B201" s="12" t="s">
        <v>37</v>
      </c>
      <c r="C201" s="12" t="s">
        <v>37</v>
      </c>
      <c r="D201" s="12" t="s">
        <v>37</v>
      </c>
      <c r="E201" s="12" t="s">
        <v>37</v>
      </c>
      <c r="F201" s="12" t="s">
        <v>37</v>
      </c>
      <c r="G201" s="12" t="s">
        <v>37</v>
      </c>
      <c r="H201" s="12" t="s">
        <v>37</v>
      </c>
      <c r="I201" s="35" t="s">
        <v>37</v>
      </c>
      <c r="J201" s="6" t="s">
        <v>101</v>
      </c>
      <c r="K201" s="2"/>
      <c r="L201" s="2"/>
      <c r="M201" s="2"/>
      <c r="N201" s="2"/>
      <c r="O201" s="2"/>
    </row>
    <row r="202">
      <c r="A202" s="19" t="s">
        <v>102</v>
      </c>
      <c r="B202" s="12" t="s">
        <v>37</v>
      </c>
      <c r="C202" s="12" t="s">
        <v>37</v>
      </c>
      <c r="D202" s="12" t="s">
        <v>37</v>
      </c>
      <c r="E202" s="12" t="s">
        <v>37</v>
      </c>
      <c r="F202" s="12" t="s">
        <v>37</v>
      </c>
      <c r="G202" s="12" t="str">
        <f>IF(ISNUMBER(G201),(1+G199)/((1+G200)*(1+G201))-1,"n/a")</f>
        <v>n/a</v>
      </c>
      <c r="H202" s="12" t="str">
        <f>IF(ISNUMBER(H201),(1+H199)/((1+H200)*(1+H201))-1,"n/a")</f>
        <v>n/a</v>
      </c>
      <c r="I202" s="35" t="str">
        <f>IF(ISNUMBER(I201),(1+I199)/((1+I200)*(1+I201))-1,"n/a")</f>
        <v>n/a</v>
      </c>
      <c r="J202" s="6" t="s">
        <v>103</v>
      </c>
      <c r="K202" s="2"/>
      <c r="L202" s="2"/>
      <c r="M202" s="2"/>
      <c r="N202" s="2"/>
      <c r="O202" s="2"/>
    </row>
    <row r="203">
      <c r="A203" s="19" t="s">
        <v>104</v>
      </c>
      <c r="B203" s="12" t="s">
        <v>37</v>
      </c>
      <c r="C203" s="12" t="s">
        <v>37</v>
      </c>
      <c r="D203" s="12" t="s">
        <v>37</v>
      </c>
      <c r="E203" s="12" t="s">
        <v>37</v>
      </c>
      <c r="F203" s="12" t="s">
        <v>37</v>
      </c>
      <c r="G203" s="12">
        <f>IF(ISNUMBER(G200),G199-G200,"n/a")</f>
        <v>0.1121047588629831</v>
      </c>
      <c r="H203" s="12">
        <f>IF(ISNUMBER(H200),H199-H200,"n/a")</f>
        <v>0.1406832298136647</v>
      </c>
      <c r="I203" s="35">
        <f>IF(ISNUMBER(I200),I199-I200,"n/a")</f>
        <v>0.12162949836288672</v>
      </c>
      <c r="J203" s="2"/>
      <c r="K203" s="2"/>
      <c r="L203" s="2"/>
      <c r="M203" s="2"/>
      <c r="N203" s="2"/>
      <c r="O203" s="2"/>
    </row>
    <row r="204">
      <c r="A204" s="19" t="s">
        <v>95</v>
      </c>
      <c r="B204" s="12" t="s">
        <v>37</v>
      </c>
      <c r="C204" s="12">
        <f>C198/B198-1</f>
        <v>0.028425423187480092</v>
      </c>
      <c r="D204" s="12">
        <f>D198/C198-1</f>
        <v>0.03788819875776395</v>
      </c>
      <c r="E204" s="12">
        <f>E198/D198-1</f>
        <v>0.02064631956912022</v>
      </c>
      <c r="F204" s="12" t="s">
        <v>37</v>
      </c>
      <c r="G204" s="12">
        <f>G198/E198-1</f>
        <v>0.020815010260920586</v>
      </c>
      <c r="H204" s="12">
        <f>H198/G198-1</f>
        <v>0.08299827685238359</v>
      </c>
      <c r="I204" s="35">
        <f>I198/H198-1</f>
        <v>0.04706597282650948</v>
      </c>
      <c r="J204" s="2"/>
      <c r="K204" s="2"/>
      <c r="L204" s="2"/>
      <c r="M204" s="2"/>
      <c r="N204" s="2"/>
      <c r="O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>
      <c r="A206" s="16" t="s">
        <v>225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>
      <c r="A207" s="36" t="s">
        <v>226</v>
      </c>
      <c r="B207" s="8">
        <v>553</v>
      </c>
      <c r="C207" s="8">
        <v>570</v>
      </c>
      <c r="D207" s="8">
        <v>565</v>
      </c>
      <c r="E207" s="8">
        <v>571</v>
      </c>
      <c r="F207" s="3">
        <f>SUM(B207:E207)</f>
        <v>2259</v>
      </c>
      <c r="G207" s="8">
        <v>587</v>
      </c>
      <c r="H207" s="8">
        <v>666</v>
      </c>
      <c r="I207" s="46">
        <f>H207*(1+I208)</f>
        <v>759.2400000000001</v>
      </c>
      <c r="J207" s="6" t="s">
        <v>227</v>
      </c>
      <c r="K207" s="2"/>
      <c r="L207" s="2"/>
      <c r="M207" s="2"/>
      <c r="N207" s="2"/>
      <c r="O207" s="2"/>
    </row>
    <row r="208">
      <c r="A208" s="14" t="s">
        <v>95</v>
      </c>
      <c r="B208" s="12" t="s">
        <v>37</v>
      </c>
      <c r="C208" s="12">
        <f>C207/B207-1</f>
        <v>0.030741410488245968</v>
      </c>
      <c r="D208" s="12">
        <f>D207/C207-1</f>
        <v>-0.00877192982456143</v>
      </c>
      <c r="E208" s="12">
        <f>E207/D207-1</f>
        <v>0.010619469026548645</v>
      </c>
      <c r="F208" s="12" t="s">
        <v>37</v>
      </c>
      <c r="G208" s="12">
        <f>G207/E207-1</f>
        <v>0.028021015761821255</v>
      </c>
      <c r="H208" s="12">
        <f>H207/G207-1</f>
        <v>0.13458262350936967</v>
      </c>
      <c r="I208" s="60">
        <v>0.14</v>
      </c>
      <c r="J208" s="6" t="s">
        <v>138</v>
      </c>
      <c r="K208" s="2"/>
      <c r="L208" s="2"/>
      <c r="M208" s="2"/>
      <c r="N208" s="2"/>
      <c r="O208" s="2"/>
    </row>
    <row r="209">
      <c r="A209" s="14" t="s">
        <v>122</v>
      </c>
      <c r="B209" s="12" t="s">
        <v>37</v>
      </c>
      <c r="C209" s="12" t="s">
        <v>37</v>
      </c>
      <c r="D209" s="12" t="s">
        <v>37</v>
      </c>
      <c r="E209" s="12" t="s">
        <v>37</v>
      </c>
      <c r="F209" s="12" t="s">
        <v>37</v>
      </c>
      <c r="G209" s="12">
        <f>G207/B207-1</f>
        <v>0.061482820976491936</v>
      </c>
      <c r="H209" s="12">
        <f>H207/C207-1</f>
        <v>0.16842105263157903</v>
      </c>
      <c r="I209" s="35">
        <f>I207/D207-1</f>
        <v>0.3437876106194693</v>
      </c>
      <c r="J209" s="2"/>
      <c r="K209" s="2"/>
      <c r="L209" s="2"/>
      <c r="M209" s="2"/>
      <c r="N209" s="2"/>
      <c r="O209" s="2"/>
    </row>
    <row r="210">
      <c r="A210" s="14" t="s">
        <v>110</v>
      </c>
      <c r="B210" s="1" t="s">
        <v>37</v>
      </c>
      <c r="C210" s="1">
        <f>IF(AND(ISNUMBER(C207),ISNUMBER(B207)),C207-B207,"n/a")</f>
        <v>17</v>
      </c>
      <c r="D210" s="1">
        <f>IF(AND(ISNUMBER(D207),ISNUMBER(C207)),D207-C207,"n/a")</f>
        <v>-5</v>
      </c>
      <c r="E210" s="1">
        <f>IF(AND(ISNUMBER(E207),ISNUMBER(D207)),E207-D207,"n/a")</f>
        <v>6</v>
      </c>
      <c r="F210" s="1" t="s">
        <v>37</v>
      </c>
      <c r="G210" s="1">
        <f>IF(AND(ISNUMBER(G207),ISNUMBER(E207)),G207-E207,"n/a")</f>
        <v>16</v>
      </c>
      <c r="H210" s="1">
        <f>IF(AND(ISNUMBER(H207),ISNUMBER(G207)),H207-G207,"n/a")</f>
        <v>79</v>
      </c>
      <c r="I210" s="13">
        <f>IF(AND(ISNUMBER(I207),ISNUMBER(H207)),I207-H207,"n/a")</f>
        <v>93.24000000000012</v>
      </c>
      <c r="J210" s="2"/>
      <c r="K210" s="2"/>
      <c r="L210" s="2"/>
      <c r="M210" s="2"/>
      <c r="N210" s="2"/>
      <c r="O210" s="2"/>
    </row>
    <row r="211">
      <c r="A211" s="36" t="s">
        <v>228</v>
      </c>
      <c r="B211" s="8">
        <v>46</v>
      </c>
      <c r="C211" s="8">
        <v>46</v>
      </c>
      <c r="D211" s="8">
        <v>46</v>
      </c>
      <c r="E211" s="8">
        <v>46</v>
      </c>
      <c r="F211" s="3">
        <f>SUM(B211:E211)</f>
        <v>184</v>
      </c>
      <c r="G211" s="8">
        <v>40</v>
      </c>
      <c r="H211" s="8">
        <v>44</v>
      </c>
      <c r="I211" s="46">
        <f>H211*(1+I212)</f>
        <v>47.96</v>
      </c>
      <c r="J211" s="2"/>
      <c r="K211" s="2"/>
      <c r="L211" s="2"/>
      <c r="M211" s="2"/>
      <c r="N211" s="2"/>
      <c r="O211" s="2"/>
    </row>
    <row r="212">
      <c r="A212" s="14" t="s">
        <v>95</v>
      </c>
      <c r="B212" s="12" t="s">
        <v>37</v>
      </c>
      <c r="C212" s="12">
        <f>C211/B211-1</f>
        <v>0</v>
      </c>
      <c r="D212" s="12">
        <f>D211/C211-1</f>
        <v>0</v>
      </c>
      <c r="E212" s="12">
        <f>E211/D211-1</f>
        <v>0</v>
      </c>
      <c r="F212" s="12" t="s">
        <v>37</v>
      </c>
      <c r="G212" s="12">
        <f>G211/E211-1</f>
        <v>-0.13043478260869568</v>
      </c>
      <c r="H212" s="12">
        <f>H211/G211-1</f>
        <v>0.10000000000000009</v>
      </c>
      <c r="I212" s="60">
        <v>0.09</v>
      </c>
      <c r="J212" s="6" t="s">
        <v>138</v>
      </c>
      <c r="K212" s="2"/>
      <c r="L212" s="2"/>
      <c r="M212" s="2"/>
      <c r="N212" s="2"/>
      <c r="O212" s="2"/>
    </row>
    <row r="213">
      <c r="A213" s="14" t="s">
        <v>122</v>
      </c>
      <c r="B213" s="12" t="s">
        <v>37</v>
      </c>
      <c r="C213" s="12" t="s">
        <v>37</v>
      </c>
      <c r="D213" s="12" t="s">
        <v>37</v>
      </c>
      <c r="E213" s="12" t="s">
        <v>37</v>
      </c>
      <c r="F213" s="12" t="s">
        <v>37</v>
      </c>
      <c r="G213" s="12">
        <f>G211/B211-1</f>
        <v>-0.13043478260869568</v>
      </c>
      <c r="H213" s="12">
        <f>H211/C211-1</f>
        <v>-0.04347826086956519</v>
      </c>
      <c r="I213" s="35">
        <f>I211/D211-1</f>
        <v>0.042608695652173845</v>
      </c>
      <c r="J213" s="2"/>
      <c r="K213" s="2"/>
      <c r="L213" s="2"/>
      <c r="M213" s="2"/>
      <c r="N213" s="2"/>
      <c r="O213" s="2"/>
    </row>
    <row r="214">
      <c r="A214" s="14" t="s">
        <v>110</v>
      </c>
      <c r="B214" s="1" t="s">
        <v>37</v>
      </c>
      <c r="C214" s="1">
        <f>IF(AND(ISNUMBER(C211),ISNUMBER(B211)),C211-B211,"n/a")</f>
        <v>0</v>
      </c>
      <c r="D214" s="1">
        <f>IF(AND(ISNUMBER(D211),ISNUMBER(C211)),D211-C211,"n/a")</f>
        <v>0</v>
      </c>
      <c r="E214" s="1">
        <f>IF(AND(ISNUMBER(E211),ISNUMBER(D211)),E211-D211,"n/a")</f>
        <v>0</v>
      </c>
      <c r="F214" s="1" t="s">
        <v>37</v>
      </c>
      <c r="G214" s="1">
        <f>IF(AND(ISNUMBER(G211),ISNUMBER(E211)),G211-E211,"n/a")</f>
        <v>-6</v>
      </c>
      <c r="H214" s="1">
        <f>IF(AND(ISNUMBER(H211),ISNUMBER(G211)),H211-G211,"n/a")</f>
        <v>4</v>
      </c>
      <c r="I214" s="13">
        <f>IF(AND(ISNUMBER(I211),ISNUMBER(H211)),I211-H211,"n/a")</f>
        <v>3.960000000000001</v>
      </c>
      <c r="J214" s="2"/>
      <c r="K214" s="2"/>
      <c r="L214" s="2"/>
      <c r="M214" s="2"/>
      <c r="N214" s="2"/>
      <c r="O214" s="2"/>
    </row>
    <row r="215">
      <c r="A215" s="36" t="s">
        <v>229</v>
      </c>
      <c r="B215" s="8">
        <v>632</v>
      </c>
      <c r="C215" s="8">
        <v>615</v>
      </c>
      <c r="D215" s="8">
        <v>617</v>
      </c>
      <c r="E215" s="8">
        <v>620</v>
      </c>
      <c r="F215" s="3">
        <f>SUM(B215:E215)</f>
        <v>2484</v>
      </c>
      <c r="G215" s="8">
        <v>605</v>
      </c>
      <c r="H215" s="8">
        <v>611</v>
      </c>
      <c r="I215" s="46">
        <f>H215*(1+I216)</f>
        <v>615.2769999999999</v>
      </c>
      <c r="J215" s="2"/>
      <c r="K215" s="2"/>
      <c r="L215" s="2"/>
      <c r="M215" s="2"/>
      <c r="N215" s="2"/>
      <c r="O215" s="2"/>
    </row>
    <row r="216">
      <c r="A216" s="14" t="s">
        <v>95</v>
      </c>
      <c r="B216" s="12" t="s">
        <v>37</v>
      </c>
      <c r="C216" s="12">
        <f>C215/B215-1</f>
        <v>-0.026898734177215222</v>
      </c>
      <c r="D216" s="12">
        <f>D215/C215-1</f>
        <v>0.003252032520325132</v>
      </c>
      <c r="E216" s="12">
        <f>E215/D215-1</f>
        <v>0.004862236628849326</v>
      </c>
      <c r="F216" s="12" t="s">
        <v>37</v>
      </c>
      <c r="G216" s="12">
        <f>G215/E215-1</f>
        <v>-0.024193548387096753</v>
      </c>
      <c r="H216" s="12">
        <f>H215/G215-1</f>
        <v>0.009917355371900749</v>
      </c>
      <c r="I216" s="60">
        <v>0.007</v>
      </c>
      <c r="J216" s="6" t="s">
        <v>138</v>
      </c>
      <c r="K216" s="2"/>
      <c r="L216" s="2"/>
      <c r="M216" s="2"/>
      <c r="N216" s="2"/>
      <c r="O216" s="2"/>
    </row>
    <row r="217">
      <c r="A217" s="14" t="s">
        <v>122</v>
      </c>
      <c r="B217" s="12" t="s">
        <v>37</v>
      </c>
      <c r="C217" s="12" t="s">
        <v>37</v>
      </c>
      <c r="D217" s="12" t="s">
        <v>37</v>
      </c>
      <c r="E217" s="12" t="s">
        <v>37</v>
      </c>
      <c r="F217" s="12" t="s">
        <v>37</v>
      </c>
      <c r="G217" s="12">
        <f>G215/B215-1</f>
        <v>-0.04272151898734178</v>
      </c>
      <c r="H217" s="12">
        <f>H215/C215-1</f>
        <v>-0.006504065040650375</v>
      </c>
      <c r="I217" s="35">
        <f>I215/D215-1</f>
        <v>-0.0027925445705025975</v>
      </c>
      <c r="J217" s="2"/>
      <c r="K217" s="2"/>
      <c r="L217" s="2"/>
      <c r="M217" s="2"/>
      <c r="N217" s="2"/>
      <c r="O217" s="2"/>
    </row>
    <row r="218">
      <c r="A218" s="14" t="s">
        <v>110</v>
      </c>
      <c r="B218" s="1" t="s">
        <v>37</v>
      </c>
      <c r="C218" s="1">
        <f>IF(AND(ISNUMBER(C215),ISNUMBER(B215)),C215-B215,"n/a")</f>
        <v>-17</v>
      </c>
      <c r="D218" s="1">
        <f>IF(AND(ISNUMBER(D215),ISNUMBER(C215)),D215-C215,"n/a")</f>
        <v>2</v>
      </c>
      <c r="E218" s="1">
        <f>IF(AND(ISNUMBER(E215),ISNUMBER(D215)),E215-D215,"n/a")</f>
        <v>3</v>
      </c>
      <c r="F218" s="1" t="s">
        <v>37</v>
      </c>
      <c r="G218" s="1">
        <f>IF(AND(ISNUMBER(G215),ISNUMBER(E215)),G215-E215,"n/a")</f>
        <v>-15</v>
      </c>
      <c r="H218" s="1">
        <f>IF(AND(ISNUMBER(H215),ISNUMBER(G215)),H215-G215,"n/a")</f>
        <v>6</v>
      </c>
      <c r="I218" s="13">
        <f>IF(AND(ISNUMBER(I215),ISNUMBER(H215)),I215-H215,"n/a")</f>
        <v>4.27699999999993</v>
      </c>
      <c r="J218" s="2"/>
      <c r="K218" s="2"/>
      <c r="L218" s="2"/>
      <c r="M218" s="2"/>
      <c r="N218" s="2"/>
      <c r="O218" s="2"/>
    </row>
    <row r="219">
      <c r="A219" s="36" t="s">
        <v>230</v>
      </c>
      <c r="B219" s="8">
        <v>251</v>
      </c>
      <c r="C219" s="8">
        <v>246</v>
      </c>
      <c r="D219" s="8">
        <v>254</v>
      </c>
      <c r="E219" s="8">
        <v>283</v>
      </c>
      <c r="F219" s="3">
        <f>SUM(B219:E219)</f>
        <v>1034</v>
      </c>
      <c r="G219" s="8">
        <v>245</v>
      </c>
      <c r="H219" s="8">
        <v>281</v>
      </c>
      <c r="I219" s="46">
        <f>H219*(1+I220)</f>
        <v>295.05</v>
      </c>
      <c r="J219" s="2"/>
      <c r="K219" s="2"/>
      <c r="L219" s="2"/>
      <c r="M219" s="2"/>
      <c r="N219" s="2"/>
      <c r="O219" s="2"/>
    </row>
    <row r="220">
      <c r="A220" s="14" t="s">
        <v>95</v>
      </c>
      <c r="B220" s="12" t="s">
        <v>37</v>
      </c>
      <c r="C220" s="12">
        <f>C219/B219-1</f>
        <v>-0.019920318725099584</v>
      </c>
      <c r="D220" s="12">
        <f>D219/C219-1</f>
        <v>0.03252032520325199</v>
      </c>
      <c r="E220" s="12">
        <f>E219/D219-1</f>
        <v>0.11417322834645671</v>
      </c>
      <c r="F220" s="12" t="s">
        <v>37</v>
      </c>
      <c r="G220" s="12">
        <f>G219/E219-1</f>
        <v>-0.13427561837455826</v>
      </c>
      <c r="H220" s="12">
        <f>H219/G219-1</f>
        <v>0.14693877551020407</v>
      </c>
      <c r="I220" s="60">
        <v>0.05</v>
      </c>
      <c r="J220" s="6" t="s">
        <v>138</v>
      </c>
      <c r="K220" s="2"/>
      <c r="L220" s="2"/>
      <c r="M220" s="2"/>
      <c r="N220" s="2"/>
      <c r="O220" s="2"/>
    </row>
    <row r="221">
      <c r="A221" s="14" t="s">
        <v>122</v>
      </c>
      <c r="B221" s="12" t="s">
        <v>37</v>
      </c>
      <c r="C221" s="12" t="s">
        <v>37</v>
      </c>
      <c r="D221" s="12" t="s">
        <v>37</v>
      </c>
      <c r="E221" s="12" t="s">
        <v>37</v>
      </c>
      <c r="F221" s="12" t="s">
        <v>37</v>
      </c>
      <c r="G221" s="12">
        <f>G219/B219-1</f>
        <v>-0.0239043824701195</v>
      </c>
      <c r="H221" s="12">
        <f>H219/C219-1</f>
        <v>0.1422764227642277</v>
      </c>
      <c r="I221" s="35">
        <f>I219/D219-1</f>
        <v>0.16161417322834648</v>
      </c>
      <c r="J221" s="2"/>
      <c r="K221" s="2"/>
      <c r="L221" s="2"/>
      <c r="M221" s="2"/>
      <c r="N221" s="2"/>
      <c r="O221" s="2"/>
    </row>
    <row r="222">
      <c r="A222" s="14" t="s">
        <v>110</v>
      </c>
      <c r="B222" s="1" t="s">
        <v>37</v>
      </c>
      <c r="C222" s="1">
        <f>IF(AND(ISNUMBER(C219),ISNUMBER(B219)),C219-B219,"n/a")</f>
        <v>-5</v>
      </c>
      <c r="D222" s="1">
        <f>IF(AND(ISNUMBER(D219),ISNUMBER(C219)),D219-C219,"n/a")</f>
        <v>8</v>
      </c>
      <c r="E222" s="1">
        <f>IF(AND(ISNUMBER(E219),ISNUMBER(D219)),E219-D219,"n/a")</f>
        <v>29</v>
      </c>
      <c r="F222" s="1" t="s">
        <v>37</v>
      </c>
      <c r="G222" s="1">
        <f>IF(AND(ISNUMBER(G219),ISNUMBER(E219)),G219-E219,"n/a")</f>
        <v>-38</v>
      </c>
      <c r="H222" s="1">
        <f>IF(AND(ISNUMBER(H219),ISNUMBER(G219)),H219-G219,"n/a")</f>
        <v>36</v>
      </c>
      <c r="I222" s="13">
        <f>IF(AND(ISNUMBER(I219),ISNUMBER(H219)),I219-H219,"n/a")</f>
        <v>14.050000000000011</v>
      </c>
      <c r="J222" s="2"/>
      <c r="K222" s="2"/>
      <c r="L222" s="2"/>
      <c r="M222" s="2"/>
      <c r="N222" s="2"/>
      <c r="O222" s="2"/>
    </row>
    <row r="223">
      <c r="A223" s="16" t="s">
        <v>231</v>
      </c>
      <c r="B223" s="15">
        <f>B207+B211+B215+B219</f>
        <v>1482</v>
      </c>
      <c r="C223" s="15">
        <f>C207+C211+C215+C219</f>
        <v>1477</v>
      </c>
      <c r="D223" s="15">
        <f>D207+D211+D215+D219</f>
        <v>1482</v>
      </c>
      <c r="E223" s="15">
        <f>E207+E211+E215+E219</f>
        <v>1520</v>
      </c>
      <c r="F223" s="15">
        <f>F207+F211+F215+F219</f>
        <v>5961</v>
      </c>
      <c r="G223" s="15">
        <f>G207+G211+G215+G219</f>
        <v>1477</v>
      </c>
      <c r="H223" s="15">
        <f>H207+H211+H215+H219</f>
        <v>1602</v>
      </c>
      <c r="I223" s="38">
        <f>I207+I211+I215+I219</f>
        <v>1717.527</v>
      </c>
      <c r="J223" s="2"/>
      <c r="K223" s="2"/>
      <c r="L223" s="2"/>
      <c r="M223" s="2"/>
      <c r="N223" s="2"/>
      <c r="O223" s="2"/>
    </row>
    <row r="224">
      <c r="A224" s="19" t="s">
        <v>122</v>
      </c>
      <c r="B224" s="12" t="s">
        <v>37</v>
      </c>
      <c r="C224" s="12" t="s">
        <v>37</v>
      </c>
      <c r="D224" s="12" t="s">
        <v>37</v>
      </c>
      <c r="E224" s="12" t="s">
        <v>37</v>
      </c>
      <c r="F224" s="12" t="s">
        <v>37</v>
      </c>
      <c r="G224" s="12">
        <f>G223/B223-1</f>
        <v>-0.003373819163292824</v>
      </c>
      <c r="H224" s="12">
        <f>H223/C223-1</f>
        <v>0.08463100880162489</v>
      </c>
      <c r="I224" s="35">
        <f>I223/D223-1</f>
        <v>0.15892510121457493</v>
      </c>
      <c r="J224" s="2"/>
      <c r="K224" s="2"/>
      <c r="L224" s="2"/>
      <c r="M224" s="2"/>
      <c r="N224" s="2"/>
      <c r="O224" s="2"/>
    </row>
    <row r="225">
      <c r="A225" s="19" t="s">
        <v>110</v>
      </c>
      <c r="B225" s="1" t="s">
        <v>37</v>
      </c>
      <c r="C225" s="1">
        <f>IF(AND(ISNUMBER(C223),ISNUMBER(B223)),C223-B223,"n/a")</f>
        <v>-5</v>
      </c>
      <c r="D225" s="1">
        <f>IF(AND(ISNUMBER(D223),ISNUMBER(C223)),D223-C223,"n/a")</f>
        <v>5</v>
      </c>
      <c r="E225" s="1">
        <f>IF(AND(ISNUMBER(E223),ISNUMBER(D223)),E223-D223,"n/a")</f>
        <v>38</v>
      </c>
      <c r="F225" s="1" t="s">
        <v>37</v>
      </c>
      <c r="G225" s="1">
        <f>IF(AND(ISNUMBER(G223),ISNUMBER(E223)),G223-E223,"n/a")</f>
        <v>-43</v>
      </c>
      <c r="H225" s="1">
        <f>IF(AND(ISNUMBER(H223),ISNUMBER(G223)),H223-G223,"n/a")</f>
        <v>125</v>
      </c>
      <c r="I225" s="13">
        <f>IF(AND(ISNUMBER(I223),ISNUMBER(H223)),I223-H223,"n/a")</f>
        <v>115.52700000000004</v>
      </c>
      <c r="J225" s="2"/>
      <c r="K225" s="2"/>
      <c r="L225" s="2"/>
      <c r="M225" s="2"/>
      <c r="N225" s="2"/>
      <c r="O225" s="2"/>
    </row>
    <row r="226">
      <c r="A226" s="26" t="s">
        <v>232</v>
      </c>
      <c r="B226" s="12">
        <f>B223/B198</f>
        <v>0.47333120408815077</v>
      </c>
      <c r="C226" s="12">
        <f>C223/C198</f>
        <v>0.45869565217391306</v>
      </c>
      <c r="D226" s="12">
        <f>D223/D198</f>
        <v>0.44344703770197486</v>
      </c>
      <c r="E226" s="12">
        <f>E223/E198</f>
        <v>0.4456171210788625</v>
      </c>
      <c r="F226" s="12">
        <f>F223/F198</f>
        <v>0.4548992673992674</v>
      </c>
      <c r="G226" s="12">
        <f>G223/G198</f>
        <v>0.4241815048822516</v>
      </c>
      <c r="H226" s="12">
        <f>H223/H198</f>
        <v>0.42482100238663484</v>
      </c>
      <c r="I226" s="35">
        <f>I223/I198</f>
        <v>0.43498371126590296</v>
      </c>
      <c r="J226" s="2"/>
      <c r="K226" s="2"/>
      <c r="L226" s="2"/>
      <c r="M226" s="2"/>
      <c r="N226" s="2"/>
      <c r="O226" s="2"/>
    </row>
    <row r="227">
      <c r="A227" s="19" t="s">
        <v>144</v>
      </c>
      <c r="B227" s="5" t="s">
        <v>37</v>
      </c>
      <c r="C227" s="5">
        <f>IF(AND(ISNUMBER(C226),ISNUMBER(B226)),(C226-B226)*10000,"n/a")</f>
        <v>-146.3555191423771</v>
      </c>
      <c r="D227" s="5">
        <f>IF(AND(ISNUMBER(D226),ISNUMBER(C226)),(D226-C226)*10000,"n/a")</f>
        <v>-152.48614471938205</v>
      </c>
      <c r="E227" s="5">
        <f>IF(AND(ISNUMBER(E226),ISNUMBER(D226)),(E226-D226)*10000,"n/a")</f>
        <v>21.700833768876215</v>
      </c>
      <c r="F227" s="5" t="s">
        <v>37</v>
      </c>
      <c r="G227" s="5">
        <f>IF(AND(ISNUMBER(G226),ISNUMBER(E226)),(G226-E226)*10000,"n/a")</f>
        <v>-214.35616196610886</v>
      </c>
      <c r="H227" s="5">
        <f>IF(AND(ISNUMBER(H226),ISNUMBER(G226)),(H226-G226)*10000,"n/a")</f>
        <v>6.394975043832463</v>
      </c>
      <c r="I227" s="45">
        <f>IF(AND(ISNUMBER(I226),ISNUMBER(H226)),(I226-H226)*10000,"n/a")</f>
        <v>101.62708879268123</v>
      </c>
      <c r="J227" s="2"/>
      <c r="K227" s="2"/>
      <c r="L227" s="2"/>
      <c r="M227" s="2"/>
      <c r="N227" s="2"/>
      <c r="O227" s="2"/>
    </row>
    <row r="228">
      <c r="A228" s="19" t="s">
        <v>145</v>
      </c>
      <c r="B228" s="5" t="s">
        <v>37</v>
      </c>
      <c r="C228" s="5" t="s">
        <v>37</v>
      </c>
      <c r="D228" s="5" t="s">
        <v>37</v>
      </c>
      <c r="E228" s="5" t="s">
        <v>37</v>
      </c>
      <c r="F228" s="5" t="s">
        <v>37</v>
      </c>
      <c r="G228" s="5">
        <f>IF(AND(ISNUMBER(G226),ISNUMBER(B226)),(G226-B226)*10000,"n/a")</f>
        <v>-491.4969920589918</v>
      </c>
      <c r="H228" s="5">
        <f>IF(AND(ISNUMBER(H226),ISNUMBER(C226)),(H226-C226)*10000,"n/a")</f>
        <v>-338.74649787278224</v>
      </c>
      <c r="I228" s="45">
        <f>IF(AND(ISNUMBER(I226),ISNUMBER(D226)),(I226-D226)*10000,"n/a")</f>
        <v>-84.63326436071894</v>
      </c>
      <c r="J228" s="2"/>
      <c r="K228" s="2"/>
      <c r="L228" s="2"/>
      <c r="M228" s="2"/>
      <c r="N228" s="2"/>
      <c r="O228" s="2"/>
    </row>
    <row r="229">
      <c r="A229" s="16" t="s">
        <v>233</v>
      </c>
      <c r="B229" s="15">
        <f>B198-B223</f>
        <v>1649</v>
      </c>
      <c r="C229" s="15">
        <f>C198-C223</f>
        <v>1743</v>
      </c>
      <c r="D229" s="15">
        <f>D198-D223</f>
        <v>1860</v>
      </c>
      <c r="E229" s="15">
        <f>E198-E223</f>
        <v>1891</v>
      </c>
      <c r="F229" s="15">
        <f>F198-F223</f>
        <v>7143</v>
      </c>
      <c r="G229" s="15">
        <f>G198-G223</f>
        <v>2005</v>
      </c>
      <c r="H229" s="15">
        <f>H198-H223</f>
        <v>2169</v>
      </c>
      <c r="I229" s="38">
        <f>I198-I223</f>
        <v>2230.9587835287675</v>
      </c>
      <c r="J229" s="2"/>
      <c r="K229" s="2"/>
      <c r="L229" s="2"/>
      <c r="M229" s="2"/>
      <c r="N229" s="2"/>
      <c r="O229" s="2"/>
    </row>
    <row r="230">
      <c r="A230" s="19" t="s">
        <v>122</v>
      </c>
      <c r="B230" s="12" t="s">
        <v>37</v>
      </c>
      <c r="C230" s="12" t="s">
        <v>37</v>
      </c>
      <c r="D230" s="12" t="s">
        <v>37</v>
      </c>
      <c r="E230" s="12" t="s">
        <v>37</v>
      </c>
      <c r="F230" s="12" t="s">
        <v>37</v>
      </c>
      <c r="G230" s="12">
        <f>G229/B229-1</f>
        <v>0.21588841722255903</v>
      </c>
      <c r="H230" s="12">
        <f>H229/C229-1</f>
        <v>0.2444061962134252</v>
      </c>
      <c r="I230" s="35">
        <f>I229/D229-1</f>
        <v>0.19944020619826208</v>
      </c>
      <c r="J230" s="2"/>
      <c r="K230" s="2"/>
      <c r="L230" s="2"/>
      <c r="M230" s="2"/>
      <c r="N230" s="2"/>
      <c r="O230" s="2"/>
    </row>
    <row r="231">
      <c r="A231" s="36" t="s">
        <v>234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>
      <c r="A232" s="62" t="s">
        <v>235</v>
      </c>
      <c r="B232" s="8">
        <v>88</v>
      </c>
      <c r="C232" s="8">
        <v>49</v>
      </c>
      <c r="D232" s="8">
        <v>15</v>
      </c>
      <c r="E232" s="8">
        <v>92</v>
      </c>
      <c r="F232" s="3">
        <f>SUM(B232:E232)</f>
        <v>244</v>
      </c>
      <c r="G232" s="8">
        <v>102</v>
      </c>
      <c r="H232" s="8">
        <v>82</v>
      </c>
      <c r="I232" s="46">
        <f>I233*I10*(I$7/365)</f>
        <v>81.6625082191781</v>
      </c>
      <c r="J232" s="2"/>
      <c r="K232" s="2"/>
      <c r="L232" s="2"/>
      <c r="M232" s="2"/>
      <c r="N232" s="2"/>
      <c r="O232" s="2"/>
    </row>
    <row r="233">
      <c r="A233" s="61" t="s">
        <v>236</v>
      </c>
      <c r="B233" s="69">
        <f>IF(B10=0,0,B232/B10/(B$7/365))</f>
        <v>0.0029088195553816786</v>
      </c>
      <c r="C233" s="69">
        <f>IF(C10=0,0,C232/C10/(C$7/365))</f>
        <v>0.0015656692546679003</v>
      </c>
      <c r="D233" s="69">
        <f>IF(D10=0,0,D232/D10/(D$7/365))</f>
        <v>0.00046658724030904694</v>
      </c>
      <c r="E233" s="69">
        <f>IF(E10=0,0,E232/E10/(E$7/365))</f>
        <v>0.002797320703238761</v>
      </c>
      <c r="F233" s="69">
        <f>IF(F10=0,0,F232/F10/(F$7/365))</f>
        <v>0.0019275389915425927</v>
      </c>
      <c r="G233" s="69">
        <f>IF(G10=0,0,G232/G10/(G$7/365))</f>
        <v>0.003008944396356292</v>
      </c>
      <c r="H233" s="69">
        <f>IF(H10=0,0,H232/H10/(H$7/365))</f>
        <v>0.002289202010795886</v>
      </c>
      <c r="I233" s="75">
        <v>0.0022</v>
      </c>
      <c r="J233" s="6" t="s">
        <v>138</v>
      </c>
      <c r="K233" s="2"/>
      <c r="L233" s="2"/>
      <c r="M233" s="2"/>
      <c r="N233" s="2"/>
      <c r="O233" s="2"/>
    </row>
    <row r="234">
      <c r="A234" s="78" t="s">
        <v>144</v>
      </c>
      <c r="B234" s="5" t="s">
        <v>37</v>
      </c>
      <c r="C234" s="5">
        <f>IF(AND(ISNUMBER(C233),ISNUMBER(B233)),(C233-B233)*10000,"n/a")</f>
        <v>-13.431503007137783</v>
      </c>
      <c r="D234" s="5">
        <f>IF(AND(ISNUMBER(D233),ISNUMBER(C233)),(D233-C233)*10000,"n/a")</f>
        <v>-10.990820143588534</v>
      </c>
      <c r="E234" s="5">
        <f>IF(AND(ISNUMBER(E233),ISNUMBER(D233)),(E233-D233)*10000,"n/a")</f>
        <v>23.307334629297138</v>
      </c>
      <c r="F234" s="5" t="s">
        <v>37</v>
      </c>
      <c r="G234" s="5">
        <f>IF(AND(ISNUMBER(G233),ISNUMBER(E233)),(G233-E233)*10000,"n/a")</f>
        <v>2.11623693117531</v>
      </c>
      <c r="H234" s="5">
        <f>IF(AND(ISNUMBER(H233),ISNUMBER(G233)),(H233-G233)*10000,"n/a")</f>
        <v>-7.197423855604058</v>
      </c>
      <c r="I234" s="45">
        <f>IF(AND(ISNUMBER(I233),ISNUMBER(H233)),(I233-H233)*10000,"n/a")</f>
        <v>-0.8920201079588592</v>
      </c>
      <c r="J234" s="2"/>
      <c r="K234" s="2"/>
      <c r="L234" s="2"/>
      <c r="M234" s="2"/>
      <c r="N234" s="2"/>
      <c r="O234" s="2"/>
    </row>
    <row r="235">
      <c r="A235" s="78" t="s">
        <v>145</v>
      </c>
      <c r="B235" s="5" t="s">
        <v>37</v>
      </c>
      <c r="C235" s="5" t="s">
        <v>37</v>
      </c>
      <c r="D235" s="5" t="s">
        <v>37</v>
      </c>
      <c r="E235" s="5" t="s">
        <v>37</v>
      </c>
      <c r="F235" s="5" t="s">
        <v>37</v>
      </c>
      <c r="G235" s="5">
        <f>IF(AND(ISNUMBER(G233),ISNUMBER(B233)),(G233-B233)*10000,"n/a")</f>
        <v>1.0012484097461334</v>
      </c>
      <c r="H235" s="5">
        <f>IF(AND(ISNUMBER(H233),ISNUMBER(C233)),(H233-C233)*10000,"n/a")</f>
        <v>7.235327561279858</v>
      </c>
      <c r="I235" s="45">
        <f>IF(AND(ISNUMBER(I233),ISNUMBER(D233)),(I233-D233)*10000,"n/a")</f>
        <v>17.334127596909532</v>
      </c>
      <c r="J235" s="2"/>
      <c r="K235" s="2"/>
      <c r="L235" s="2"/>
      <c r="M235" s="2"/>
      <c r="N235" s="2"/>
      <c r="O235" s="2"/>
    </row>
    <row r="236">
      <c r="A236" s="62" t="s">
        <v>237</v>
      </c>
      <c r="B236" s="8">
        <v>-5</v>
      </c>
      <c r="C236" s="8">
        <v>58</v>
      </c>
      <c r="D236" s="8">
        <v>102</v>
      </c>
      <c r="E236" s="8">
        <v>-4</v>
      </c>
      <c r="F236" s="3">
        <f>SUM(B236:E236)</f>
        <v>151</v>
      </c>
      <c r="G236" s="8">
        <v>-11</v>
      </c>
      <c r="H236" s="8">
        <v>11</v>
      </c>
      <c r="I236" s="46">
        <f>I237*I14*(I$7/365)</f>
        <v>10.178199452054795</v>
      </c>
      <c r="J236" s="2"/>
      <c r="K236" s="2"/>
      <c r="L236" s="2"/>
      <c r="M236" s="2"/>
      <c r="N236" s="2"/>
      <c r="O236" s="2"/>
    </row>
    <row r="237">
      <c r="A237" s="61" t="s">
        <v>236</v>
      </c>
      <c r="B237" s="69">
        <f>IF(B14=0,0,B236/B14/(B$7/365))</f>
        <v>-0.0005438734518232426</v>
      </c>
      <c r="C237" s="69">
        <f>IF(C14=0,0,C236/C14/(C$7/365))</f>
        <v>0.006343559638899534</v>
      </c>
      <c r="D237" s="69">
        <f>IF(D14=0,0,D236/D14/(D$7/365))</f>
        <v>0.011124750193629816</v>
      </c>
      <c r="E237" s="69">
        <f>IF(E14=0,0,E236/E14/(E$7/365))</f>
        <v>-0.00043367762187826366</v>
      </c>
      <c r="F237" s="69">
        <f>IF(F14=0,0,F236/F14/(F$7/365))</f>
        <v>0.004111233884116092</v>
      </c>
      <c r="G237" s="69">
        <f>IF(G14=0,0,G236/G14/(G$7/365))</f>
        <v>-0.001188710360284343</v>
      </c>
      <c r="H237" s="69">
        <f>IF(H14=0,0,H236/H14/(H$7/365))</f>
        <v>0.0011199329658056433</v>
      </c>
      <c r="I237" s="75">
        <v>0.001</v>
      </c>
      <c r="J237" s="6" t="s">
        <v>138</v>
      </c>
      <c r="K237" s="2"/>
      <c r="L237" s="2"/>
      <c r="M237" s="2"/>
      <c r="N237" s="2"/>
      <c r="O237" s="2"/>
    </row>
    <row r="238">
      <c r="A238" s="78" t="s">
        <v>144</v>
      </c>
      <c r="B238" s="5" t="s">
        <v>37</v>
      </c>
      <c r="C238" s="5">
        <f>IF(AND(ISNUMBER(C237),ISNUMBER(B237)),(C237-B237)*10000,"n/a")</f>
        <v>68.87433090722777</v>
      </c>
      <c r="D238" s="5">
        <f>IF(AND(ISNUMBER(D237),ISNUMBER(C237)),(D237-C237)*10000,"n/a")</f>
        <v>47.81190554730282</v>
      </c>
      <c r="E238" s="5">
        <f>IF(AND(ISNUMBER(E237),ISNUMBER(D237)),(E237-D237)*10000,"n/a")</f>
        <v>-115.58427815508081</v>
      </c>
      <c r="F238" s="5" t="s">
        <v>37</v>
      </c>
      <c r="G238" s="5">
        <f>IF(AND(ISNUMBER(G237),ISNUMBER(E237)),(G237-E237)*10000,"n/a")</f>
        <v>-7.550327384060794</v>
      </c>
      <c r="H238" s="5">
        <f>IF(AND(ISNUMBER(H237),ISNUMBER(G237)),(H237-G237)*10000,"n/a")</f>
        <v>23.086433260899867</v>
      </c>
      <c r="I238" s="45">
        <f>IF(AND(ISNUMBER(I237),ISNUMBER(H237)),(I237-H237)*10000,"n/a")</f>
        <v>-1.1993296580564325</v>
      </c>
      <c r="J238" s="2"/>
      <c r="K238" s="2"/>
      <c r="L238" s="2"/>
      <c r="M238" s="2"/>
      <c r="N238" s="2"/>
      <c r="O238" s="2"/>
    </row>
    <row r="239">
      <c r="A239" s="78" t="s">
        <v>145</v>
      </c>
      <c r="B239" s="5" t="s">
        <v>37</v>
      </c>
      <c r="C239" s="5" t="s">
        <v>37</v>
      </c>
      <c r="D239" s="5" t="s">
        <v>37</v>
      </c>
      <c r="E239" s="5" t="s">
        <v>37</v>
      </c>
      <c r="F239" s="5" t="s">
        <v>37</v>
      </c>
      <c r="G239" s="5">
        <f>IF(AND(ISNUMBER(G237),ISNUMBER(B237)),(G237-B237)*10000,"n/a")</f>
        <v>-6.448369084611005</v>
      </c>
      <c r="H239" s="5">
        <f>IF(AND(ISNUMBER(H237),ISNUMBER(C237)),(H237-C237)*10000,"n/a")</f>
        <v>-52.23626673093891</v>
      </c>
      <c r="I239" s="45">
        <f>IF(AND(ISNUMBER(I237),ISNUMBER(D237)),(I237-D237)*10000,"n/a")</f>
        <v>-101.24750193629815</v>
      </c>
      <c r="J239" s="2"/>
      <c r="K239" s="2"/>
      <c r="L239" s="2"/>
      <c r="M239" s="2"/>
      <c r="N239" s="2"/>
      <c r="O239" s="2"/>
    </row>
    <row r="240">
      <c r="A240" s="62" t="s">
        <v>238</v>
      </c>
      <c r="B240" s="8">
        <v>0</v>
      </c>
      <c r="C240" s="8">
        <v>0</v>
      </c>
      <c r="D240" s="8">
        <v>-1</v>
      </c>
      <c r="E240" s="8">
        <v>0</v>
      </c>
      <c r="F240" s="3">
        <f>SUM(B240:E240)</f>
        <v>-1</v>
      </c>
      <c r="G240" s="8">
        <v>0</v>
      </c>
      <c r="H240" s="8">
        <v>0</v>
      </c>
      <c r="I240" s="46">
        <f>I241*I23*(I$7/365)</f>
        <v>0</v>
      </c>
      <c r="J240" s="2"/>
      <c r="K240" s="2"/>
      <c r="L240" s="2"/>
      <c r="M240" s="2"/>
      <c r="N240" s="2"/>
      <c r="O240" s="2"/>
    </row>
    <row r="241">
      <c r="A241" s="61" t="s">
        <v>236</v>
      </c>
      <c r="B241" s="69">
        <f>IF(B23=0,0,B240/B23/(B$7/365))</f>
        <v>0</v>
      </c>
      <c r="C241" s="69">
        <f>IF(C23=0,0,C240/C23/(C$7/365))</f>
        <v>0</v>
      </c>
      <c r="D241" s="69">
        <f>IF(D23=0,0,D240/D23/(D$7/365))</f>
        <v>-0.0006652232233983612</v>
      </c>
      <c r="E241" s="69">
        <f>IF(E23=0,0,E240/E23/(E$7/365))</f>
        <v>0</v>
      </c>
      <c r="F241" s="69">
        <f>IF(F23=0,0,F240/F23/(F$7/365))</f>
        <v>-0.00016886155850428445</v>
      </c>
      <c r="G241" s="69">
        <f>IF(G23=0,0,G240/G23/(G$7/365))</f>
        <v>0</v>
      </c>
      <c r="H241" s="69">
        <f>IF(H23=0,0,H240/H23/(H$7/365))</f>
        <v>0</v>
      </c>
      <c r="I241" s="75">
        <v>0</v>
      </c>
      <c r="J241" s="6" t="s">
        <v>138</v>
      </c>
      <c r="K241" s="2"/>
      <c r="L241" s="2"/>
      <c r="M241" s="2"/>
      <c r="N241" s="2"/>
      <c r="O241" s="2"/>
    </row>
    <row r="242">
      <c r="A242" s="78" t="s">
        <v>144</v>
      </c>
      <c r="B242" s="5" t="s">
        <v>37</v>
      </c>
      <c r="C242" s="5">
        <f>IF(AND(ISNUMBER(C241),ISNUMBER(B241)),(C241-B241)*10000,"n/a")</f>
        <v>0</v>
      </c>
      <c r="D242" s="5">
        <f>IF(AND(ISNUMBER(D241),ISNUMBER(C241)),(D241-C241)*10000,"n/a")</f>
        <v>-6.652232233983612</v>
      </c>
      <c r="E242" s="5">
        <f>IF(AND(ISNUMBER(E241),ISNUMBER(D241)),(E241-D241)*10000,"n/a")</f>
        <v>6.652232233983612</v>
      </c>
      <c r="F242" s="5" t="s">
        <v>37</v>
      </c>
      <c r="G242" s="5">
        <f>IF(AND(ISNUMBER(G241),ISNUMBER(E241)),(G241-E241)*10000,"n/a")</f>
        <v>0</v>
      </c>
      <c r="H242" s="5">
        <f>IF(AND(ISNUMBER(H241),ISNUMBER(G241)),(H241-G241)*10000,"n/a")</f>
        <v>0</v>
      </c>
      <c r="I242" s="45">
        <f>IF(AND(ISNUMBER(I241),ISNUMBER(H241)),(I241-H241)*10000,"n/a")</f>
        <v>0</v>
      </c>
      <c r="J242" s="2"/>
      <c r="K242" s="2"/>
      <c r="L242" s="2"/>
      <c r="M242" s="2"/>
      <c r="N242" s="2"/>
      <c r="O242" s="2"/>
    </row>
    <row r="243">
      <c r="A243" s="78" t="s">
        <v>145</v>
      </c>
      <c r="B243" s="5" t="s">
        <v>37</v>
      </c>
      <c r="C243" s="5" t="s">
        <v>37</v>
      </c>
      <c r="D243" s="5" t="s">
        <v>37</v>
      </c>
      <c r="E243" s="5" t="s">
        <v>37</v>
      </c>
      <c r="F243" s="5" t="s">
        <v>37</v>
      </c>
      <c r="G243" s="5">
        <f>IF(AND(ISNUMBER(G241),ISNUMBER(B241)),(G241-B241)*10000,"n/a")</f>
        <v>0</v>
      </c>
      <c r="H243" s="5">
        <f>IF(AND(ISNUMBER(H241),ISNUMBER(C241)),(H241-C241)*10000,"n/a")</f>
        <v>0</v>
      </c>
      <c r="I243" s="45">
        <f>IF(AND(ISNUMBER(I241),ISNUMBER(D241)),(I241-D241)*10000,"n/a")</f>
        <v>6.652232233983612</v>
      </c>
      <c r="J243" s="2"/>
      <c r="K243" s="2"/>
      <c r="L243" s="2"/>
      <c r="M243" s="2"/>
      <c r="N243" s="2"/>
      <c r="O243" s="2"/>
    </row>
    <row r="244">
      <c r="A244" s="68" t="s">
        <v>239</v>
      </c>
      <c r="B244" s="15">
        <f>B232+B236+B240</f>
        <v>83</v>
      </c>
      <c r="C244" s="15">
        <f>C232+C236+C240</f>
        <v>107</v>
      </c>
      <c r="D244" s="15">
        <f>D232+D236+D240</f>
        <v>116</v>
      </c>
      <c r="E244" s="15">
        <f>E232+E236+E240</f>
        <v>88</v>
      </c>
      <c r="F244" s="15">
        <f>F232+F236+F240</f>
        <v>394</v>
      </c>
      <c r="G244" s="15">
        <f>G232+G236+G240</f>
        <v>91</v>
      </c>
      <c r="H244" s="15">
        <f>H232+H236+H240</f>
        <v>93</v>
      </c>
      <c r="I244" s="38">
        <f>I232+I236+I240</f>
        <v>91.84070767123289</v>
      </c>
      <c r="J244" s="2"/>
      <c r="K244" s="2"/>
      <c r="L244" s="2"/>
      <c r="M244" s="2"/>
      <c r="N244" s="2"/>
      <c r="O244" s="2"/>
    </row>
    <row r="245">
      <c r="A245" s="19" t="s">
        <v>240</v>
      </c>
      <c r="B245" s="69">
        <f>B244/B27/(B$7/365)</f>
        <v>0.0018475726633648815</v>
      </c>
      <c r="C245" s="69">
        <f>C244/C27/(C$7/365)</f>
        <v>0.0023130551843263043</v>
      </c>
      <c r="D245" s="69">
        <f>D244/D27/(D$7/365)</f>
        <v>0.0024355667760620025</v>
      </c>
      <c r="E245" s="69">
        <f>E244/E27/(E$7/365)</f>
        <v>0.0017989459476110197</v>
      </c>
      <c r="F245" s="69">
        <f>F244/F27/(F$7/365)</f>
        <v>0.0020987809397065814</v>
      </c>
      <c r="G245" s="69">
        <f>G244/G27/(G$7/365)</f>
        <v>0.0018095571202245454</v>
      </c>
      <c r="H245" s="69">
        <f>H244/H27/(H$7/365)</f>
        <v>0.0017434436733641714</v>
      </c>
      <c r="I245" s="67">
        <f>I244/I27/(I$7/365)</f>
        <v>0.0016584962022953024</v>
      </c>
      <c r="J245" s="2"/>
      <c r="K245" s="2"/>
      <c r="L245" s="2"/>
      <c r="M245" s="2"/>
      <c r="N245" s="2"/>
      <c r="O245" s="2"/>
    </row>
    <row r="246">
      <c r="A246" s="14" t="s">
        <v>144</v>
      </c>
      <c r="B246" s="5" t="s">
        <v>37</v>
      </c>
      <c r="C246" s="5">
        <f>IF(AND(ISNUMBER(C245),ISNUMBER(B245)),(C245-B245)*10000,"n/a")</f>
        <v>4.654825209614228</v>
      </c>
      <c r="D246" s="5">
        <f>IF(AND(ISNUMBER(D245),ISNUMBER(C245)),(D245-C245)*10000,"n/a")</f>
        <v>1.2251159173569826</v>
      </c>
      <c r="E246" s="5">
        <f>IF(AND(ISNUMBER(E245),ISNUMBER(D245)),(E245-D245)*10000,"n/a")</f>
        <v>-6.366208284509828</v>
      </c>
      <c r="F246" s="5" t="s">
        <v>37</v>
      </c>
      <c r="G246" s="5">
        <f>IF(AND(ISNUMBER(G245),ISNUMBER(E245)),(G245-E245)*10000,"n/a")</f>
        <v>0.10611172613525684</v>
      </c>
      <c r="H246" s="5">
        <f>IF(AND(ISNUMBER(H245),ISNUMBER(G245)),(H245-G245)*10000,"n/a")</f>
        <v>-0.6611344686037403</v>
      </c>
      <c r="I246" s="45">
        <f>IF(AND(ISNUMBER(I245),ISNUMBER(H245)),(I245-H245)*10000,"n/a")</f>
        <v>-0.8494747106886895</v>
      </c>
      <c r="J246" s="2"/>
      <c r="K246" s="2"/>
      <c r="L246" s="2"/>
      <c r="M246" s="2"/>
      <c r="N246" s="2"/>
      <c r="O246" s="2"/>
    </row>
    <row r="247">
      <c r="A247" s="14" t="s">
        <v>145</v>
      </c>
      <c r="B247" s="5" t="s">
        <v>37</v>
      </c>
      <c r="C247" s="5" t="s">
        <v>37</v>
      </c>
      <c r="D247" s="5" t="s">
        <v>37</v>
      </c>
      <c r="E247" s="5" t="s">
        <v>37</v>
      </c>
      <c r="F247" s="5" t="s">
        <v>37</v>
      </c>
      <c r="G247" s="5">
        <f>IF(AND(ISNUMBER(G245),ISNUMBER(B245)),(G245-B245)*10000,"n/a")</f>
        <v>-0.3801554314033606</v>
      </c>
      <c r="H247" s="5">
        <f>IF(AND(ISNUMBER(H245),ISNUMBER(C245)),(H245-C245)*10000,"n/a")</f>
        <v>-5.696115109621329</v>
      </c>
      <c r="I247" s="45">
        <f>IF(AND(ISNUMBER(I245),ISNUMBER(D245)),(I245-D245)*10000,"n/a")</f>
        <v>-7.770705737667001</v>
      </c>
      <c r="J247" s="2"/>
      <c r="K247" s="2"/>
      <c r="L247" s="2"/>
      <c r="M247" s="2"/>
      <c r="N247" s="2"/>
      <c r="O247" s="2"/>
    </row>
    <row r="248">
      <c r="A248" s="36" t="s">
        <v>241</v>
      </c>
      <c r="B248" s="3">
        <f>B251-B244</f>
        <v>-41</v>
      </c>
      <c r="C248" s="3">
        <f>C251-C244</f>
        <v>71</v>
      </c>
      <c r="D248" s="3">
        <f>D251-D244</f>
        <v>80</v>
      </c>
      <c r="E248" s="3">
        <f>E251-E244</f>
        <v>69</v>
      </c>
      <c r="F248" s="3">
        <f>F251-F244</f>
        <v>179</v>
      </c>
      <c r="G248" s="3">
        <f>G251-G244</f>
        <v>-26</v>
      </c>
      <c r="H248" s="3">
        <f>H251-H244</f>
        <v>36</v>
      </c>
      <c r="I248" s="32">
        <v>10</v>
      </c>
      <c r="J248" s="6" t="s">
        <v>138</v>
      </c>
      <c r="K248" s="2"/>
      <c r="L248" s="2"/>
      <c r="M248" s="2"/>
      <c r="N248" s="2"/>
      <c r="O248" s="2"/>
    </row>
    <row r="249">
      <c r="A249" s="14" t="s">
        <v>242</v>
      </c>
      <c r="B249" s="1" t="s">
        <v>37</v>
      </c>
      <c r="C249" s="1" t="s">
        <v>37</v>
      </c>
      <c r="D249" s="1" t="s">
        <v>37</v>
      </c>
      <c r="E249" s="1" t="s">
        <v>37</v>
      </c>
      <c r="F249" s="1" t="s">
        <v>37</v>
      </c>
      <c r="G249" s="1">
        <f>IF(AND(ISNUMBER(G248),ISNUMBER(B248)),G248-B248,"n/a")</f>
        <v>15</v>
      </c>
      <c r="H249" s="1">
        <f>IF(AND(ISNUMBER(H248),ISNUMBER(C248)),H248-C248,"n/a")</f>
        <v>-35</v>
      </c>
      <c r="I249" s="13">
        <f>IF(AND(ISNUMBER(I248),ISNUMBER(D248)),I248-D248,"n/a")</f>
        <v>-70</v>
      </c>
      <c r="J249" s="2"/>
      <c r="K249" s="2"/>
      <c r="L249" s="2"/>
      <c r="M249" s="2"/>
      <c r="N249" s="2"/>
      <c r="O249" s="2"/>
    </row>
    <row r="250">
      <c r="A250" s="14" t="s">
        <v>110</v>
      </c>
      <c r="B250" s="1" t="s">
        <v>37</v>
      </c>
      <c r="C250" s="1">
        <f>IF(AND(ISNUMBER(C248),ISNUMBER(B248)),C248-B248,"n/a")</f>
        <v>112</v>
      </c>
      <c r="D250" s="1">
        <f>IF(AND(ISNUMBER(D248),ISNUMBER(C248)),D248-C248,"n/a")</f>
        <v>9</v>
      </c>
      <c r="E250" s="1">
        <f>IF(AND(ISNUMBER(E248),ISNUMBER(D248)),E248-D248,"n/a")</f>
        <v>-11</v>
      </c>
      <c r="F250" s="1" t="s">
        <v>37</v>
      </c>
      <c r="G250" s="1">
        <f>IF(AND(ISNUMBER(G248),ISNUMBER(E248)),G248-E248,"n/a")</f>
        <v>-95</v>
      </c>
      <c r="H250" s="1">
        <f>IF(AND(ISNUMBER(H248),ISNUMBER(G248)),H248-G248,"n/a")</f>
        <v>62</v>
      </c>
      <c r="I250" s="13">
        <f>IF(AND(ISNUMBER(I248),ISNUMBER(H248)),I248-H248,"n/a")</f>
        <v>-26</v>
      </c>
      <c r="J250" s="2"/>
      <c r="K250" s="2"/>
      <c r="L250" s="2"/>
      <c r="M250" s="2"/>
      <c r="N250" s="2"/>
      <c r="O250" s="2"/>
    </row>
    <row r="251">
      <c r="A251" s="68" t="s">
        <v>243</v>
      </c>
      <c r="B251" s="25">
        <v>42</v>
      </c>
      <c r="C251" s="25">
        <v>178</v>
      </c>
      <c r="D251" s="25">
        <v>196</v>
      </c>
      <c r="E251" s="25">
        <v>157</v>
      </c>
      <c r="F251" s="15">
        <f>SUM(B251:E251)</f>
        <v>573</v>
      </c>
      <c r="G251" s="25">
        <v>65</v>
      </c>
      <c r="H251" s="25">
        <v>129</v>
      </c>
      <c r="I251" s="38">
        <f>I244+I248</f>
        <v>101.84070767123289</v>
      </c>
      <c r="J251" s="2"/>
      <c r="K251" s="2"/>
      <c r="L251" s="2"/>
      <c r="M251" s="2"/>
      <c r="N251" s="2"/>
      <c r="O251" s="2"/>
    </row>
    <row r="252">
      <c r="A252" s="16" t="s">
        <v>244</v>
      </c>
      <c r="B252" s="15">
        <f>B229-B251</f>
        <v>1607</v>
      </c>
      <c r="C252" s="15">
        <f>C229-C251</f>
        <v>1565</v>
      </c>
      <c r="D252" s="15">
        <f>D229-D251</f>
        <v>1664</v>
      </c>
      <c r="E252" s="15">
        <f>E229-E251</f>
        <v>1734</v>
      </c>
      <c r="F252" s="15">
        <f>F229-F251</f>
        <v>6570</v>
      </c>
      <c r="G252" s="15">
        <f>G229-G251</f>
        <v>1940</v>
      </c>
      <c r="H252" s="15">
        <f>H229-H251</f>
        <v>2040</v>
      </c>
      <c r="I252" s="38">
        <f>I229-I251</f>
        <v>2129.1180758575347</v>
      </c>
      <c r="J252" s="2"/>
      <c r="K252" s="2"/>
      <c r="L252" s="2"/>
      <c r="M252" s="2"/>
      <c r="N252" s="2"/>
      <c r="O252" s="2"/>
    </row>
    <row r="253">
      <c r="A253" s="19" t="s">
        <v>245</v>
      </c>
      <c r="B253" s="12">
        <f>B256/B252</f>
        <v>0.25015556938394523</v>
      </c>
      <c r="C253" s="12">
        <f>C256/C252</f>
        <v>0.2498402555910543</v>
      </c>
      <c r="D253" s="12">
        <f>D256/D252</f>
        <v>0.25</v>
      </c>
      <c r="E253" s="12">
        <f>E256/E252</f>
        <v>0.2502883506343714</v>
      </c>
      <c r="F253" s="12">
        <f>F256/F252</f>
        <v>0.25007610350076104</v>
      </c>
      <c r="G253" s="12">
        <f>G256/G252</f>
        <v>0.25</v>
      </c>
      <c r="H253" s="12">
        <f>H256/H252</f>
        <v>0.25</v>
      </c>
      <c r="I253" s="60">
        <v>0.25</v>
      </c>
      <c r="J253" s="2"/>
      <c r="K253" s="2"/>
      <c r="L253" s="2"/>
      <c r="M253" s="2"/>
      <c r="N253" s="2"/>
      <c r="O253" s="2"/>
    </row>
    <row r="254">
      <c r="A254" s="14" t="s">
        <v>144</v>
      </c>
      <c r="B254" s="5" t="s">
        <v>37</v>
      </c>
      <c r="C254" s="5">
        <f>IF(AND(ISNUMBER(C253),ISNUMBER(B253)),(C253-B253)*10000,"n/a")</f>
        <v>-3.153137928909311</v>
      </c>
      <c r="D254" s="5">
        <f>IF(AND(ISNUMBER(D253),ISNUMBER(C253)),(D253-C253)*10000,"n/a")</f>
        <v>1.5974440894570008</v>
      </c>
      <c r="E254" s="5">
        <f>IF(AND(ISNUMBER(E253),ISNUMBER(D253)),(E253-D253)*10000,"n/a")</f>
        <v>2.8835063437138153</v>
      </c>
      <c r="F254" s="5" t="s">
        <v>37</v>
      </c>
      <c r="G254" s="5">
        <f>IF(AND(ISNUMBER(G253),ISNUMBER(E253)),(G253-E253)*10000,"n/a")</f>
        <v>-2.8835063437138153</v>
      </c>
      <c r="H254" s="5">
        <f>IF(AND(ISNUMBER(H253),ISNUMBER(G253)),(H253-G253)*10000,"n/a")</f>
        <v>0</v>
      </c>
      <c r="I254" s="45">
        <f>IF(AND(ISNUMBER(I253),ISNUMBER(H253)),(I253-H253)*10000,"n/a")</f>
        <v>0</v>
      </c>
      <c r="J254" s="2"/>
      <c r="K254" s="2"/>
      <c r="L254" s="2"/>
      <c r="M254" s="2"/>
      <c r="N254" s="2"/>
      <c r="O254" s="2"/>
    </row>
    <row r="255">
      <c r="A255" s="14" t="s">
        <v>145</v>
      </c>
      <c r="B255" s="5" t="s">
        <v>37</v>
      </c>
      <c r="C255" s="5" t="s">
        <v>37</v>
      </c>
      <c r="D255" s="5" t="s">
        <v>37</v>
      </c>
      <c r="E255" s="5" t="s">
        <v>37</v>
      </c>
      <c r="F255" s="5" t="s">
        <v>37</v>
      </c>
      <c r="G255" s="5">
        <f>IF(AND(ISNUMBER(G253),ISNUMBER(B253)),(G253-B253)*10000,"n/a")</f>
        <v>-1.55569383945231</v>
      </c>
      <c r="H255" s="5">
        <f>IF(AND(ISNUMBER(H253),ISNUMBER(C253)),(H253-C253)*10000,"n/a")</f>
        <v>1.5974440894570008</v>
      </c>
      <c r="I255" s="45">
        <f>IF(AND(ISNUMBER(I253),ISNUMBER(D253)),(I253-D253)*10000,"n/a")</f>
        <v>0</v>
      </c>
      <c r="J255" s="2"/>
      <c r="K255" s="2"/>
      <c r="L255" s="2"/>
      <c r="M255" s="2"/>
      <c r="N255" s="2"/>
      <c r="O255" s="2"/>
    </row>
    <row r="256">
      <c r="A256" s="36" t="s">
        <v>246</v>
      </c>
      <c r="B256" s="8">
        <v>402</v>
      </c>
      <c r="C256" s="8">
        <v>391</v>
      </c>
      <c r="D256" s="8">
        <v>416</v>
      </c>
      <c r="E256" s="8">
        <v>434</v>
      </c>
      <c r="F256" s="3">
        <f>SUM(B256:E256)</f>
        <v>1643</v>
      </c>
      <c r="G256" s="8">
        <v>485</v>
      </c>
      <c r="H256" s="8">
        <v>510</v>
      </c>
      <c r="I256" s="46">
        <f>I252*I253</f>
        <v>532.2795189643837</v>
      </c>
      <c r="J256" s="2"/>
      <c r="K256" s="2"/>
      <c r="L256" s="2"/>
      <c r="M256" s="2"/>
      <c r="N256" s="2"/>
      <c r="O256" s="2"/>
    </row>
    <row r="257">
      <c r="A257" s="16" t="s">
        <v>247</v>
      </c>
      <c r="B257" s="15">
        <f>B252-B256</f>
        <v>1205</v>
      </c>
      <c r="C257" s="15">
        <f>C252-C256</f>
        <v>1174</v>
      </c>
      <c r="D257" s="15">
        <f>D252-D256</f>
        <v>1248</v>
      </c>
      <c r="E257" s="15">
        <f>E252-E256</f>
        <v>1300</v>
      </c>
      <c r="F257" s="15">
        <f>F252-F256</f>
        <v>4927</v>
      </c>
      <c r="G257" s="15">
        <f>G252-G256</f>
        <v>1455</v>
      </c>
      <c r="H257" s="15">
        <f>H252-H256</f>
        <v>1530</v>
      </c>
      <c r="I257" s="38">
        <f>I252-I256</f>
        <v>1596.838556893151</v>
      </c>
      <c r="J257" s="2"/>
      <c r="K257" s="2"/>
      <c r="L257" s="2"/>
      <c r="M257" s="2"/>
      <c r="N257" s="2"/>
      <c r="O257" s="2"/>
    </row>
    <row r="258">
      <c r="A258" s="19" t="s">
        <v>122</v>
      </c>
      <c r="B258" s="12" t="s">
        <v>37</v>
      </c>
      <c r="C258" s="12" t="s">
        <v>37</v>
      </c>
      <c r="D258" s="12" t="s">
        <v>37</v>
      </c>
      <c r="E258" s="12" t="s">
        <v>37</v>
      </c>
      <c r="F258" s="12" t="s">
        <v>37</v>
      </c>
      <c r="G258" s="12">
        <f>G257/B257-1</f>
        <v>0.20746887966804972</v>
      </c>
      <c r="H258" s="12">
        <f>H257/C257-1</f>
        <v>0.303236797274276</v>
      </c>
      <c r="I258" s="35">
        <f>I257/D257-1</f>
        <v>0.27951807443361454</v>
      </c>
      <c r="J258" s="2"/>
      <c r="K258" s="2"/>
      <c r="L258" s="2"/>
      <c r="M258" s="2"/>
      <c r="N258" s="2"/>
      <c r="O258" s="2"/>
    </row>
    <row r="259">
      <c r="A259" s="19" t="s">
        <v>95</v>
      </c>
      <c r="B259" s="12" t="s">
        <v>37</v>
      </c>
      <c r="C259" s="12">
        <f>C257/B257-1</f>
        <v>-0.025726141078838194</v>
      </c>
      <c r="D259" s="12">
        <f>D257/C257-1</f>
        <v>0.0630323679727427</v>
      </c>
      <c r="E259" s="12">
        <f>E257/D257-1</f>
        <v>0.04166666666666674</v>
      </c>
      <c r="F259" s="12" t="s">
        <v>37</v>
      </c>
      <c r="G259" s="12">
        <f>G257/E257-1</f>
        <v>0.11923076923076925</v>
      </c>
      <c r="H259" s="12">
        <f>H257/G257-1</f>
        <v>0.05154639175257736</v>
      </c>
      <c r="I259" s="35">
        <f>I257/H257-1</f>
        <v>0.043685331302713015</v>
      </c>
      <c r="J259" s="2"/>
      <c r="K259" s="2"/>
      <c r="L259" s="2"/>
      <c r="M259" s="2"/>
      <c r="N259" s="2"/>
      <c r="O259" s="2"/>
    </row>
    <row r="260">
      <c r="A260" s="26" t="s">
        <v>248</v>
      </c>
      <c r="B260" s="12">
        <f>B252/B198</f>
        <v>0.5132545512615778</v>
      </c>
      <c r="C260" s="12">
        <f>C252/C198</f>
        <v>0.4860248447204969</v>
      </c>
      <c r="D260" s="12">
        <f>D252/D198</f>
        <v>0.49790544584081387</v>
      </c>
      <c r="E260" s="12">
        <f>E252/E198</f>
        <v>0.5083553210202286</v>
      </c>
      <c r="F260" s="12">
        <f>F252/F198</f>
        <v>0.5013736263736264</v>
      </c>
      <c r="G260" s="12">
        <f>G252/G198</f>
        <v>0.5571510626076968</v>
      </c>
      <c r="H260" s="12">
        <f>H252/H198</f>
        <v>0.5409705648369133</v>
      </c>
      <c r="I260" s="35">
        <f>I252/I198</f>
        <v>0.5392239437050065</v>
      </c>
      <c r="J260" s="2"/>
      <c r="K260" s="2"/>
      <c r="L260" s="2"/>
      <c r="M260" s="2"/>
      <c r="N260" s="2"/>
      <c r="O260" s="2"/>
    </row>
    <row r="261">
      <c r="A261" s="19" t="s">
        <v>144</v>
      </c>
      <c r="B261" s="5" t="s">
        <v>37</v>
      </c>
      <c r="C261" s="5">
        <f>IF(AND(ISNUMBER(C260),ISNUMBER(B260)),(C260-B260)*10000,"n/a")</f>
        <v>-272.29706541080924</v>
      </c>
      <c r="D261" s="5">
        <f>IF(AND(ISNUMBER(D260),ISNUMBER(C260)),(D260-C260)*10000,"n/a")</f>
        <v>118.80601120316969</v>
      </c>
      <c r="E261" s="5">
        <f>IF(AND(ISNUMBER(E260),ISNUMBER(D260)),(E260-D260)*10000,"n/a")</f>
        <v>104.49875179414758</v>
      </c>
      <c r="F261" s="5" t="s">
        <v>37</v>
      </c>
      <c r="G261" s="5">
        <f>IF(AND(ISNUMBER(G260),ISNUMBER(E260)),(G260-E260)*10000,"n/a")</f>
        <v>487.9574158746813</v>
      </c>
      <c r="H261" s="5">
        <f>IF(AND(ISNUMBER(H260),ISNUMBER(G260)),(H260-G260)*10000,"n/a")</f>
        <v>-161.80497770783452</v>
      </c>
      <c r="I261" s="45">
        <f>IF(AND(ISNUMBER(I260),ISNUMBER(H260)),(I260-H260)*10000,"n/a")</f>
        <v>-17.466211319068226</v>
      </c>
      <c r="J261" s="2"/>
      <c r="K261" s="2"/>
      <c r="L261" s="2"/>
      <c r="M261" s="2"/>
      <c r="N261" s="2"/>
      <c r="O261" s="2"/>
    </row>
    <row r="262">
      <c r="A262" s="19" t="s">
        <v>145</v>
      </c>
      <c r="B262" s="5" t="s">
        <v>37</v>
      </c>
      <c r="C262" s="5" t="s">
        <v>37</v>
      </c>
      <c r="D262" s="5" t="s">
        <v>37</v>
      </c>
      <c r="E262" s="5" t="s">
        <v>37</v>
      </c>
      <c r="F262" s="5" t="s">
        <v>37</v>
      </c>
      <c r="G262" s="5">
        <f>IF(AND(ISNUMBER(G260),ISNUMBER(B260)),(G260-B260)*10000,"n/a")</f>
        <v>438.9651134611894</v>
      </c>
      <c r="H262" s="5">
        <f>IF(AND(ISNUMBER(H260),ISNUMBER(C260)),(H260-C260)*10000,"n/a")</f>
        <v>549.4572011641641</v>
      </c>
      <c r="I262" s="45">
        <f>IF(AND(ISNUMBER(I260),ISNUMBER(D260)),(I260-D260)*10000,"n/a")</f>
        <v>413.18497864192614</v>
      </c>
      <c r="J262" s="2"/>
      <c r="K262" s="2"/>
      <c r="L262" s="2"/>
      <c r="M262" s="2"/>
      <c r="N262" s="2"/>
      <c r="O262" s="2"/>
    </row>
    <row r="263">
      <c r="A263" s="36" t="s">
        <v>249</v>
      </c>
      <c r="B263" s="8">
        <v>1301</v>
      </c>
      <c r="C263" s="8">
        <v>1247</v>
      </c>
      <c r="D263" s="8">
        <v>1217</v>
      </c>
      <c r="E263" s="8">
        <v>1135</v>
      </c>
      <c r="F263" s="3">
        <f>E263</f>
        <v>1135</v>
      </c>
      <c r="G263" s="8">
        <v>1069</v>
      </c>
      <c r="H263" s="8">
        <v>874</v>
      </c>
      <c r="I263" s="46" t="s">
        <v>37</v>
      </c>
      <c r="J263" s="6" t="s">
        <v>250</v>
      </c>
      <c r="K263" s="2"/>
      <c r="L263" s="2"/>
      <c r="M263" s="2"/>
      <c r="N263" s="2"/>
      <c r="O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>
      <c r="A265" s="16" t="s">
        <v>251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>
      <c r="A266" s="36" t="s">
        <v>252</v>
      </c>
      <c r="B266" s="2"/>
      <c r="C266" s="2"/>
      <c r="D266" s="2"/>
      <c r="E266" s="2"/>
      <c r="F266" s="2"/>
      <c r="G266" s="2"/>
      <c r="H266" s="2"/>
      <c r="I266" s="2"/>
      <c r="J266" s="2" t="s">
        <v>154</v>
      </c>
      <c r="K266" s="2"/>
      <c r="L266" s="2"/>
      <c r="M266" s="2"/>
      <c r="N266" s="2"/>
      <c r="O266" s="2"/>
    </row>
    <row r="267">
      <c r="A267" s="62" t="s">
        <v>253</v>
      </c>
      <c r="B267" s="8">
        <v>43659</v>
      </c>
      <c r="C267" s="8">
        <v>43962</v>
      </c>
      <c r="D267" s="8">
        <v>44028</v>
      </c>
      <c r="E267" s="8">
        <v>44829</v>
      </c>
      <c r="F267" s="3">
        <f>SUMPRODUCT(B267:E267,B$7:E$7)/F$7</f>
        <v>44122.45479452055</v>
      </c>
      <c r="G267" s="8">
        <v>47517</v>
      </c>
      <c r="H267" s="8">
        <v>50243</v>
      </c>
      <c r="I267" s="46" t="s">
        <v>37</v>
      </c>
      <c r="J267" s="2"/>
      <c r="K267" s="2"/>
      <c r="L267" s="2"/>
      <c r="M267" s="2"/>
      <c r="N267" s="2"/>
      <c r="O267" s="2"/>
    </row>
    <row r="268">
      <c r="A268" s="61" t="s">
        <v>122</v>
      </c>
      <c r="B268" s="12" t="s">
        <v>37</v>
      </c>
      <c r="C268" s="12" t="s">
        <v>37</v>
      </c>
      <c r="D268" s="12" t="s">
        <v>37</v>
      </c>
      <c r="E268" s="12" t="s">
        <v>37</v>
      </c>
      <c r="F268" s="12" t="s">
        <v>37</v>
      </c>
      <c r="G268" s="12">
        <f>G267/B267-1</f>
        <v>0.08836665979523128</v>
      </c>
      <c r="H268" s="12">
        <f>H267/C267-1</f>
        <v>0.14287339065556615</v>
      </c>
      <c r="I268" s="35" t="s">
        <v>37</v>
      </c>
      <c r="J268" s="2"/>
      <c r="K268" s="2"/>
      <c r="L268" s="2"/>
      <c r="M268" s="2"/>
      <c r="N268" s="2"/>
      <c r="O268" s="2"/>
    </row>
    <row r="269">
      <c r="A269" s="61" t="s">
        <v>110</v>
      </c>
      <c r="B269" s="1" t="s">
        <v>37</v>
      </c>
      <c r="C269" s="1">
        <f>IF(AND(ISNUMBER(C267),ISNUMBER(B267)),C267-B267,"n/a")</f>
        <v>303</v>
      </c>
      <c r="D269" s="1">
        <f>IF(AND(ISNUMBER(D267),ISNUMBER(C267)),D267-C267,"n/a")</f>
        <v>66</v>
      </c>
      <c r="E269" s="1">
        <f>IF(AND(ISNUMBER(E267),ISNUMBER(D267)),E267-D267,"n/a")</f>
        <v>801</v>
      </c>
      <c r="F269" s="1" t="s">
        <v>37</v>
      </c>
      <c r="G269" s="1">
        <f>IF(AND(ISNUMBER(G267),ISNUMBER(E267)),G267-E267,"n/a")</f>
        <v>2688</v>
      </c>
      <c r="H269" s="1">
        <f>IF(AND(ISNUMBER(H267),ISNUMBER(G267)),H267-G267,"n/a")</f>
        <v>2726</v>
      </c>
      <c r="I269" s="13" t="s">
        <v>37</v>
      </c>
      <c r="J269" s="2"/>
      <c r="K269" s="2"/>
      <c r="L269" s="2"/>
      <c r="M269" s="2"/>
      <c r="N269" s="2"/>
      <c r="O269" s="2"/>
    </row>
    <row r="270">
      <c r="A270" s="62" t="s">
        <v>204</v>
      </c>
      <c r="B270" s="8">
        <v>29186</v>
      </c>
      <c r="C270" s="8">
        <v>30523</v>
      </c>
      <c r="D270" s="8">
        <v>32276</v>
      </c>
      <c r="E270" s="8">
        <v>34345</v>
      </c>
      <c r="F270" s="3">
        <f>SUMPRODUCT(B270:E270,B$7:E$7)/F$7</f>
        <v>31598.534246575342</v>
      </c>
      <c r="G270" s="8">
        <v>36640</v>
      </c>
      <c r="H270" s="8">
        <v>38729</v>
      </c>
      <c r="I270" s="46" t="s">
        <v>37</v>
      </c>
      <c r="J270" s="2"/>
      <c r="K270" s="2"/>
      <c r="L270" s="2"/>
      <c r="M270" s="2"/>
      <c r="N270" s="2"/>
      <c r="O270" s="2"/>
    </row>
    <row r="271">
      <c r="A271" s="61" t="s">
        <v>122</v>
      </c>
      <c r="B271" s="12" t="s">
        <v>37</v>
      </c>
      <c r="C271" s="12" t="s">
        <v>37</v>
      </c>
      <c r="D271" s="12" t="s">
        <v>37</v>
      </c>
      <c r="E271" s="12" t="s">
        <v>37</v>
      </c>
      <c r="F271" s="12" t="s">
        <v>37</v>
      </c>
      <c r="G271" s="12">
        <f>G270/B270-1</f>
        <v>0.25539642294250675</v>
      </c>
      <c r="H271" s="12">
        <f>H270/C270-1</f>
        <v>0.26884644366543253</v>
      </c>
      <c r="I271" s="35" t="s">
        <v>37</v>
      </c>
      <c r="J271" s="2"/>
      <c r="K271" s="2"/>
      <c r="L271" s="2"/>
      <c r="M271" s="2"/>
      <c r="N271" s="2"/>
      <c r="O271" s="2"/>
    </row>
    <row r="272">
      <c r="A272" s="61" t="s">
        <v>110</v>
      </c>
      <c r="B272" s="1" t="s">
        <v>37</v>
      </c>
      <c r="C272" s="1">
        <f>IF(AND(ISNUMBER(C270),ISNUMBER(B270)),C270-B270,"n/a")</f>
        <v>1337</v>
      </c>
      <c r="D272" s="1">
        <f>IF(AND(ISNUMBER(D270),ISNUMBER(C270)),D270-C270,"n/a")</f>
        <v>1753</v>
      </c>
      <c r="E272" s="1">
        <f>IF(AND(ISNUMBER(E270),ISNUMBER(D270)),E270-D270,"n/a")</f>
        <v>2069</v>
      </c>
      <c r="F272" s="1" t="s">
        <v>37</v>
      </c>
      <c r="G272" s="1">
        <f>IF(AND(ISNUMBER(G270),ISNUMBER(E270)),G270-E270,"n/a")</f>
        <v>2295</v>
      </c>
      <c r="H272" s="1">
        <f>IF(AND(ISNUMBER(H270),ISNUMBER(G270)),H270-G270,"n/a")</f>
        <v>2089</v>
      </c>
      <c r="I272" s="13" t="s">
        <v>37</v>
      </c>
      <c r="J272" s="2"/>
      <c r="K272" s="2"/>
      <c r="L272" s="2"/>
      <c r="M272" s="2"/>
      <c r="N272" s="2"/>
      <c r="O272" s="2"/>
    </row>
    <row r="273">
      <c r="A273" s="62" t="s">
        <v>254</v>
      </c>
      <c r="B273" s="8">
        <v>91434</v>
      </c>
      <c r="C273" s="8">
        <v>92481</v>
      </c>
      <c r="D273" s="8">
        <v>93165</v>
      </c>
      <c r="E273" s="8">
        <v>95041</v>
      </c>
      <c r="F273" s="3">
        <f>SUMPRODUCT(B273:E273,B$7:E$7)/F$7</f>
        <v>93040.50136986302</v>
      </c>
      <c r="G273" s="8">
        <v>99636</v>
      </c>
      <c r="H273" s="8">
        <v>104464</v>
      </c>
      <c r="I273" s="46" t="s">
        <v>37</v>
      </c>
      <c r="J273" s="2"/>
      <c r="K273" s="2"/>
      <c r="L273" s="2"/>
      <c r="M273" s="2"/>
      <c r="N273" s="2"/>
      <c r="O273" s="2"/>
    </row>
    <row r="274">
      <c r="A274" s="61" t="s">
        <v>122</v>
      </c>
      <c r="B274" s="12" t="s">
        <v>37</v>
      </c>
      <c r="C274" s="12" t="s">
        <v>37</v>
      </c>
      <c r="D274" s="12" t="s">
        <v>37</v>
      </c>
      <c r="E274" s="12" t="s">
        <v>37</v>
      </c>
      <c r="F274" s="12" t="s">
        <v>37</v>
      </c>
      <c r="G274" s="12">
        <f>G273/B273-1</f>
        <v>0.08970404882210126</v>
      </c>
      <c r="H274" s="12">
        <f>H273/C273-1</f>
        <v>0.12957256085033686</v>
      </c>
      <c r="I274" s="35" t="s">
        <v>37</v>
      </c>
      <c r="J274" s="2"/>
      <c r="K274" s="2"/>
      <c r="L274" s="2"/>
      <c r="M274" s="2"/>
      <c r="N274" s="2"/>
      <c r="O274" s="2"/>
    </row>
    <row r="275">
      <c r="A275" s="61" t="s">
        <v>110</v>
      </c>
      <c r="B275" s="1" t="s">
        <v>37</v>
      </c>
      <c r="C275" s="1">
        <f>IF(AND(ISNUMBER(C273),ISNUMBER(B273)),C273-B273,"n/a")</f>
        <v>1047</v>
      </c>
      <c r="D275" s="1">
        <f>IF(AND(ISNUMBER(D273),ISNUMBER(C273)),D273-C273,"n/a")</f>
        <v>684</v>
      </c>
      <c r="E275" s="1">
        <f>IF(AND(ISNUMBER(E273),ISNUMBER(D273)),E273-D273,"n/a")</f>
        <v>1876</v>
      </c>
      <c r="F275" s="1" t="s">
        <v>37</v>
      </c>
      <c r="G275" s="1">
        <f>IF(AND(ISNUMBER(G273),ISNUMBER(E273)),G273-E273,"n/a")</f>
        <v>4595</v>
      </c>
      <c r="H275" s="1">
        <f>IF(AND(ISNUMBER(H273),ISNUMBER(G273)),H273-G273,"n/a")</f>
        <v>4828</v>
      </c>
      <c r="I275" s="13" t="s">
        <v>37</v>
      </c>
      <c r="J275" s="2"/>
      <c r="K275" s="2"/>
      <c r="L275" s="2"/>
      <c r="M275" s="2"/>
      <c r="N275" s="2"/>
      <c r="O275" s="2"/>
    </row>
    <row r="276">
      <c r="A276" s="62" t="s">
        <v>255</v>
      </c>
      <c r="B276" s="8">
        <v>17912</v>
      </c>
      <c r="C276" s="8">
        <v>18579</v>
      </c>
      <c r="D276" s="8">
        <v>19488</v>
      </c>
      <c r="E276" s="8">
        <v>19860</v>
      </c>
      <c r="F276" s="3">
        <f>SUMPRODUCT(B276:E276,B$7:E$7)/F$7</f>
        <v>18966.534246575342</v>
      </c>
      <c r="G276" s="8">
        <v>20155</v>
      </c>
      <c r="H276" s="8">
        <v>20521</v>
      </c>
      <c r="I276" s="46" t="s">
        <v>37</v>
      </c>
      <c r="J276" s="2"/>
      <c r="K276" s="2"/>
      <c r="L276" s="2"/>
      <c r="M276" s="2"/>
      <c r="N276" s="2"/>
      <c r="O276" s="2"/>
    </row>
    <row r="277">
      <c r="A277" s="61" t="s">
        <v>122</v>
      </c>
      <c r="B277" s="12" t="s">
        <v>37</v>
      </c>
      <c r="C277" s="12" t="s">
        <v>37</v>
      </c>
      <c r="D277" s="12" t="s">
        <v>37</v>
      </c>
      <c r="E277" s="12" t="s">
        <v>37</v>
      </c>
      <c r="F277" s="12" t="s">
        <v>37</v>
      </c>
      <c r="G277" s="12">
        <f>G276/B276-1</f>
        <v>0.1252233139794552</v>
      </c>
      <c r="H277" s="12">
        <f>H276/C276-1</f>
        <v>0.10452661607190916</v>
      </c>
      <c r="I277" s="35" t="s">
        <v>37</v>
      </c>
      <c r="J277" s="2"/>
      <c r="K277" s="2"/>
      <c r="L277" s="2"/>
      <c r="M277" s="2"/>
      <c r="N277" s="2"/>
      <c r="O277" s="2"/>
    </row>
    <row r="278">
      <c r="A278" s="61" t="s">
        <v>110</v>
      </c>
      <c r="B278" s="1" t="s">
        <v>37</v>
      </c>
      <c r="C278" s="1">
        <f>IF(AND(ISNUMBER(C276),ISNUMBER(B276)),C276-B276,"n/a")</f>
        <v>667</v>
      </c>
      <c r="D278" s="1">
        <f>IF(AND(ISNUMBER(D276),ISNUMBER(C276)),D276-C276,"n/a")</f>
        <v>909</v>
      </c>
      <c r="E278" s="1">
        <f>IF(AND(ISNUMBER(E276),ISNUMBER(D276)),E276-D276,"n/a")</f>
        <v>372</v>
      </c>
      <c r="F278" s="1" t="s">
        <v>37</v>
      </c>
      <c r="G278" s="1">
        <f>IF(AND(ISNUMBER(G276),ISNUMBER(E276)),G276-E276,"n/a")</f>
        <v>295</v>
      </c>
      <c r="H278" s="1">
        <f>IF(AND(ISNUMBER(H276),ISNUMBER(G276)),H276-G276,"n/a")</f>
        <v>366</v>
      </c>
      <c r="I278" s="13" t="s">
        <v>37</v>
      </c>
      <c r="J278" s="2"/>
      <c r="K278" s="2"/>
      <c r="L278" s="2"/>
      <c r="M278" s="2"/>
      <c r="N278" s="2"/>
      <c r="O278" s="2"/>
    </row>
    <row r="279">
      <c r="A279" s="68" t="s">
        <v>256</v>
      </c>
      <c r="B279" s="15">
        <f>B267+B270+B273+B276</f>
        <v>182191</v>
      </c>
      <c r="C279" s="15">
        <f>C267+C270+C273+C276</f>
        <v>185545</v>
      </c>
      <c r="D279" s="15">
        <f>D267+D270+D273+D276</f>
        <v>188957</v>
      </c>
      <c r="E279" s="15">
        <f>E267+E270+E273+E276</f>
        <v>194075</v>
      </c>
      <c r="F279" s="15">
        <f>F267+F270+F273+F276</f>
        <v>187728.02465753426</v>
      </c>
      <c r="G279" s="15">
        <f>G267+G270+G273+G276</f>
        <v>203948</v>
      </c>
      <c r="H279" s="15">
        <f>H267+H270+H273+H276</f>
        <v>213957</v>
      </c>
      <c r="I279" s="38" t="s">
        <v>37</v>
      </c>
      <c r="J279" s="2"/>
      <c r="K279" s="2"/>
      <c r="L279" s="2"/>
      <c r="M279" s="2"/>
      <c r="N279" s="2"/>
      <c r="O279" s="2"/>
    </row>
    <row r="280">
      <c r="A280" s="26" t="s">
        <v>257</v>
      </c>
      <c r="B280" s="1">
        <f>B279-B27</f>
        <v>0</v>
      </c>
      <c r="C280" s="1">
        <f>C279-C27</f>
        <v>0</v>
      </c>
      <c r="D280" s="1">
        <f>D279-D27</f>
        <v>0</v>
      </c>
      <c r="E280" s="1">
        <f>E279-E27</f>
        <v>0</v>
      </c>
      <c r="F280" s="1">
        <f>F279-F27</f>
        <v>0</v>
      </c>
      <c r="G280" s="1">
        <f>G279-G27</f>
        <v>0</v>
      </c>
      <c r="H280" s="1">
        <f>H279-H27</f>
        <v>0</v>
      </c>
      <c r="I280" s="2"/>
      <c r="J280" s="2"/>
      <c r="K280" s="2"/>
      <c r="L280" s="2"/>
      <c r="M280" s="2"/>
      <c r="N280" s="2"/>
      <c r="O280" s="2"/>
    </row>
    <row r="281">
      <c r="A281" s="36" t="s">
        <v>258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>
      <c r="A282" s="62" t="s">
        <v>253</v>
      </c>
      <c r="B282" s="8">
        <v>15527</v>
      </c>
      <c r="C282" s="8">
        <v>15506</v>
      </c>
      <c r="D282" s="8">
        <v>15989</v>
      </c>
      <c r="E282" s="8">
        <v>17307</v>
      </c>
      <c r="F282" s="3">
        <f>SUMPRODUCT(B282:E282,B$7:E$7)/F$7</f>
        <v>16086.871232876712</v>
      </c>
      <c r="G282" s="8">
        <v>16624</v>
      </c>
      <c r="H282" s="8">
        <v>16376</v>
      </c>
      <c r="I282" s="46" t="s">
        <v>37</v>
      </c>
      <c r="J282" s="2"/>
      <c r="K282" s="2"/>
      <c r="L282" s="2"/>
      <c r="M282" s="2"/>
      <c r="N282" s="2"/>
      <c r="O282" s="2"/>
    </row>
    <row r="283">
      <c r="A283" s="61" t="s">
        <v>122</v>
      </c>
      <c r="B283" s="12" t="s">
        <v>37</v>
      </c>
      <c r="C283" s="12" t="s">
        <v>37</v>
      </c>
      <c r="D283" s="12" t="s">
        <v>37</v>
      </c>
      <c r="E283" s="12" t="s">
        <v>37</v>
      </c>
      <c r="F283" s="12" t="s">
        <v>37</v>
      </c>
      <c r="G283" s="12">
        <f>G282/B282-1</f>
        <v>0.07065112384877947</v>
      </c>
      <c r="H283" s="12">
        <f>H282/C282-1</f>
        <v>0.056107313298078054</v>
      </c>
      <c r="I283" s="35" t="s">
        <v>37</v>
      </c>
      <c r="J283" s="2"/>
      <c r="K283" s="2"/>
      <c r="L283" s="2"/>
      <c r="M283" s="2"/>
      <c r="N283" s="2"/>
      <c r="O283" s="2"/>
    </row>
    <row r="284">
      <c r="A284" s="61" t="s">
        <v>110</v>
      </c>
      <c r="B284" s="1" t="s">
        <v>37</v>
      </c>
      <c r="C284" s="1">
        <f>IF(AND(ISNUMBER(C282),ISNUMBER(B282)),C282-B282,"n/a")</f>
        <v>-21</v>
      </c>
      <c r="D284" s="1">
        <f>IF(AND(ISNUMBER(D282),ISNUMBER(C282)),D282-C282,"n/a")</f>
        <v>483</v>
      </c>
      <c r="E284" s="1">
        <f>IF(AND(ISNUMBER(E282),ISNUMBER(D282)),E282-D282,"n/a")</f>
        <v>1318</v>
      </c>
      <c r="F284" s="1" t="s">
        <v>37</v>
      </c>
      <c r="G284" s="1">
        <f>IF(AND(ISNUMBER(G282),ISNUMBER(E282)),G282-E282,"n/a")</f>
        <v>-683</v>
      </c>
      <c r="H284" s="1">
        <f>IF(AND(ISNUMBER(H282),ISNUMBER(G282)),H282-G282,"n/a")</f>
        <v>-248</v>
      </c>
      <c r="I284" s="13" t="s">
        <v>37</v>
      </c>
      <c r="J284" s="2"/>
      <c r="K284" s="2"/>
      <c r="L284" s="2"/>
      <c r="M284" s="2"/>
      <c r="N284" s="2"/>
      <c r="O284" s="2"/>
    </row>
    <row r="285">
      <c r="A285" s="62" t="s">
        <v>204</v>
      </c>
      <c r="B285" s="8">
        <v>45257</v>
      </c>
      <c r="C285" s="8">
        <v>45267</v>
      </c>
      <c r="D285" s="8">
        <v>45852</v>
      </c>
      <c r="E285" s="8">
        <v>46997</v>
      </c>
      <c r="F285" s="3">
        <f>SUMPRODUCT(B285:E285,B$7:E$7)/F$7</f>
        <v>45848.04109589041</v>
      </c>
      <c r="G285" s="8">
        <v>47988</v>
      </c>
      <c r="H285" s="8">
        <v>47962</v>
      </c>
      <c r="I285" s="46" t="s">
        <v>37</v>
      </c>
      <c r="J285" s="2"/>
      <c r="K285" s="2"/>
      <c r="L285" s="2"/>
      <c r="M285" s="2"/>
      <c r="N285" s="2"/>
      <c r="O285" s="2"/>
    </row>
    <row r="286">
      <c r="A286" s="61" t="s">
        <v>122</v>
      </c>
      <c r="B286" s="12" t="s">
        <v>37</v>
      </c>
      <c r="C286" s="12" t="s">
        <v>37</v>
      </c>
      <c r="D286" s="12" t="s">
        <v>37</v>
      </c>
      <c r="E286" s="12" t="s">
        <v>37</v>
      </c>
      <c r="F286" s="12" t="s">
        <v>37</v>
      </c>
      <c r="G286" s="12">
        <f>G285/B285-1</f>
        <v>0.06034425613717209</v>
      </c>
      <c r="H286" s="12">
        <f>H285/C285-1</f>
        <v>0.05953564406742218</v>
      </c>
      <c r="I286" s="35" t="s">
        <v>37</v>
      </c>
      <c r="J286" s="2"/>
      <c r="K286" s="2"/>
      <c r="L286" s="2"/>
      <c r="M286" s="2"/>
      <c r="N286" s="2"/>
      <c r="O286" s="2"/>
    </row>
    <row r="287">
      <c r="A287" s="61" t="s">
        <v>110</v>
      </c>
      <c r="B287" s="1" t="s">
        <v>37</v>
      </c>
      <c r="C287" s="1">
        <f>IF(AND(ISNUMBER(C285),ISNUMBER(B285)),C285-B285,"n/a")</f>
        <v>10</v>
      </c>
      <c r="D287" s="1">
        <f>IF(AND(ISNUMBER(D285),ISNUMBER(C285)),D285-C285,"n/a")</f>
        <v>585</v>
      </c>
      <c r="E287" s="1">
        <f>IF(AND(ISNUMBER(E285),ISNUMBER(D285)),E285-D285,"n/a")</f>
        <v>1145</v>
      </c>
      <c r="F287" s="1" t="s">
        <v>37</v>
      </c>
      <c r="G287" s="1">
        <f>IF(AND(ISNUMBER(G285),ISNUMBER(E285)),G285-E285,"n/a")</f>
        <v>991</v>
      </c>
      <c r="H287" s="1">
        <f>IF(AND(ISNUMBER(H285),ISNUMBER(G285)),H285-G285,"n/a")</f>
        <v>-26</v>
      </c>
      <c r="I287" s="13" t="s">
        <v>37</v>
      </c>
      <c r="J287" s="2"/>
      <c r="K287" s="2"/>
      <c r="L287" s="2"/>
      <c r="M287" s="2"/>
      <c r="N287" s="2"/>
      <c r="O287" s="2"/>
    </row>
    <row r="288">
      <c r="A288" s="62" t="s">
        <v>254</v>
      </c>
      <c r="B288" s="8">
        <v>135402</v>
      </c>
      <c r="C288" s="8">
        <v>134338</v>
      </c>
      <c r="D288" s="8">
        <v>138030</v>
      </c>
      <c r="E288" s="8">
        <v>139287</v>
      </c>
      <c r="F288" s="3">
        <f>SUMPRODUCT(B288:E288,B$7:E$7)/F$7</f>
        <v>136778.3616438356</v>
      </c>
      <c r="G288" s="8">
        <v>137957</v>
      </c>
      <c r="H288" s="8">
        <v>137267</v>
      </c>
      <c r="I288" s="46" t="s">
        <v>37</v>
      </c>
      <c r="J288" s="2"/>
      <c r="K288" s="2"/>
      <c r="L288" s="2"/>
      <c r="M288" s="2"/>
      <c r="N288" s="2"/>
      <c r="O288" s="2"/>
    </row>
    <row r="289">
      <c r="A289" s="61" t="s">
        <v>122</v>
      </c>
      <c r="B289" s="12" t="s">
        <v>37</v>
      </c>
      <c r="C289" s="12" t="s">
        <v>37</v>
      </c>
      <c r="D289" s="12" t="s">
        <v>37</v>
      </c>
      <c r="E289" s="12" t="s">
        <v>37</v>
      </c>
      <c r="F289" s="12" t="s">
        <v>37</v>
      </c>
      <c r="G289" s="12">
        <f>G288/B288-1</f>
        <v>0.01886973604525788</v>
      </c>
      <c r="H289" s="12">
        <f>H288/C288-1</f>
        <v>0.021803212791615234</v>
      </c>
      <c r="I289" s="35" t="s">
        <v>37</v>
      </c>
      <c r="J289" s="2"/>
      <c r="K289" s="2"/>
      <c r="L289" s="2"/>
      <c r="M289" s="2"/>
      <c r="N289" s="2"/>
      <c r="O289" s="2"/>
    </row>
    <row r="290">
      <c r="A290" s="61" t="s">
        <v>110</v>
      </c>
      <c r="B290" s="1" t="s">
        <v>37</v>
      </c>
      <c r="C290" s="1">
        <f>IF(AND(ISNUMBER(C288),ISNUMBER(B288)),C288-B288,"n/a")</f>
        <v>-1064</v>
      </c>
      <c r="D290" s="1">
        <f>IF(AND(ISNUMBER(D288),ISNUMBER(C288)),D288-C288,"n/a")</f>
        <v>3692</v>
      </c>
      <c r="E290" s="1">
        <f>IF(AND(ISNUMBER(E288),ISNUMBER(D288)),E288-D288,"n/a")</f>
        <v>1257</v>
      </c>
      <c r="F290" s="1" t="s">
        <v>37</v>
      </c>
      <c r="G290" s="1">
        <f>IF(AND(ISNUMBER(G288),ISNUMBER(E288)),G288-E288,"n/a")</f>
        <v>-1330</v>
      </c>
      <c r="H290" s="1">
        <f>IF(AND(ISNUMBER(H288),ISNUMBER(G288)),H288-G288,"n/a")</f>
        <v>-690</v>
      </c>
      <c r="I290" s="13" t="s">
        <v>37</v>
      </c>
      <c r="J290" s="2"/>
      <c r="K290" s="2"/>
      <c r="L290" s="2"/>
      <c r="M290" s="2"/>
      <c r="N290" s="2"/>
      <c r="O290" s="2"/>
    </row>
    <row r="291">
      <c r="A291" s="62" t="s">
        <v>206</v>
      </c>
      <c r="B291" s="8">
        <v>59342</v>
      </c>
      <c r="C291" s="8">
        <v>54375</v>
      </c>
      <c r="D291" s="8">
        <v>56922</v>
      </c>
      <c r="E291" s="8">
        <v>60671</v>
      </c>
      <c r="F291" s="3">
        <f>SUMPRODUCT(B291:E291,B$7:E$7)/F$7</f>
        <v>57828.6602739726</v>
      </c>
      <c r="G291" s="8">
        <v>62636</v>
      </c>
      <c r="H291" s="8">
        <v>61254</v>
      </c>
      <c r="I291" s="46" t="s">
        <v>37</v>
      </c>
      <c r="J291" s="2"/>
      <c r="K291" s="2"/>
      <c r="L291" s="2"/>
      <c r="M291" s="2"/>
      <c r="N291" s="2"/>
      <c r="O291" s="2"/>
    </row>
    <row r="292">
      <c r="A292" s="61" t="s">
        <v>122</v>
      </c>
      <c r="B292" s="12" t="s">
        <v>37</v>
      </c>
      <c r="C292" s="12" t="s">
        <v>37</v>
      </c>
      <c r="D292" s="12" t="s">
        <v>37</v>
      </c>
      <c r="E292" s="12" t="s">
        <v>37</v>
      </c>
      <c r="F292" s="12" t="s">
        <v>37</v>
      </c>
      <c r="G292" s="12">
        <f>G291/B291-1</f>
        <v>0.055508745913518176</v>
      </c>
      <c r="H292" s="12">
        <f>H291/C291-1</f>
        <v>0.12651034482758616</v>
      </c>
      <c r="I292" s="35" t="s">
        <v>37</v>
      </c>
      <c r="J292" s="2"/>
      <c r="K292" s="2"/>
      <c r="L292" s="2"/>
      <c r="M292" s="2"/>
      <c r="N292" s="2"/>
      <c r="O292" s="2"/>
    </row>
    <row r="293">
      <c r="A293" s="61" t="s">
        <v>110</v>
      </c>
      <c r="B293" s="1" t="s">
        <v>37</v>
      </c>
      <c r="C293" s="1">
        <f>IF(AND(ISNUMBER(C291),ISNUMBER(B291)),C291-B291,"n/a")</f>
        <v>-4967</v>
      </c>
      <c r="D293" s="1">
        <f>IF(AND(ISNUMBER(D291),ISNUMBER(C291)),D291-C291,"n/a")</f>
        <v>2547</v>
      </c>
      <c r="E293" s="1">
        <f>IF(AND(ISNUMBER(E291),ISNUMBER(D291)),E291-D291,"n/a")</f>
        <v>3749</v>
      </c>
      <c r="F293" s="1" t="s">
        <v>37</v>
      </c>
      <c r="G293" s="1">
        <f>IF(AND(ISNUMBER(G291),ISNUMBER(E291)),G291-E291,"n/a")</f>
        <v>1965</v>
      </c>
      <c r="H293" s="1">
        <f>IF(AND(ISNUMBER(H291),ISNUMBER(G291)),H291-G291,"n/a")</f>
        <v>-1382</v>
      </c>
      <c r="I293" s="13" t="s">
        <v>37</v>
      </c>
      <c r="J293" s="2"/>
      <c r="K293" s="2"/>
      <c r="L293" s="2"/>
      <c r="M293" s="2"/>
      <c r="N293" s="2"/>
      <c r="O293" s="2"/>
    </row>
    <row r="294">
      <c r="A294" s="62" t="s">
        <v>255</v>
      </c>
      <c r="B294" s="8">
        <v>19630</v>
      </c>
      <c r="C294" s="8">
        <v>19365</v>
      </c>
      <c r="D294" s="8">
        <v>20326</v>
      </c>
      <c r="E294" s="8">
        <v>21837</v>
      </c>
      <c r="F294" s="3">
        <f>SUMPRODUCT(B294:E294,B$7:E$7)/F$7</f>
        <v>20295.646575342467</v>
      </c>
      <c r="G294" s="8">
        <v>22766</v>
      </c>
      <c r="H294" s="8">
        <v>22706</v>
      </c>
      <c r="I294" s="46" t="s">
        <v>37</v>
      </c>
      <c r="J294" s="2"/>
      <c r="K294" s="2"/>
      <c r="L294" s="2"/>
      <c r="M294" s="2"/>
      <c r="N294" s="2"/>
      <c r="O294" s="2"/>
    </row>
    <row r="295">
      <c r="A295" s="61" t="s">
        <v>122</v>
      </c>
      <c r="B295" s="12" t="s">
        <v>37</v>
      </c>
      <c r="C295" s="12" t="s">
        <v>37</v>
      </c>
      <c r="D295" s="12" t="s">
        <v>37</v>
      </c>
      <c r="E295" s="12" t="s">
        <v>37</v>
      </c>
      <c r="F295" s="12" t="s">
        <v>37</v>
      </c>
      <c r="G295" s="12">
        <f>G294/B294-1</f>
        <v>0.15975547631176767</v>
      </c>
      <c r="H295" s="12">
        <f>H294/C294-1</f>
        <v>0.17252775626129613</v>
      </c>
      <c r="I295" s="35" t="s">
        <v>37</v>
      </c>
      <c r="J295" s="2"/>
      <c r="K295" s="2"/>
      <c r="L295" s="2"/>
      <c r="M295" s="2"/>
      <c r="N295" s="2"/>
      <c r="O295" s="2"/>
    </row>
    <row r="296">
      <c r="A296" s="61" t="s">
        <v>110</v>
      </c>
      <c r="B296" s="1" t="s">
        <v>37</v>
      </c>
      <c r="C296" s="1">
        <f>IF(AND(ISNUMBER(C294),ISNUMBER(B294)),C294-B294,"n/a")</f>
        <v>-265</v>
      </c>
      <c r="D296" s="1">
        <f>IF(AND(ISNUMBER(D294),ISNUMBER(C294)),D294-C294,"n/a")</f>
        <v>961</v>
      </c>
      <c r="E296" s="1">
        <f>IF(AND(ISNUMBER(E294),ISNUMBER(D294)),E294-D294,"n/a")</f>
        <v>1511</v>
      </c>
      <c r="F296" s="1" t="s">
        <v>37</v>
      </c>
      <c r="G296" s="1">
        <f>IF(AND(ISNUMBER(G294),ISNUMBER(E294)),G294-E294,"n/a")</f>
        <v>929</v>
      </c>
      <c r="H296" s="1">
        <f>IF(AND(ISNUMBER(H294),ISNUMBER(G294)),H294-G294,"n/a")</f>
        <v>-60</v>
      </c>
      <c r="I296" s="13" t="s">
        <v>37</v>
      </c>
      <c r="J296" s="2"/>
      <c r="K296" s="2"/>
      <c r="L296" s="2"/>
      <c r="M296" s="2"/>
      <c r="N296" s="2"/>
      <c r="O296" s="2"/>
    </row>
    <row r="297">
      <c r="A297" s="68" t="s">
        <v>259</v>
      </c>
      <c r="B297" s="15">
        <f>B282+B285+B288+B291+B294</f>
        <v>275158</v>
      </c>
      <c r="C297" s="15">
        <f>C282+C285+C288+C291+C294</f>
        <v>268851</v>
      </c>
      <c r="D297" s="15">
        <f>D282+D285+D288+D291+D294</f>
        <v>277119</v>
      </c>
      <c r="E297" s="15">
        <f>E282+E285+E288+E291+E294</f>
        <v>286099</v>
      </c>
      <c r="F297" s="15">
        <f>F282+F285+F288+F291+F294</f>
        <v>276837.5808219178</v>
      </c>
      <c r="G297" s="15">
        <f>G282+G285+G288+G291+G294</f>
        <v>287971</v>
      </c>
      <c r="H297" s="15">
        <f>H282+H285+H288+H291+H294</f>
        <v>285565</v>
      </c>
      <c r="I297" s="38" t="s">
        <v>37</v>
      </c>
      <c r="J297" s="2"/>
      <c r="K297" s="2"/>
      <c r="L297" s="2"/>
      <c r="M297" s="2"/>
      <c r="N297" s="2"/>
      <c r="O297" s="2"/>
    </row>
    <row r="298">
      <c r="A298" s="26" t="s">
        <v>260</v>
      </c>
      <c r="B298" s="1">
        <f>B297-B53</f>
        <v>0</v>
      </c>
      <c r="C298" s="1">
        <f>C297-C53</f>
        <v>0</v>
      </c>
      <c r="D298" s="1">
        <f>D297-D53</f>
        <v>0</v>
      </c>
      <c r="E298" s="1">
        <f>E297-E53</f>
        <v>0</v>
      </c>
      <c r="F298" s="1">
        <f>F297-F53</f>
        <v>0</v>
      </c>
      <c r="G298" s="1">
        <f>G297-G53</f>
        <v>0</v>
      </c>
      <c r="H298" s="1">
        <f>H297-H53</f>
        <v>0</v>
      </c>
      <c r="I298" s="2"/>
      <c r="J298" s="2"/>
      <c r="K298" s="2"/>
      <c r="L298" s="2"/>
      <c r="M298" s="2"/>
      <c r="N298" s="2"/>
      <c r="O298" s="2"/>
    </row>
    <row r="299">
      <c r="A299" s="36" t="s">
        <v>261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>
      <c r="A300" s="62" t="s">
        <v>262</v>
      </c>
      <c r="B300" s="8">
        <v>80414</v>
      </c>
      <c r="C300" s="8">
        <v>79084</v>
      </c>
      <c r="D300" s="8">
        <v>85068</v>
      </c>
      <c r="E300" s="8">
        <v>88527</v>
      </c>
      <c r="F300" s="3">
        <f>E300</f>
        <v>88527</v>
      </c>
      <c r="G300" s="8">
        <v>94953</v>
      </c>
      <c r="H300" s="8">
        <v>100865</v>
      </c>
      <c r="I300" s="46">
        <f>H300*(1+I301)</f>
        <v>104899.6</v>
      </c>
      <c r="J300" s="2"/>
      <c r="K300" s="2"/>
      <c r="L300" s="2"/>
      <c r="M300" s="2"/>
      <c r="N300" s="2"/>
      <c r="O300" s="2"/>
    </row>
    <row r="301">
      <c r="A301" s="61" t="s">
        <v>95</v>
      </c>
      <c r="B301" s="12" t="s">
        <v>37</v>
      </c>
      <c r="C301" s="12">
        <f>C300/B300-1</f>
        <v>-0.016539408560698354</v>
      </c>
      <c r="D301" s="12">
        <f>D300/C300-1</f>
        <v>0.07566638005159065</v>
      </c>
      <c r="E301" s="12">
        <f>E300/D300-1</f>
        <v>0.040661588376357694</v>
      </c>
      <c r="F301" s="12" t="s">
        <v>37</v>
      </c>
      <c r="G301" s="12">
        <f>G300/E300-1</f>
        <v>0.07258802399268016</v>
      </c>
      <c r="H301" s="12">
        <f>H300/G300-1</f>
        <v>0.06226238244183957</v>
      </c>
      <c r="I301" s="60">
        <v>0.04</v>
      </c>
      <c r="J301" s="6" t="s">
        <v>138</v>
      </c>
      <c r="K301" s="2"/>
      <c r="L301" s="2"/>
      <c r="M301" s="2"/>
      <c r="N301" s="2"/>
      <c r="O301" s="2"/>
    </row>
    <row r="302">
      <c r="A302" s="61" t="s">
        <v>122</v>
      </c>
      <c r="B302" s="12" t="s">
        <v>37</v>
      </c>
      <c r="C302" s="12" t="s">
        <v>37</v>
      </c>
      <c r="D302" s="12" t="s">
        <v>37</v>
      </c>
      <c r="E302" s="12" t="s">
        <v>37</v>
      </c>
      <c r="F302" s="12" t="s">
        <v>37</v>
      </c>
      <c r="G302" s="12">
        <f>G300/B300-1</f>
        <v>0.1808018504240556</v>
      </c>
      <c r="H302" s="12">
        <f>H300/C300-1</f>
        <v>0.2754160133528907</v>
      </c>
      <c r="I302" s="35">
        <f>I300/D300-1</f>
        <v>0.23312644002445104</v>
      </c>
      <c r="J302" s="2"/>
      <c r="K302" s="2"/>
      <c r="L302" s="2"/>
      <c r="M302" s="2"/>
      <c r="N302" s="2"/>
      <c r="O302" s="2"/>
    </row>
    <row r="303">
      <c r="A303" s="61" t="s">
        <v>110</v>
      </c>
      <c r="B303" s="1" t="s">
        <v>37</v>
      </c>
      <c r="C303" s="1">
        <f>IF(AND(ISNUMBER(C300),ISNUMBER(B300)),C300-B300,"n/a")</f>
        <v>-1330</v>
      </c>
      <c r="D303" s="1">
        <f>IF(AND(ISNUMBER(D300),ISNUMBER(C300)),D300-C300,"n/a")</f>
        <v>5984</v>
      </c>
      <c r="E303" s="1">
        <f>IF(AND(ISNUMBER(E300),ISNUMBER(D300)),E300-D300,"n/a")</f>
        <v>3459</v>
      </c>
      <c r="F303" s="1" t="s">
        <v>37</v>
      </c>
      <c r="G303" s="1">
        <f>IF(AND(ISNUMBER(G300),ISNUMBER(E300)),G300-E300,"n/a")</f>
        <v>6426</v>
      </c>
      <c r="H303" s="1">
        <f>IF(AND(ISNUMBER(H300),ISNUMBER(G300)),H300-G300,"n/a")</f>
        <v>5912</v>
      </c>
      <c r="I303" s="13">
        <f>IF(AND(ISNUMBER(I300),ISNUMBER(H300)),I300-H300,"n/a")</f>
        <v>4034.600000000006</v>
      </c>
      <c r="J303" s="2"/>
      <c r="K303" s="2"/>
      <c r="L303" s="2"/>
      <c r="M303" s="2"/>
      <c r="N303" s="2"/>
      <c r="O303" s="2"/>
    </row>
    <row r="304">
      <c r="A304" s="62" t="s">
        <v>263</v>
      </c>
      <c r="B304" s="8">
        <v>224349</v>
      </c>
      <c r="C304" s="8">
        <v>232453</v>
      </c>
      <c r="D304" s="8">
        <v>224009</v>
      </c>
      <c r="E304" s="8">
        <v>225777</v>
      </c>
      <c r="F304" s="3">
        <f>E304</f>
        <v>225777</v>
      </c>
      <c r="G304" s="8">
        <v>231041</v>
      </c>
      <c r="H304" s="8">
        <v>234589</v>
      </c>
      <c r="I304" s="46">
        <f>H304*(1+I305)</f>
        <v>234589</v>
      </c>
      <c r="J304" s="2"/>
      <c r="K304" s="2"/>
      <c r="L304" s="2"/>
      <c r="M304" s="2"/>
      <c r="N304" s="2"/>
      <c r="O304" s="2"/>
    </row>
    <row r="305">
      <c r="A305" s="61" t="s">
        <v>95</v>
      </c>
      <c r="B305" s="12" t="s">
        <v>37</v>
      </c>
      <c r="C305" s="12">
        <f>C304/B304-1</f>
        <v>0.03612229160816405</v>
      </c>
      <c r="D305" s="12">
        <f>D304/C304-1</f>
        <v>-0.036325622814074254</v>
      </c>
      <c r="E305" s="12">
        <f>E304/D304-1</f>
        <v>0.007892540031873674</v>
      </c>
      <c r="F305" s="12" t="s">
        <v>37</v>
      </c>
      <c r="G305" s="12">
        <f>G304/E304-1</f>
        <v>0.0233150409474836</v>
      </c>
      <c r="H305" s="12">
        <f>H304/G304-1</f>
        <v>0.015356581732246743</v>
      </c>
      <c r="I305" s="60">
        <v>0</v>
      </c>
      <c r="J305" s="6" t="s">
        <v>138</v>
      </c>
      <c r="K305" s="2"/>
      <c r="L305" s="2"/>
      <c r="M305" s="2"/>
      <c r="N305" s="2"/>
      <c r="O305" s="2"/>
    </row>
    <row r="306">
      <c r="A306" s="61" t="s">
        <v>122</v>
      </c>
      <c r="B306" s="12" t="s">
        <v>37</v>
      </c>
      <c r="C306" s="12" t="s">
        <v>37</v>
      </c>
      <c r="D306" s="12" t="s">
        <v>37</v>
      </c>
      <c r="E306" s="12" t="s">
        <v>37</v>
      </c>
      <c r="F306" s="12" t="s">
        <v>37</v>
      </c>
      <c r="G306" s="12">
        <f>G304/B304-1</f>
        <v>0.029828526091045582</v>
      </c>
      <c r="H306" s="12">
        <f>H304/C304-1</f>
        <v>0.009188954326250887</v>
      </c>
      <c r="I306" s="35">
        <f>I304/D304-1</f>
        <v>0.04723024521336194</v>
      </c>
      <c r="J306" s="2"/>
      <c r="K306" s="2"/>
      <c r="L306" s="2"/>
      <c r="M306" s="2"/>
      <c r="N306" s="2"/>
      <c r="O306" s="2"/>
    </row>
    <row r="307">
      <c r="A307" s="61" t="s">
        <v>110</v>
      </c>
      <c r="B307" s="1" t="s">
        <v>37</v>
      </c>
      <c r="C307" s="1">
        <f>IF(AND(ISNUMBER(C304),ISNUMBER(B304)),C304-B304,"n/a")</f>
        <v>8104</v>
      </c>
      <c r="D307" s="1">
        <f>IF(AND(ISNUMBER(D304),ISNUMBER(C304)),D304-C304,"n/a")</f>
        <v>-8444</v>
      </c>
      <c r="E307" s="1">
        <f>IF(AND(ISNUMBER(E304),ISNUMBER(D304)),E304-D304,"n/a")</f>
        <v>1768</v>
      </c>
      <c r="F307" s="1" t="s">
        <v>37</v>
      </c>
      <c r="G307" s="1">
        <f>IF(AND(ISNUMBER(G304),ISNUMBER(E304)),G304-E304,"n/a")</f>
        <v>5264</v>
      </c>
      <c r="H307" s="1">
        <f>IF(AND(ISNUMBER(H304),ISNUMBER(G304)),H304-G304,"n/a")</f>
        <v>3548</v>
      </c>
      <c r="I307" s="13">
        <f>IF(AND(ISNUMBER(I304),ISNUMBER(H304)),I304-H304,"n/a")</f>
        <v>0</v>
      </c>
      <c r="J307" s="2"/>
      <c r="K307" s="2"/>
      <c r="L307" s="2"/>
      <c r="M307" s="2"/>
      <c r="N307" s="2"/>
      <c r="O307" s="2"/>
    </row>
    <row r="308">
      <c r="A308" s="62" t="s">
        <v>264</v>
      </c>
      <c r="B308" s="8">
        <v>182768</v>
      </c>
      <c r="C308" s="8">
        <v>187799</v>
      </c>
      <c r="D308" s="8">
        <v>194604</v>
      </c>
      <c r="E308" s="8">
        <v>202398</v>
      </c>
      <c r="F308" s="3">
        <f>E308</f>
        <v>202398</v>
      </c>
      <c r="G308" s="8">
        <v>212115</v>
      </c>
      <c r="H308" s="8">
        <v>219737</v>
      </c>
      <c r="I308" s="46">
        <f>H308*(1+I309)</f>
        <v>226329.11000000002</v>
      </c>
      <c r="J308" s="2"/>
      <c r="K308" s="2"/>
      <c r="L308" s="2"/>
      <c r="M308" s="2"/>
      <c r="N308" s="2"/>
      <c r="O308" s="2"/>
    </row>
    <row r="309">
      <c r="A309" s="61" t="s">
        <v>95</v>
      </c>
      <c r="B309" s="12" t="s">
        <v>37</v>
      </c>
      <c r="C309" s="12">
        <f>C308/B308-1</f>
        <v>0.027526700516501856</v>
      </c>
      <c r="D309" s="12">
        <f>D308/C308-1</f>
        <v>0.036235549710062376</v>
      </c>
      <c r="E309" s="12">
        <f>E308/D308-1</f>
        <v>0.040050564222729346</v>
      </c>
      <c r="F309" s="12" t="s">
        <v>37</v>
      </c>
      <c r="G309" s="12">
        <f>G308/E308-1</f>
        <v>0.04800936768149877</v>
      </c>
      <c r="H309" s="12">
        <f>H308/G308-1</f>
        <v>0.03593333804775711</v>
      </c>
      <c r="I309" s="60">
        <v>0.03</v>
      </c>
      <c r="J309" s="6" t="s">
        <v>138</v>
      </c>
      <c r="K309" s="2"/>
      <c r="L309" s="2"/>
      <c r="M309" s="2"/>
      <c r="N309" s="2"/>
      <c r="O309" s="2"/>
    </row>
    <row r="310">
      <c r="A310" s="61" t="s">
        <v>122</v>
      </c>
      <c r="B310" s="12" t="s">
        <v>37</v>
      </c>
      <c r="C310" s="12" t="s">
        <v>37</v>
      </c>
      <c r="D310" s="12" t="s">
        <v>37</v>
      </c>
      <c r="E310" s="12" t="s">
        <v>37</v>
      </c>
      <c r="F310" s="12" t="s">
        <v>37</v>
      </c>
      <c r="G310" s="12">
        <f>G308/B308-1</f>
        <v>0.16056968397093585</v>
      </c>
      <c r="H310" s="12">
        <f>H308/C308-1</f>
        <v>0.17006480332696117</v>
      </c>
      <c r="I310" s="35">
        <f>I308/D308-1</f>
        <v>0.16302393578754804</v>
      </c>
      <c r="J310" s="2"/>
      <c r="K310" s="2"/>
      <c r="L310" s="2"/>
      <c r="M310" s="2"/>
      <c r="N310" s="2"/>
      <c r="O310" s="2"/>
    </row>
    <row r="311">
      <c r="A311" s="61" t="s">
        <v>110</v>
      </c>
      <c r="B311" s="1" t="s">
        <v>37</v>
      </c>
      <c r="C311" s="1">
        <f>IF(AND(ISNUMBER(C308),ISNUMBER(B308)),C308-B308,"n/a")</f>
        <v>5031</v>
      </c>
      <c r="D311" s="1">
        <f>IF(AND(ISNUMBER(D308),ISNUMBER(C308)),D308-C308,"n/a")</f>
        <v>6805</v>
      </c>
      <c r="E311" s="1">
        <f>IF(AND(ISNUMBER(E308),ISNUMBER(D308)),E308-D308,"n/a")</f>
        <v>7794</v>
      </c>
      <c r="F311" s="1" t="s">
        <v>37</v>
      </c>
      <c r="G311" s="1">
        <f>IF(AND(ISNUMBER(G308),ISNUMBER(E308)),G308-E308,"n/a")</f>
        <v>9717</v>
      </c>
      <c r="H311" s="1">
        <f>IF(AND(ISNUMBER(H308),ISNUMBER(G308)),H308-G308,"n/a")</f>
        <v>7622</v>
      </c>
      <c r="I311" s="13">
        <f>IF(AND(ISNUMBER(I308),ISNUMBER(H308)),I308-H308,"n/a")</f>
        <v>6592.110000000015</v>
      </c>
      <c r="J311" s="2"/>
      <c r="K311" s="2"/>
      <c r="L311" s="2"/>
      <c r="M311" s="2"/>
      <c r="N311" s="2"/>
      <c r="O311" s="2"/>
    </row>
    <row r="312">
      <c r="A312" s="62" t="s">
        <v>255</v>
      </c>
      <c r="B312" s="8">
        <v>36741</v>
      </c>
      <c r="C312" s="8">
        <v>37037</v>
      </c>
      <c r="D312" s="8">
        <v>26336</v>
      </c>
      <c r="E312" s="8">
        <v>28243</v>
      </c>
      <c r="F312" s="3">
        <f>E312</f>
        <v>28243</v>
      </c>
      <c r="G312" s="8">
        <v>26944</v>
      </c>
      <c r="H312" s="8">
        <v>26542</v>
      </c>
      <c r="I312" s="46">
        <f>H312*(1+I313)</f>
        <v>26542</v>
      </c>
      <c r="J312" s="2"/>
      <c r="K312" s="2"/>
      <c r="L312" s="2"/>
      <c r="M312" s="2"/>
      <c r="N312" s="2"/>
      <c r="O312" s="2"/>
    </row>
    <row r="313">
      <c r="A313" s="61" t="s">
        <v>95</v>
      </c>
      <c r="B313" s="12" t="s">
        <v>37</v>
      </c>
      <c r="C313" s="12">
        <f>C312/B312-1</f>
        <v>0.00805639476334341</v>
      </c>
      <c r="D313" s="12">
        <f>D312/C312-1</f>
        <v>-0.2889272889272889</v>
      </c>
      <c r="E313" s="12">
        <f>E312/D312-1</f>
        <v>0.07241038882138517</v>
      </c>
      <c r="F313" s="12" t="s">
        <v>37</v>
      </c>
      <c r="G313" s="12">
        <f>G312/E312-1</f>
        <v>-0.04599369755337601</v>
      </c>
      <c r="H313" s="12">
        <f>H312/G312-1</f>
        <v>-0.014919833729216125</v>
      </c>
      <c r="I313" s="60">
        <v>0</v>
      </c>
      <c r="J313" s="6" t="s">
        <v>138</v>
      </c>
      <c r="K313" s="2"/>
      <c r="L313" s="2"/>
      <c r="M313" s="2"/>
      <c r="N313" s="2"/>
      <c r="O313" s="2"/>
    </row>
    <row r="314">
      <c r="A314" s="61" t="s">
        <v>122</v>
      </c>
      <c r="B314" s="12" t="s">
        <v>37</v>
      </c>
      <c r="C314" s="12" t="s">
        <v>37</v>
      </c>
      <c r="D314" s="12" t="s">
        <v>37</v>
      </c>
      <c r="E314" s="12" t="s">
        <v>37</v>
      </c>
      <c r="F314" s="12" t="s">
        <v>37</v>
      </c>
      <c r="G314" s="12">
        <f>G312/B312-1</f>
        <v>-0.26665033613674094</v>
      </c>
      <c r="H314" s="12">
        <f>H312/C312-1</f>
        <v>-0.2833652833652833</v>
      </c>
      <c r="I314" s="35">
        <f>I312/D312-1</f>
        <v>0.007821992709599046</v>
      </c>
      <c r="J314" s="2"/>
      <c r="K314" s="2"/>
      <c r="L314" s="2"/>
      <c r="M314" s="2"/>
      <c r="N314" s="2"/>
      <c r="O314" s="2"/>
    </row>
    <row r="315">
      <c r="A315" s="61" t="s">
        <v>110</v>
      </c>
      <c r="B315" s="1" t="s">
        <v>37</v>
      </c>
      <c r="C315" s="1">
        <f>IF(AND(ISNUMBER(C312),ISNUMBER(B312)),C312-B312,"n/a")</f>
        <v>296</v>
      </c>
      <c r="D315" s="1">
        <f>IF(AND(ISNUMBER(D312),ISNUMBER(C312)),D312-C312,"n/a")</f>
        <v>-10701</v>
      </c>
      <c r="E315" s="1">
        <f>IF(AND(ISNUMBER(E312),ISNUMBER(D312)),E312-D312,"n/a")</f>
        <v>1907</v>
      </c>
      <c r="F315" s="1" t="s">
        <v>37</v>
      </c>
      <c r="G315" s="1">
        <f>IF(AND(ISNUMBER(G312),ISNUMBER(E312)),G312-E312,"n/a")</f>
        <v>-1299</v>
      </c>
      <c r="H315" s="1">
        <f>IF(AND(ISNUMBER(H312),ISNUMBER(G312)),H312-G312,"n/a")</f>
        <v>-402</v>
      </c>
      <c r="I315" s="13">
        <f>IF(AND(ISNUMBER(I312),ISNUMBER(H312)),I312-H312,"n/a")</f>
        <v>0</v>
      </c>
      <c r="J315" s="2"/>
      <c r="K315" s="2"/>
      <c r="L315" s="2"/>
      <c r="M315" s="2"/>
      <c r="N315" s="2"/>
      <c r="O315" s="2"/>
    </row>
    <row r="316">
      <c r="A316" s="68" t="s">
        <v>265</v>
      </c>
      <c r="B316" s="15">
        <f>B300+B304+B308+B312</f>
        <v>524272</v>
      </c>
      <c r="C316" s="15">
        <f>C300+C304+C308+C312</f>
        <v>536373</v>
      </c>
      <c r="D316" s="15">
        <f>D300+D304+D308+D312</f>
        <v>530017</v>
      </c>
      <c r="E316" s="15">
        <f>E300+E304+E308+E312</f>
        <v>544945</v>
      </c>
      <c r="F316" s="15">
        <f>F300+F304+F308+F312</f>
        <v>544945</v>
      </c>
      <c r="G316" s="15">
        <f>G300+G304+G308+G312</f>
        <v>565053</v>
      </c>
      <c r="H316" s="15">
        <f>H300+H304+H308+H312</f>
        <v>581733</v>
      </c>
      <c r="I316" s="38">
        <f>I300+I304+I308+I312</f>
        <v>592359.71</v>
      </c>
      <c r="J316" s="2"/>
      <c r="K316" s="2"/>
      <c r="L316" s="2"/>
      <c r="M316" s="2"/>
      <c r="N316" s="2"/>
      <c r="O316" s="2"/>
    </row>
    <row r="317">
      <c r="A317" s="14" t="s">
        <v>122</v>
      </c>
      <c r="B317" s="12" t="s">
        <v>37</v>
      </c>
      <c r="C317" s="12" t="s">
        <v>37</v>
      </c>
      <c r="D317" s="12" t="s">
        <v>37</v>
      </c>
      <c r="E317" s="12" t="s">
        <v>37</v>
      </c>
      <c r="F317" s="12" t="s">
        <v>37</v>
      </c>
      <c r="G317" s="12">
        <f>G316/B316-1</f>
        <v>0.0777859584337901</v>
      </c>
      <c r="H317" s="12">
        <f>H316/C316-1</f>
        <v>0.08456801516854884</v>
      </c>
      <c r="I317" s="35">
        <f>I316/D316-1</f>
        <v>0.11762398187227951</v>
      </c>
      <c r="J317" s="2"/>
      <c r="K317" s="2"/>
      <c r="L317" s="2"/>
      <c r="M317" s="2"/>
      <c r="N317" s="2"/>
      <c r="O317" s="2"/>
    </row>
    <row r="318">
      <c r="A318" s="14" t="s">
        <v>110</v>
      </c>
      <c r="B318" s="1" t="s">
        <v>37</v>
      </c>
      <c r="C318" s="1">
        <f>IF(AND(ISNUMBER(C316),ISNUMBER(B316)),C316-B316,"n/a")</f>
        <v>12101</v>
      </c>
      <c r="D318" s="1">
        <f>IF(AND(ISNUMBER(D316),ISNUMBER(C316)),D316-C316,"n/a")</f>
        <v>-6356</v>
      </c>
      <c r="E318" s="1">
        <f>IF(AND(ISNUMBER(E316),ISNUMBER(D316)),E316-D316,"n/a")</f>
        <v>14928</v>
      </c>
      <c r="F318" s="1" t="s">
        <v>37</v>
      </c>
      <c r="G318" s="1">
        <f>IF(AND(ISNUMBER(G316),ISNUMBER(E316)),G316-E316,"n/a")</f>
        <v>20108</v>
      </c>
      <c r="H318" s="1">
        <f>IF(AND(ISNUMBER(H316),ISNUMBER(G316)),H316-G316,"n/a")</f>
        <v>16680</v>
      </c>
      <c r="I318" s="13">
        <f>IF(AND(ISNUMBER(I316),ISNUMBER(H316)),I316-H316,"n/a")</f>
        <v>10626.709999999963</v>
      </c>
      <c r="J318" s="2"/>
      <c r="K318" s="2"/>
      <c r="L318" s="2"/>
      <c r="M318" s="2"/>
      <c r="N318" s="2"/>
      <c r="O318" s="2"/>
    </row>
    <row r="319">
      <c r="A319" s="19" t="s">
        <v>266</v>
      </c>
      <c r="B319" s="69">
        <f>B143/B316/(B$7/365)</f>
        <v>0.005252468608322059</v>
      </c>
      <c r="C319" s="69">
        <f>C143/C316/(C$7/365)</f>
        <v>0.005249545159272159</v>
      </c>
      <c r="D319" s="69">
        <f>D143/D316/(D$7/365)</f>
        <v>0.00545685942313089</v>
      </c>
      <c r="E319" s="69">
        <f>E143/E316/(E$7/365)</f>
        <v>0.005496665598881737</v>
      </c>
      <c r="F319" s="69">
        <f>F143/F316</f>
        <v>0.005257411298387911</v>
      </c>
      <c r="G319" s="69">
        <f>G143/G316/(G$7/365)</f>
        <v>0.00533991206724561</v>
      </c>
      <c r="H319" s="69">
        <f>H143/H316/(H$7/365)</f>
        <v>0.005405599105801777</v>
      </c>
      <c r="I319" s="67">
        <f>I143/I316/(I$7/365)</f>
        <v>0.005444550010360076</v>
      </c>
      <c r="J319" s="125" t="s">
        <v>267</v>
      </c>
      <c r="K319" s="2"/>
      <c r="L319" s="2"/>
      <c r="M319" s="2"/>
      <c r="N319" s="2"/>
      <c r="O319" s="2"/>
    </row>
    <row r="320">
      <c r="A320" s="14" t="s">
        <v>144</v>
      </c>
      <c r="B320" s="5" t="s">
        <v>37</v>
      </c>
      <c r="C320" s="5">
        <f>IF(AND(ISNUMBER(C319),ISNUMBER(B319)),(C319-B319)*10000,"n/a")</f>
        <v>-0.029234490498998567</v>
      </c>
      <c r="D320" s="5">
        <f>IF(AND(ISNUMBER(D319),ISNUMBER(C319)),(D319-C319)*10000,"n/a")</f>
        <v>2.07314263858731</v>
      </c>
      <c r="E320" s="5">
        <f>IF(AND(ISNUMBER(E319),ISNUMBER(D319)),(E319-D319)*10000,"n/a")</f>
        <v>0.39806175750846906</v>
      </c>
      <c r="F320" s="5" t="s">
        <v>37</v>
      </c>
      <c r="G320" s="5">
        <f>IF(AND(ISNUMBER(G319),ISNUMBER(E319)),(G319-E319)*10000,"n/a")</f>
        <v>-1.5675353163612742</v>
      </c>
      <c r="H320" s="5">
        <f>IF(AND(ISNUMBER(H319),ISNUMBER(G319)),(H319-G319)*10000,"n/a")</f>
        <v>0.6568703855616698</v>
      </c>
      <c r="I320" s="45">
        <f>IF(AND(ISNUMBER(I319),ISNUMBER(H319)),(I319-H319)*10000,"n/a")</f>
        <v>0.38950904558299193</v>
      </c>
      <c r="J320" s="2"/>
      <c r="K320" s="2"/>
      <c r="L320" s="2"/>
      <c r="M320" s="2"/>
      <c r="N320" s="2"/>
      <c r="O320" s="2"/>
    </row>
    <row r="321">
      <c r="A321" s="14" t="s">
        <v>145</v>
      </c>
      <c r="B321" s="5" t="s">
        <v>37</v>
      </c>
      <c r="C321" s="5" t="s">
        <v>37</v>
      </c>
      <c r="D321" s="5" t="s">
        <v>37</v>
      </c>
      <c r="E321" s="5" t="s">
        <v>37</v>
      </c>
      <c r="F321" s="5" t="s">
        <v>37</v>
      </c>
      <c r="G321" s="5">
        <f>IF(AND(ISNUMBER(G319),ISNUMBER(B319)),(G319-B319)*10000,"n/a")</f>
        <v>0.8744345892355062</v>
      </c>
      <c r="H321" s="5">
        <f>IF(AND(ISNUMBER(H319),ISNUMBER(C319)),(H319-C319)*10000,"n/a")</f>
        <v>1.5605394652961746</v>
      </c>
      <c r="I321" s="45">
        <f>IF(AND(ISNUMBER(I319),ISNUMBER(D319)),(I319-D319)*10000,"n/a")</f>
        <v>-0.12309412770814335</v>
      </c>
      <c r="J321" s="2"/>
      <c r="K321" s="2"/>
      <c r="L321" s="2"/>
      <c r="M321" s="2"/>
      <c r="N321" s="2"/>
      <c r="O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13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268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153</v>
      </c>
      <c r="B9" s="2"/>
      <c r="C9" s="2"/>
      <c r="D9" s="2"/>
      <c r="E9" s="2"/>
      <c r="F9" s="2"/>
      <c r="G9" s="2"/>
      <c r="H9" s="2"/>
      <c r="I9" s="2"/>
      <c r="J9" s="2" t="s">
        <v>154</v>
      </c>
      <c r="K9" s="2"/>
      <c r="L9" s="2"/>
      <c r="M9" s="2"/>
      <c r="N9" s="2"/>
      <c r="O9" s="2"/>
    </row>
    <row r="10">
      <c r="A10" s="36" t="s">
        <v>155</v>
      </c>
      <c r="B10" s="8">
        <v>4054</v>
      </c>
      <c r="C10" s="8">
        <v>4525</v>
      </c>
      <c r="D10" s="8">
        <v>4330</v>
      </c>
      <c r="E10" s="8">
        <v>4488</v>
      </c>
      <c r="F10" s="3">
        <f>SUMPRODUCT(B10:E10,B$7:E$7)/F$7</f>
        <v>4350.386301369863</v>
      </c>
      <c r="G10" s="8">
        <v>4399</v>
      </c>
      <c r="H10" s="8">
        <v>4719</v>
      </c>
      <c r="I10" s="46">
        <f>H10*(1+I11)</f>
        <v>4766.19</v>
      </c>
      <c r="J10" s="2"/>
      <c r="K10" s="2"/>
      <c r="L10" s="2"/>
      <c r="M10" s="2"/>
      <c r="N10" s="2"/>
      <c r="O10" s="2"/>
    </row>
    <row r="11">
      <c r="A11" s="14" t="s">
        <v>95</v>
      </c>
      <c r="B11" s="12" t="s">
        <v>37</v>
      </c>
      <c r="C11" s="12">
        <f>C10/B10-1</f>
        <v>0.11618154908732126</v>
      </c>
      <c r="D11" s="12">
        <f>D10/C10-1</f>
        <v>-0.04309392265193368</v>
      </c>
      <c r="E11" s="12">
        <f>E10/D10-1</f>
        <v>0.03648960739030027</v>
      </c>
      <c r="F11" s="12" t="s">
        <v>37</v>
      </c>
      <c r="G11" s="12">
        <f>G10/E10-1</f>
        <v>-0.01983065953654184</v>
      </c>
      <c r="H11" s="12">
        <f>H10/G10-1</f>
        <v>0.07274380541032044</v>
      </c>
      <c r="I11" s="60">
        <v>0.01</v>
      </c>
      <c r="J11" s="6" t="s">
        <v>138</v>
      </c>
      <c r="K11" s="2"/>
      <c r="L11" s="2"/>
      <c r="M11" s="2"/>
      <c r="N11" s="2"/>
      <c r="O11" s="2"/>
    </row>
    <row r="12">
      <c r="A12" s="14" t="s">
        <v>122</v>
      </c>
      <c r="B12" s="12" t="s">
        <v>37</v>
      </c>
      <c r="C12" s="12" t="s">
        <v>37</v>
      </c>
      <c r="D12" s="12" t="s">
        <v>37</v>
      </c>
      <c r="E12" s="12" t="s">
        <v>37</v>
      </c>
      <c r="F12" s="12" t="s">
        <v>37</v>
      </c>
      <c r="G12" s="12">
        <f>G10/B10-1</f>
        <v>0.08510113468179581</v>
      </c>
      <c r="H12" s="12">
        <f>H10/C10-1</f>
        <v>0.042872928176795666</v>
      </c>
      <c r="I12" s="35">
        <f>I10/D10-1</f>
        <v>0.10073672055427241</v>
      </c>
      <c r="J12" s="2"/>
      <c r="K12" s="2"/>
      <c r="L12" s="2"/>
      <c r="M12" s="2"/>
      <c r="N12" s="2"/>
      <c r="O12" s="2"/>
    </row>
    <row r="13">
      <c r="A13" s="14" t="s">
        <v>110</v>
      </c>
      <c r="B13" s="1" t="s">
        <v>37</v>
      </c>
      <c r="C13" s="1">
        <f>IF(AND(ISNUMBER(C10),ISNUMBER(B10)),C10-B10,"n/a")</f>
        <v>471</v>
      </c>
      <c r="D13" s="1">
        <f>IF(AND(ISNUMBER(D10),ISNUMBER(C10)),D10-C10,"n/a")</f>
        <v>-195</v>
      </c>
      <c r="E13" s="1">
        <f>IF(AND(ISNUMBER(E10),ISNUMBER(D10)),E10-D10,"n/a")</f>
        <v>158</v>
      </c>
      <c r="F13" s="1" t="s">
        <v>37</v>
      </c>
      <c r="G13" s="1">
        <f>IF(AND(ISNUMBER(G10),ISNUMBER(E10)),G10-E10,"n/a")</f>
        <v>-89</v>
      </c>
      <c r="H13" s="1">
        <f>IF(AND(ISNUMBER(H10),ISNUMBER(G10)),H10-G10,"n/a")</f>
        <v>320</v>
      </c>
      <c r="I13" s="13">
        <f>IF(AND(ISNUMBER(I10),ISNUMBER(H10)),I10-H10,"n/a")</f>
        <v>47.1899999999996</v>
      </c>
      <c r="J13" s="2"/>
      <c r="K13" s="2"/>
      <c r="L13" s="2"/>
      <c r="M13" s="2"/>
      <c r="N13" s="2"/>
      <c r="O13" s="2"/>
    </row>
    <row r="14">
      <c r="A14" s="36" t="s">
        <v>157</v>
      </c>
      <c r="B14" s="8">
        <v>11606</v>
      </c>
      <c r="C14" s="8">
        <v>11793</v>
      </c>
      <c r="D14" s="8">
        <v>11870</v>
      </c>
      <c r="E14" s="8">
        <v>11897</v>
      </c>
      <c r="F14" s="3">
        <f>SUMPRODUCT(B14:E14,B$7:E$7)/F$7</f>
        <v>11792.512328767123</v>
      </c>
      <c r="G14" s="8">
        <v>11879</v>
      </c>
      <c r="H14" s="8">
        <v>11861</v>
      </c>
      <c r="I14" s="46">
        <f>H14*(1+I15)</f>
        <v>11861</v>
      </c>
      <c r="J14" s="2"/>
      <c r="K14" s="2"/>
      <c r="L14" s="2"/>
      <c r="M14" s="2"/>
      <c r="N14" s="2"/>
      <c r="O14" s="2"/>
    </row>
    <row r="15">
      <c r="A15" s="14" t="s">
        <v>95</v>
      </c>
      <c r="B15" s="12" t="s">
        <v>37</v>
      </c>
      <c r="C15" s="12">
        <f>C14/B14-1</f>
        <v>0.016112355678097545</v>
      </c>
      <c r="D15" s="12">
        <f>D14/C14-1</f>
        <v>0.006529297040617221</v>
      </c>
      <c r="E15" s="12">
        <f>E14/D14-1</f>
        <v>0.002274641954507217</v>
      </c>
      <c r="F15" s="12" t="s">
        <v>37</v>
      </c>
      <c r="G15" s="12">
        <f>G14/E14-1</f>
        <v>-0.0015129864671765691</v>
      </c>
      <c r="H15" s="12">
        <f>H14/G14-1</f>
        <v>-0.0015152790638942593</v>
      </c>
      <c r="I15" s="60">
        <v>0</v>
      </c>
      <c r="J15" s="6" t="s">
        <v>138</v>
      </c>
      <c r="K15" s="2"/>
      <c r="L15" s="2"/>
      <c r="M15" s="2"/>
      <c r="N15" s="2"/>
      <c r="O15" s="2"/>
    </row>
    <row r="16">
      <c r="A16" s="14" t="s">
        <v>122</v>
      </c>
      <c r="B16" s="12" t="s">
        <v>37</v>
      </c>
      <c r="C16" s="12" t="s">
        <v>37</v>
      </c>
      <c r="D16" s="12" t="s">
        <v>37</v>
      </c>
      <c r="E16" s="12" t="s">
        <v>37</v>
      </c>
      <c r="F16" s="12" t="s">
        <v>37</v>
      </c>
      <c r="G16" s="12">
        <f>G14/B14-1</f>
        <v>0.023522316043425917</v>
      </c>
      <c r="H16" s="12">
        <f>H14/C14-1</f>
        <v>0.005766132451454187</v>
      </c>
      <c r="I16" s="35">
        <f>I14/D14-1</f>
        <v>-0.000758213984835665</v>
      </c>
      <c r="J16" s="2"/>
      <c r="K16" s="2"/>
      <c r="L16" s="2"/>
      <c r="M16" s="2"/>
      <c r="N16" s="2"/>
      <c r="O16" s="2"/>
    </row>
    <row r="17">
      <c r="A17" s="14" t="s">
        <v>110</v>
      </c>
      <c r="B17" s="1" t="s">
        <v>37</v>
      </c>
      <c r="C17" s="1">
        <f>IF(AND(ISNUMBER(C14),ISNUMBER(B14)),C14-B14,"n/a")</f>
        <v>187</v>
      </c>
      <c r="D17" s="1">
        <f>IF(AND(ISNUMBER(D14),ISNUMBER(C14)),D14-C14,"n/a")</f>
        <v>77</v>
      </c>
      <c r="E17" s="1">
        <f>IF(AND(ISNUMBER(E14),ISNUMBER(D14)),E14-D14,"n/a")</f>
        <v>27</v>
      </c>
      <c r="F17" s="1" t="s">
        <v>37</v>
      </c>
      <c r="G17" s="1">
        <f>IF(AND(ISNUMBER(G14),ISNUMBER(E14)),G14-E14,"n/a")</f>
        <v>-18</v>
      </c>
      <c r="H17" s="1">
        <f>IF(AND(ISNUMBER(H14),ISNUMBER(G14)),H14-G14,"n/a")</f>
        <v>-18</v>
      </c>
      <c r="I17" s="13">
        <f>IF(AND(ISNUMBER(I14),ISNUMBER(H14)),I14-H14,"n/a")</f>
        <v>0</v>
      </c>
      <c r="J17" s="2"/>
      <c r="K17" s="2"/>
      <c r="L17" s="2"/>
      <c r="M17" s="2"/>
      <c r="N17" s="2"/>
      <c r="O17" s="2"/>
    </row>
    <row r="18">
      <c r="A18" s="36" t="s">
        <v>269</v>
      </c>
      <c r="B18" s="8">
        <v>102250</v>
      </c>
      <c r="C18" s="8">
        <v>98058</v>
      </c>
      <c r="D18" s="8">
        <v>95708</v>
      </c>
      <c r="E18" s="8">
        <v>94701</v>
      </c>
      <c r="F18" s="3">
        <f>SUMPRODUCT(B18:E18,B$7:E$7)/F$7</f>
        <v>97653.16712328767</v>
      </c>
      <c r="G18" s="8">
        <v>94331</v>
      </c>
      <c r="H18" s="8">
        <v>93448</v>
      </c>
      <c r="I18" s="46">
        <f>H18*(1+I19)</f>
        <v>92700.416</v>
      </c>
      <c r="J18" s="2"/>
      <c r="K18" s="2"/>
      <c r="L18" s="2"/>
      <c r="M18" s="2"/>
      <c r="N18" s="2"/>
      <c r="O18" s="2"/>
    </row>
    <row r="19">
      <c r="A19" s="14" t="s">
        <v>95</v>
      </c>
      <c r="B19" s="12" t="s">
        <v>37</v>
      </c>
      <c r="C19" s="12">
        <f>C18/B18-1</f>
        <v>-0.04099755501222491</v>
      </c>
      <c r="D19" s="12">
        <f>D18/C18-1</f>
        <v>-0.02396540822778359</v>
      </c>
      <c r="E19" s="12">
        <f>E18/D18-1</f>
        <v>-0.010521586492247215</v>
      </c>
      <c r="F19" s="12" t="s">
        <v>37</v>
      </c>
      <c r="G19" s="12">
        <f>G18/E18-1</f>
        <v>-0.003907033716645025</v>
      </c>
      <c r="H19" s="12">
        <f>H18/G18-1</f>
        <v>-0.009360655563918518</v>
      </c>
      <c r="I19" s="60">
        <v>-0.008</v>
      </c>
      <c r="J19" s="6" t="s">
        <v>138</v>
      </c>
      <c r="K19" s="2"/>
      <c r="L19" s="2"/>
      <c r="M19" s="2"/>
      <c r="N19" s="2"/>
      <c r="O19" s="2"/>
    </row>
    <row r="20">
      <c r="A20" s="14" t="s">
        <v>122</v>
      </c>
      <c r="B20" s="12" t="s">
        <v>37</v>
      </c>
      <c r="C20" s="12" t="s">
        <v>37</v>
      </c>
      <c r="D20" s="12" t="s">
        <v>37</v>
      </c>
      <c r="E20" s="12" t="s">
        <v>37</v>
      </c>
      <c r="F20" s="12" t="s">
        <v>37</v>
      </c>
      <c r="G20" s="12">
        <f>G18/B18-1</f>
        <v>-0.07744743276283617</v>
      </c>
      <c r="H20" s="12">
        <f>H18/C18-1</f>
        <v>-0.04701299231067324</v>
      </c>
      <c r="I20" s="35">
        <f>I18/D18-1</f>
        <v>-0.03142458310695029</v>
      </c>
      <c r="J20" s="2"/>
      <c r="K20" s="2"/>
      <c r="L20" s="2"/>
      <c r="M20" s="2"/>
      <c r="N20" s="2"/>
      <c r="O20" s="2"/>
    </row>
    <row r="21">
      <c r="A21" s="14" t="s">
        <v>110</v>
      </c>
      <c r="B21" s="1" t="s">
        <v>37</v>
      </c>
      <c r="C21" s="1">
        <f>IF(AND(ISNUMBER(C18),ISNUMBER(B18)),C18-B18,"n/a")</f>
        <v>-4192</v>
      </c>
      <c r="D21" s="1">
        <f>IF(AND(ISNUMBER(D18),ISNUMBER(C18)),D18-C18,"n/a")</f>
        <v>-2350</v>
      </c>
      <c r="E21" s="1">
        <f>IF(AND(ISNUMBER(E18),ISNUMBER(D18)),E18-D18,"n/a")</f>
        <v>-1007</v>
      </c>
      <c r="F21" s="1" t="s">
        <v>37</v>
      </c>
      <c r="G21" s="1">
        <f>IF(AND(ISNUMBER(G18),ISNUMBER(E18)),G18-E18,"n/a")</f>
        <v>-370</v>
      </c>
      <c r="H21" s="1">
        <f>IF(AND(ISNUMBER(H18),ISNUMBER(G18)),H18-G18,"n/a")</f>
        <v>-883</v>
      </c>
      <c r="I21" s="13">
        <f>IF(AND(ISNUMBER(I18),ISNUMBER(H18)),I18-H18,"n/a")</f>
        <v>-747.5840000000026</v>
      </c>
      <c r="J21" s="2"/>
      <c r="K21" s="2"/>
      <c r="L21" s="2"/>
      <c r="M21" s="2"/>
      <c r="N21" s="2"/>
      <c r="O21" s="2"/>
    </row>
    <row r="22">
      <c r="A22" s="36" t="s">
        <v>159</v>
      </c>
      <c r="B22" s="8">
        <v>0</v>
      </c>
      <c r="C22" s="8">
        <v>0</v>
      </c>
      <c r="D22" s="8">
        <v>0</v>
      </c>
      <c r="E22" s="8">
        <v>0</v>
      </c>
      <c r="F22" s="3">
        <f>SUMPRODUCT(B22:E22,B$7:E$7)/F$7</f>
        <v>0</v>
      </c>
      <c r="G22" s="8">
        <v>0</v>
      </c>
      <c r="H22" s="8">
        <v>0</v>
      </c>
      <c r="I22" s="32">
        <v>0</v>
      </c>
      <c r="J22" s="6" t="s">
        <v>160</v>
      </c>
      <c r="K22" s="2"/>
      <c r="L22" s="2"/>
      <c r="M22" s="2"/>
      <c r="N22" s="2"/>
      <c r="O22" s="2"/>
    </row>
    <row r="23">
      <c r="A23" s="36" t="s">
        <v>270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>
      <c r="A24" s="62" t="s">
        <v>271</v>
      </c>
      <c r="B24" s="8">
        <v>3990</v>
      </c>
      <c r="C24" s="8">
        <v>3868</v>
      </c>
      <c r="D24" s="8">
        <v>3718</v>
      </c>
      <c r="E24" s="8">
        <v>3572</v>
      </c>
      <c r="F24" s="3">
        <f>SUMPRODUCT(B24:E24,B$7:E$7)/F$7</f>
        <v>3785.6657534246574</v>
      </c>
      <c r="G24" s="8">
        <v>3525</v>
      </c>
      <c r="H24" s="8">
        <v>3746</v>
      </c>
      <c r="I24" s="46">
        <f>H24*(1+I25)</f>
        <v>3858.38</v>
      </c>
      <c r="J24" s="2"/>
      <c r="K24" s="2"/>
      <c r="L24" s="2"/>
      <c r="M24" s="2"/>
      <c r="N24" s="2"/>
      <c r="O24" s="2"/>
    </row>
    <row r="25">
      <c r="A25" s="61" t="s">
        <v>95</v>
      </c>
      <c r="B25" s="12" t="s">
        <v>37</v>
      </c>
      <c r="C25" s="12">
        <f>C24/B24-1</f>
        <v>-0.030576441102756924</v>
      </c>
      <c r="D25" s="12">
        <f>D24/C24-1</f>
        <v>-0.03877973112719757</v>
      </c>
      <c r="E25" s="12">
        <f>E24/D24-1</f>
        <v>-0.03926842388380847</v>
      </c>
      <c r="F25" s="12" t="s">
        <v>37</v>
      </c>
      <c r="G25" s="12">
        <f>G24/E24-1</f>
        <v>-0.013157894736842146</v>
      </c>
      <c r="H25" s="12">
        <f>H24/G24-1</f>
        <v>0.06269503546099298</v>
      </c>
      <c r="I25" s="60">
        <v>0.03</v>
      </c>
      <c r="J25" s="6" t="s">
        <v>138</v>
      </c>
      <c r="K25" s="2"/>
      <c r="L25" s="2"/>
      <c r="M25" s="2"/>
      <c r="N25" s="2"/>
      <c r="O25" s="2"/>
    </row>
    <row r="26">
      <c r="A26" s="61" t="s">
        <v>122</v>
      </c>
      <c r="B26" s="12" t="s">
        <v>37</v>
      </c>
      <c r="C26" s="12" t="s">
        <v>37</v>
      </c>
      <c r="D26" s="12" t="s">
        <v>37</v>
      </c>
      <c r="E26" s="12" t="s">
        <v>37</v>
      </c>
      <c r="F26" s="12" t="s">
        <v>37</v>
      </c>
      <c r="G26" s="12">
        <f>G24/B24-1</f>
        <v>-0.11654135338345861</v>
      </c>
      <c r="H26" s="12">
        <f>H24/C24-1</f>
        <v>-0.03154084798345402</v>
      </c>
      <c r="I26" s="35">
        <f>I24/D24-1</f>
        <v>0.03775685852608923</v>
      </c>
      <c r="J26" s="2"/>
      <c r="K26" s="2"/>
      <c r="L26" s="2"/>
      <c r="M26" s="2"/>
      <c r="N26" s="2"/>
      <c r="O26" s="2"/>
    </row>
    <row r="27">
      <c r="A27" s="61" t="s">
        <v>110</v>
      </c>
      <c r="B27" s="1" t="s">
        <v>37</v>
      </c>
      <c r="C27" s="1">
        <f>IF(AND(ISNUMBER(C24),ISNUMBER(B24)),C24-B24,"n/a")</f>
        <v>-122</v>
      </c>
      <c r="D27" s="1">
        <f>IF(AND(ISNUMBER(D24),ISNUMBER(C24)),D24-C24,"n/a")</f>
        <v>-150</v>
      </c>
      <c r="E27" s="1">
        <f>IF(AND(ISNUMBER(E24),ISNUMBER(D24)),E24-D24,"n/a")</f>
        <v>-146</v>
      </c>
      <c r="F27" s="1" t="s">
        <v>37</v>
      </c>
      <c r="G27" s="1">
        <f>IF(AND(ISNUMBER(G24),ISNUMBER(E24)),G24-E24,"n/a")</f>
        <v>-47</v>
      </c>
      <c r="H27" s="1">
        <f>IF(AND(ISNUMBER(H24),ISNUMBER(G24)),H24-G24,"n/a")</f>
        <v>221</v>
      </c>
      <c r="I27" s="13">
        <f>IF(AND(ISNUMBER(I24),ISNUMBER(H24)),I24-H24,"n/a")</f>
        <v>112.38000000000011</v>
      </c>
      <c r="J27" s="2"/>
      <c r="K27" s="2"/>
      <c r="L27" s="2"/>
      <c r="M27" s="2"/>
      <c r="N27" s="2"/>
      <c r="O27" s="2"/>
    </row>
    <row r="28">
      <c r="A28" s="62" t="s">
        <v>272</v>
      </c>
      <c r="B28" s="8">
        <v>11120</v>
      </c>
      <c r="C28" s="8">
        <v>11246</v>
      </c>
      <c r="D28" s="8">
        <v>11358</v>
      </c>
      <c r="E28" s="8">
        <v>11455</v>
      </c>
      <c r="F28" s="3">
        <f>SUMPRODUCT(B28:E28,B$7:E$7)/F$7</f>
        <v>11295.841095890411</v>
      </c>
      <c r="G28" s="8">
        <v>11481</v>
      </c>
      <c r="H28" s="8">
        <v>11520</v>
      </c>
      <c r="I28" s="46">
        <f>H28*(1+I29)</f>
        <v>11554.56</v>
      </c>
      <c r="J28" s="2"/>
      <c r="K28" s="2"/>
      <c r="L28" s="2"/>
      <c r="M28" s="2"/>
      <c r="N28" s="2"/>
      <c r="O28" s="2"/>
    </row>
    <row r="29">
      <c r="A29" s="61" t="s">
        <v>95</v>
      </c>
      <c r="B29" s="12" t="s">
        <v>37</v>
      </c>
      <c r="C29" s="12">
        <f>C28/B28-1</f>
        <v>0.011330935251798513</v>
      </c>
      <c r="D29" s="12">
        <f>D28/C28-1</f>
        <v>0.00995909656766858</v>
      </c>
      <c r="E29" s="12">
        <f>E28/D28-1</f>
        <v>0.008540235957034792</v>
      </c>
      <c r="F29" s="12" t="s">
        <v>37</v>
      </c>
      <c r="G29" s="12">
        <f>G28/E28-1</f>
        <v>0.0022697512003491127</v>
      </c>
      <c r="H29" s="12">
        <f>H28/G28-1</f>
        <v>0.003396916644891501</v>
      </c>
      <c r="I29" s="60">
        <v>0.003</v>
      </c>
      <c r="J29" s="6" t="s">
        <v>138</v>
      </c>
      <c r="K29" s="2"/>
      <c r="L29" s="2"/>
      <c r="M29" s="2"/>
      <c r="N29" s="2"/>
      <c r="O29" s="2"/>
    </row>
    <row r="30">
      <c r="A30" s="61" t="s">
        <v>122</v>
      </c>
      <c r="B30" s="12" t="s">
        <v>37</v>
      </c>
      <c r="C30" s="12" t="s">
        <v>37</v>
      </c>
      <c r="D30" s="12" t="s">
        <v>37</v>
      </c>
      <c r="E30" s="12" t="s">
        <v>37</v>
      </c>
      <c r="F30" s="12" t="s">
        <v>37</v>
      </c>
      <c r="G30" s="12">
        <f>G28/B28-1</f>
        <v>0.032464028776978404</v>
      </c>
      <c r="H30" s="12">
        <f>H28/C28-1</f>
        <v>0.02436421838876046</v>
      </c>
      <c r="I30" s="35">
        <f>I28/D28-1</f>
        <v>0.01730586370839937</v>
      </c>
      <c r="J30" s="2"/>
      <c r="K30" s="2"/>
      <c r="L30" s="2"/>
      <c r="M30" s="2"/>
      <c r="N30" s="2"/>
      <c r="O30" s="2"/>
    </row>
    <row r="31">
      <c r="A31" s="61" t="s">
        <v>110</v>
      </c>
      <c r="B31" s="1" t="s">
        <v>37</v>
      </c>
      <c r="C31" s="1">
        <f>IF(AND(ISNUMBER(C28),ISNUMBER(B28)),C28-B28,"n/a")</f>
        <v>126</v>
      </c>
      <c r="D31" s="1">
        <f>IF(AND(ISNUMBER(D28),ISNUMBER(C28)),D28-C28,"n/a")</f>
        <v>112</v>
      </c>
      <c r="E31" s="1">
        <f>IF(AND(ISNUMBER(E28),ISNUMBER(D28)),E28-D28,"n/a")</f>
        <v>97</v>
      </c>
      <c r="F31" s="1" t="s">
        <v>37</v>
      </c>
      <c r="G31" s="1">
        <f>IF(AND(ISNUMBER(G28),ISNUMBER(E28)),G28-E28,"n/a")</f>
        <v>26</v>
      </c>
      <c r="H31" s="1">
        <f>IF(AND(ISNUMBER(H28),ISNUMBER(G28)),H28-G28,"n/a")</f>
        <v>39</v>
      </c>
      <c r="I31" s="13">
        <f>IF(AND(ISNUMBER(I28),ISNUMBER(H28)),I28-H28,"n/a")</f>
        <v>34.55999999999949</v>
      </c>
      <c r="J31" s="2"/>
      <c r="K31" s="2"/>
      <c r="L31" s="2"/>
      <c r="M31" s="2"/>
      <c r="N31" s="2"/>
      <c r="O31" s="2"/>
    </row>
    <row r="32">
      <c r="A32" s="62" t="s">
        <v>273</v>
      </c>
      <c r="B32" s="8">
        <v>20886</v>
      </c>
      <c r="C32" s="8">
        <v>20010</v>
      </c>
      <c r="D32" s="8">
        <v>18922</v>
      </c>
      <c r="E32" s="8">
        <v>18806</v>
      </c>
      <c r="F32" s="3">
        <f>SUMPRODUCT(B32:E32,B$7:E$7)/F$7</f>
        <v>19648.290410958904</v>
      </c>
      <c r="G32" s="8">
        <v>18577</v>
      </c>
      <c r="H32" s="8">
        <v>18714</v>
      </c>
      <c r="I32" s="46">
        <f>H32*(1+I33)</f>
        <v>18901.14</v>
      </c>
      <c r="J32" s="2"/>
      <c r="K32" s="2"/>
      <c r="L32" s="2"/>
      <c r="M32" s="2"/>
      <c r="N32" s="2"/>
      <c r="O32" s="2"/>
    </row>
    <row r="33">
      <c r="A33" s="61" t="s">
        <v>95</v>
      </c>
      <c r="B33" s="12" t="s">
        <v>37</v>
      </c>
      <c r="C33" s="12">
        <f>C32/B32-1</f>
        <v>-0.04194197069807526</v>
      </c>
      <c r="D33" s="12">
        <f>D32/C32-1</f>
        <v>-0.05437281359320345</v>
      </c>
      <c r="E33" s="12">
        <f>E32/D32-1</f>
        <v>-0.006130430187083813</v>
      </c>
      <c r="F33" s="12" t="s">
        <v>37</v>
      </c>
      <c r="G33" s="12">
        <f>G32/E32-1</f>
        <v>-0.012176964798468526</v>
      </c>
      <c r="H33" s="12">
        <f>H32/G32-1</f>
        <v>0.00737471066372386</v>
      </c>
      <c r="I33" s="60">
        <v>0.01</v>
      </c>
      <c r="J33" s="6" t="s">
        <v>138</v>
      </c>
      <c r="K33" s="2"/>
      <c r="L33" s="2"/>
      <c r="M33" s="2"/>
      <c r="N33" s="2"/>
      <c r="O33" s="2"/>
    </row>
    <row r="34">
      <c r="A34" s="61" t="s">
        <v>122</v>
      </c>
      <c r="B34" s="12" t="s">
        <v>37</v>
      </c>
      <c r="C34" s="12" t="s">
        <v>37</v>
      </c>
      <c r="D34" s="12" t="s">
        <v>37</v>
      </c>
      <c r="E34" s="12" t="s">
        <v>37</v>
      </c>
      <c r="F34" s="12" t="s">
        <v>37</v>
      </c>
      <c r="G34" s="12">
        <f>G32/B32-1</f>
        <v>-0.1105525232212966</v>
      </c>
      <c r="H34" s="12">
        <f>H32/C32-1</f>
        <v>-0.06476761619190408</v>
      </c>
      <c r="I34" s="35">
        <f>I32/D32-1</f>
        <v>-0.0011024204629531686</v>
      </c>
      <c r="J34" s="2"/>
      <c r="K34" s="2"/>
      <c r="L34" s="2"/>
      <c r="M34" s="2"/>
      <c r="N34" s="2"/>
      <c r="O34" s="2"/>
    </row>
    <row r="35">
      <c r="A35" s="61" t="s">
        <v>110</v>
      </c>
      <c r="B35" s="1" t="s">
        <v>37</v>
      </c>
      <c r="C35" s="1">
        <f>IF(AND(ISNUMBER(C32),ISNUMBER(B32)),C32-B32,"n/a")</f>
        <v>-876</v>
      </c>
      <c r="D35" s="1">
        <f>IF(AND(ISNUMBER(D32),ISNUMBER(C32)),D32-C32,"n/a")</f>
        <v>-1088</v>
      </c>
      <c r="E35" s="1">
        <f>IF(AND(ISNUMBER(E32),ISNUMBER(D32)),E32-D32,"n/a")</f>
        <v>-116</v>
      </c>
      <c r="F35" s="1" t="s">
        <v>37</v>
      </c>
      <c r="G35" s="1">
        <f>IF(AND(ISNUMBER(G32),ISNUMBER(E32)),G32-E32,"n/a")</f>
        <v>-229</v>
      </c>
      <c r="H35" s="1">
        <f>IF(AND(ISNUMBER(H32),ISNUMBER(G32)),H32-G32,"n/a")</f>
        <v>137</v>
      </c>
      <c r="I35" s="13">
        <f>IF(AND(ISNUMBER(I32),ISNUMBER(H32)),I32-H32,"n/a")</f>
        <v>187.13999999999942</v>
      </c>
      <c r="J35" s="2"/>
      <c r="K35" s="2"/>
      <c r="L35" s="2"/>
      <c r="M35" s="2"/>
      <c r="N35" s="2"/>
      <c r="O35" s="2"/>
    </row>
    <row r="36">
      <c r="A36" s="68" t="s">
        <v>161</v>
      </c>
      <c r="B36" s="15">
        <f>B24+B28+B32</f>
        <v>35996</v>
      </c>
      <c r="C36" s="15">
        <f>C24+C28+C32</f>
        <v>35124</v>
      </c>
      <c r="D36" s="15">
        <f>D24+D28+D32</f>
        <v>33998</v>
      </c>
      <c r="E36" s="15">
        <f>E24+E28+E32</f>
        <v>33833</v>
      </c>
      <c r="F36" s="15">
        <f>F24+F28+F32</f>
        <v>34729.797260273976</v>
      </c>
      <c r="G36" s="15">
        <f>G24+G28+G32</f>
        <v>33583</v>
      </c>
      <c r="H36" s="15">
        <f>H24+H28+H32</f>
        <v>33980</v>
      </c>
      <c r="I36" s="38">
        <f>I24+I28+I32</f>
        <v>34314.08</v>
      </c>
      <c r="J36" s="2"/>
      <c r="K36" s="2"/>
      <c r="L36" s="2"/>
      <c r="M36" s="2"/>
      <c r="N36" s="2"/>
      <c r="O36" s="2"/>
    </row>
    <row r="37">
      <c r="A37" s="14" t="s">
        <v>122</v>
      </c>
      <c r="B37" s="12" t="s">
        <v>37</v>
      </c>
      <c r="C37" s="12" t="s">
        <v>37</v>
      </c>
      <c r="D37" s="12" t="s">
        <v>37</v>
      </c>
      <c r="E37" s="12" t="s">
        <v>37</v>
      </c>
      <c r="F37" s="12" t="s">
        <v>37</v>
      </c>
      <c r="G37" s="12">
        <f>G36/B36-1</f>
        <v>-0.06703522613623736</v>
      </c>
      <c r="H37" s="12">
        <f>H36/C36-1</f>
        <v>-0.03257032228675549</v>
      </c>
      <c r="I37" s="35">
        <f>I36/D36-1</f>
        <v>0.009297017471616043</v>
      </c>
      <c r="J37" s="2"/>
      <c r="K37" s="2"/>
      <c r="L37" s="2"/>
      <c r="M37" s="2"/>
      <c r="N37" s="2"/>
      <c r="O37" s="2"/>
    </row>
    <row r="38">
      <c r="A38" s="14" t="s">
        <v>110</v>
      </c>
      <c r="B38" s="1" t="s">
        <v>37</v>
      </c>
      <c r="C38" s="1">
        <f>IF(AND(ISNUMBER(C36),ISNUMBER(B36)),C36-B36,"n/a")</f>
        <v>-872</v>
      </c>
      <c r="D38" s="1">
        <f>IF(AND(ISNUMBER(D36),ISNUMBER(C36)),D36-C36,"n/a")</f>
        <v>-1126</v>
      </c>
      <c r="E38" s="1">
        <f>IF(AND(ISNUMBER(E36),ISNUMBER(D36)),E36-D36,"n/a")</f>
        <v>-165</v>
      </c>
      <c r="F38" s="1" t="s">
        <v>37</v>
      </c>
      <c r="G38" s="1">
        <f>IF(AND(ISNUMBER(G36),ISNUMBER(E36)),G36-E36,"n/a")</f>
        <v>-250</v>
      </c>
      <c r="H38" s="1">
        <f>IF(AND(ISNUMBER(H36),ISNUMBER(G36)),H36-G36,"n/a")</f>
        <v>397</v>
      </c>
      <c r="I38" s="13">
        <f>IF(AND(ISNUMBER(I36),ISNUMBER(H36)),I36-H36,"n/a")</f>
        <v>334.08000000000175</v>
      </c>
      <c r="J38" s="2"/>
      <c r="K38" s="2"/>
      <c r="L38" s="2"/>
      <c r="M38" s="2"/>
      <c r="N38" s="2"/>
      <c r="O38" s="2"/>
    </row>
    <row r="39">
      <c r="A39" s="16" t="s">
        <v>162</v>
      </c>
      <c r="B39" s="15">
        <f>B10+B14+B18+B22+B36</f>
        <v>153906</v>
      </c>
      <c r="C39" s="15">
        <f>C10+C14+C18+C22+C36</f>
        <v>149500</v>
      </c>
      <c r="D39" s="15">
        <f>D10+D14+D18+D22+D36</f>
        <v>145906</v>
      </c>
      <c r="E39" s="15">
        <f>E10+E14+E18+E22+E36</f>
        <v>144919</v>
      </c>
      <c r="F39" s="15">
        <f>F10+F14+F18+F22+F36</f>
        <v>148525.86301369863</v>
      </c>
      <c r="G39" s="15">
        <f>G10+G14+G18+G22+G36</f>
        <v>144192</v>
      </c>
      <c r="H39" s="15">
        <f>H10+H14+H18+H22+H36</f>
        <v>144008</v>
      </c>
      <c r="I39" s="38">
        <f>I10+I14+I18+I22+I36</f>
        <v>143641.686</v>
      </c>
      <c r="J39" s="2"/>
      <c r="K39" s="2"/>
      <c r="L39" s="2"/>
      <c r="M39" s="2"/>
      <c r="N39" s="2"/>
      <c r="O39" s="2"/>
    </row>
    <row r="40">
      <c r="A40" s="19" t="s">
        <v>122</v>
      </c>
      <c r="B40" s="12" t="s">
        <v>37</v>
      </c>
      <c r="C40" s="12" t="s">
        <v>37</v>
      </c>
      <c r="D40" s="12" t="s">
        <v>37</v>
      </c>
      <c r="E40" s="12" t="s">
        <v>37</v>
      </c>
      <c r="F40" s="12" t="s">
        <v>37</v>
      </c>
      <c r="G40" s="12">
        <f>G39/B39-1</f>
        <v>-0.06311644770184399</v>
      </c>
      <c r="H40" s="12">
        <f>H39/C39-1</f>
        <v>-0.03673578595317728</v>
      </c>
      <c r="I40" s="35">
        <f>I39/D39-1</f>
        <v>-0.0155189916795746</v>
      </c>
      <c r="J40" s="2"/>
      <c r="K40" s="2"/>
      <c r="L40" s="2"/>
      <c r="M40" s="2"/>
      <c r="N40" s="2"/>
      <c r="O40" s="2"/>
    </row>
    <row r="41">
      <c r="A41" s="19" t="s">
        <v>110</v>
      </c>
      <c r="B41" s="1" t="s">
        <v>37</v>
      </c>
      <c r="C41" s="1">
        <f>IF(AND(ISNUMBER(C39),ISNUMBER(B39)),C39-B39,"n/a")</f>
        <v>-4406</v>
      </c>
      <c r="D41" s="1">
        <f>IF(AND(ISNUMBER(D39),ISNUMBER(C39)),D39-C39,"n/a")</f>
        <v>-3594</v>
      </c>
      <c r="E41" s="1">
        <f>IF(AND(ISNUMBER(E39),ISNUMBER(D39)),E39-D39,"n/a")</f>
        <v>-987</v>
      </c>
      <c r="F41" s="1" t="s">
        <v>37</v>
      </c>
      <c r="G41" s="1">
        <f>IF(AND(ISNUMBER(G39),ISNUMBER(E39)),G39-E39,"n/a")</f>
        <v>-727</v>
      </c>
      <c r="H41" s="1">
        <f>IF(AND(ISNUMBER(H39),ISNUMBER(G39)),H39-G39,"n/a")</f>
        <v>-184</v>
      </c>
      <c r="I41" s="13">
        <f>IF(AND(ISNUMBER(I39),ISNUMBER(H39)),I39-H39,"n/a")</f>
        <v>-366.31400000001304</v>
      </c>
      <c r="J41" s="2"/>
      <c r="K41" s="2"/>
      <c r="L41" s="2"/>
      <c r="M41" s="2"/>
      <c r="N41" s="2"/>
      <c r="O41" s="2"/>
    </row>
    <row r="42">
      <c r="A42" s="36" t="s">
        <v>163</v>
      </c>
      <c r="B42" s="8">
        <v>1778</v>
      </c>
      <c r="C42" s="8">
        <v>4875</v>
      </c>
      <c r="D42" s="8">
        <v>2330</v>
      </c>
      <c r="E42" s="8">
        <v>2849</v>
      </c>
      <c r="F42" s="3">
        <f>SUMPRODUCT(B42:E42,B$7:E$7)/F$7</f>
        <v>2959.213698630137</v>
      </c>
      <c r="G42" s="8">
        <v>2409</v>
      </c>
      <c r="H42" s="8">
        <v>2650</v>
      </c>
      <c r="I42" s="46">
        <f>H42*(1+I43)</f>
        <v>2650</v>
      </c>
      <c r="J42" s="2"/>
      <c r="K42" s="2"/>
      <c r="L42" s="2"/>
      <c r="M42" s="2"/>
      <c r="N42" s="2"/>
      <c r="O42" s="2"/>
    </row>
    <row r="43">
      <c r="A43" s="14" t="s">
        <v>95</v>
      </c>
      <c r="B43" s="12" t="s">
        <v>37</v>
      </c>
      <c r="C43" s="12">
        <f>C42/B42-1</f>
        <v>1.7418447694038246</v>
      </c>
      <c r="D43" s="12">
        <f>D42/C42-1</f>
        <v>-0.522051282051282</v>
      </c>
      <c r="E43" s="12">
        <f>E42/D42-1</f>
        <v>0.22274678111587987</v>
      </c>
      <c r="F43" s="12" t="s">
        <v>37</v>
      </c>
      <c r="G43" s="12">
        <f>G42/E42-1</f>
        <v>-0.15444015444015446</v>
      </c>
      <c r="H43" s="12">
        <f>H42/G42-1</f>
        <v>0.10004151100041514</v>
      </c>
      <c r="I43" s="60">
        <v>0</v>
      </c>
      <c r="J43" s="6" t="s">
        <v>138</v>
      </c>
      <c r="K43" s="2"/>
      <c r="L43" s="2"/>
      <c r="M43" s="2"/>
      <c r="N43" s="2"/>
      <c r="O43" s="2"/>
    </row>
    <row r="44">
      <c r="A44" s="14" t="s">
        <v>122</v>
      </c>
      <c r="B44" s="12" t="s">
        <v>37</v>
      </c>
      <c r="C44" s="12" t="s">
        <v>37</v>
      </c>
      <c r="D44" s="12" t="s">
        <v>37</v>
      </c>
      <c r="E44" s="12" t="s">
        <v>37</v>
      </c>
      <c r="F44" s="12" t="s">
        <v>37</v>
      </c>
      <c r="G44" s="12">
        <f>G42/B42-1</f>
        <v>0.3548931383577052</v>
      </c>
      <c r="H44" s="12">
        <f>H42/C42-1</f>
        <v>-0.45641025641025645</v>
      </c>
      <c r="I44" s="35">
        <f>I42/D42-1</f>
        <v>0.13733905579399153</v>
      </c>
      <c r="J44" s="2"/>
      <c r="K44" s="2"/>
      <c r="L44" s="2"/>
      <c r="M44" s="2"/>
      <c r="N44" s="2"/>
      <c r="O44" s="2"/>
    </row>
    <row r="45">
      <c r="A45" s="14" t="s">
        <v>110</v>
      </c>
      <c r="B45" s="1" t="s">
        <v>37</v>
      </c>
      <c r="C45" s="1">
        <f>IF(AND(ISNUMBER(C42),ISNUMBER(B42)),C42-B42,"n/a")</f>
        <v>3097</v>
      </c>
      <c r="D45" s="1">
        <f>IF(AND(ISNUMBER(D42),ISNUMBER(C42)),D42-C42,"n/a")</f>
        <v>-2545</v>
      </c>
      <c r="E45" s="1">
        <f>IF(AND(ISNUMBER(E42),ISNUMBER(D42)),E42-D42,"n/a")</f>
        <v>519</v>
      </c>
      <c r="F45" s="1" t="s">
        <v>37</v>
      </c>
      <c r="G45" s="1">
        <f>IF(AND(ISNUMBER(G42),ISNUMBER(E42)),G42-E42,"n/a")</f>
        <v>-440</v>
      </c>
      <c r="H45" s="1">
        <f>IF(AND(ISNUMBER(H42),ISNUMBER(G42)),H42-G42,"n/a")</f>
        <v>241</v>
      </c>
      <c r="I45" s="13">
        <f>IF(AND(ISNUMBER(I42),ISNUMBER(H42)),I42-H42,"n/a")</f>
        <v>0</v>
      </c>
      <c r="J45" s="2"/>
      <c r="K45" s="2"/>
      <c r="L45" s="2"/>
      <c r="M45" s="2"/>
      <c r="N45" s="2"/>
      <c r="O45" s="2"/>
    </row>
    <row r="46">
      <c r="A46" s="16" t="s">
        <v>164</v>
      </c>
      <c r="B46" s="15">
        <f>B39+B42</f>
        <v>155684</v>
      </c>
      <c r="C46" s="15">
        <f>C39+C42</f>
        <v>154375</v>
      </c>
      <c r="D46" s="15">
        <f>D39+D42</f>
        <v>148236</v>
      </c>
      <c r="E46" s="15">
        <f>E39+E42</f>
        <v>147768</v>
      </c>
      <c r="F46" s="15">
        <f>F39+F42</f>
        <v>151485.07671232877</v>
      </c>
      <c r="G46" s="15">
        <f>G39+G42</f>
        <v>146601</v>
      </c>
      <c r="H46" s="15">
        <f>H39+H42</f>
        <v>146658</v>
      </c>
      <c r="I46" s="38">
        <f>I39+I42</f>
        <v>146291.686</v>
      </c>
      <c r="J46" s="2"/>
      <c r="K46" s="2"/>
      <c r="L46" s="2"/>
      <c r="M46" s="2"/>
      <c r="N46" s="2"/>
      <c r="O46" s="2"/>
    </row>
    <row r="47">
      <c r="A47" s="19" t="s">
        <v>122</v>
      </c>
      <c r="B47" s="12" t="s">
        <v>37</v>
      </c>
      <c r="C47" s="12" t="s">
        <v>37</v>
      </c>
      <c r="D47" s="12" t="s">
        <v>37</v>
      </c>
      <c r="E47" s="12" t="s">
        <v>37</v>
      </c>
      <c r="F47" s="12" t="s">
        <v>37</v>
      </c>
      <c r="G47" s="12">
        <f>G46/B46-1</f>
        <v>-0.05834254001695738</v>
      </c>
      <c r="H47" s="12">
        <f>H46/C46-1</f>
        <v>-0.04998866396761137</v>
      </c>
      <c r="I47" s="35">
        <f>I46/D46-1</f>
        <v>-0.01311634150948493</v>
      </c>
      <c r="J47" s="2"/>
      <c r="K47" s="2"/>
      <c r="L47" s="2"/>
      <c r="M47" s="2"/>
      <c r="N47" s="2"/>
      <c r="O47" s="2"/>
    </row>
    <row r="48">
      <c r="A48" s="19" t="s">
        <v>110</v>
      </c>
      <c r="B48" s="1" t="s">
        <v>37</v>
      </c>
      <c r="C48" s="1">
        <f>IF(AND(ISNUMBER(C46),ISNUMBER(B46)),C46-B46,"n/a")</f>
        <v>-1309</v>
      </c>
      <c r="D48" s="1">
        <f>IF(AND(ISNUMBER(D46),ISNUMBER(C46)),D46-C46,"n/a")</f>
        <v>-6139</v>
      </c>
      <c r="E48" s="1">
        <f>IF(AND(ISNUMBER(E46),ISNUMBER(D46)),E46-D46,"n/a")</f>
        <v>-468</v>
      </c>
      <c r="F48" s="1" t="s">
        <v>37</v>
      </c>
      <c r="G48" s="1">
        <f>IF(AND(ISNUMBER(G46),ISNUMBER(E46)),G46-E46,"n/a")</f>
        <v>-1167</v>
      </c>
      <c r="H48" s="1">
        <f>IF(AND(ISNUMBER(H46),ISNUMBER(G46)),H46-G46,"n/a")</f>
        <v>57</v>
      </c>
      <c r="I48" s="13">
        <f>IF(AND(ISNUMBER(I46),ISNUMBER(H46)),I46-H46,"n/a")</f>
        <v>-366.31400000001304</v>
      </c>
      <c r="J48" s="2"/>
      <c r="K48" s="2"/>
      <c r="L48" s="2"/>
      <c r="M48" s="2"/>
      <c r="N48" s="2"/>
      <c r="O48" s="2"/>
    </row>
    <row r="49">
      <c r="A49" s="36" t="s">
        <v>165</v>
      </c>
      <c r="B49" s="8">
        <v>19204</v>
      </c>
      <c r="C49" s="8">
        <v>19732</v>
      </c>
      <c r="D49" s="8">
        <v>19726</v>
      </c>
      <c r="E49" s="8">
        <v>19482</v>
      </c>
      <c r="F49" s="3">
        <f>SUMPRODUCT(B49:E49,B$7:E$7)/F$7</f>
        <v>19537.28219178082</v>
      </c>
      <c r="G49" s="8">
        <v>18380</v>
      </c>
      <c r="H49" s="8">
        <v>18632</v>
      </c>
      <c r="I49" s="46">
        <f>H49*(1+I50)</f>
        <v>18818.32</v>
      </c>
      <c r="J49" s="2"/>
      <c r="K49" s="2"/>
      <c r="L49" s="2"/>
      <c r="M49" s="2"/>
      <c r="N49" s="2"/>
      <c r="O49" s="2"/>
    </row>
    <row r="50">
      <c r="A50" s="14" t="s">
        <v>95</v>
      </c>
      <c r="B50" s="12" t="s">
        <v>37</v>
      </c>
      <c r="C50" s="12">
        <f>C49/B49-1</f>
        <v>0.027494272026661104</v>
      </c>
      <c r="D50" s="12">
        <f>D49/C49-1</f>
        <v>-0.00030407459963510686</v>
      </c>
      <c r="E50" s="12">
        <f>E49/D49-1</f>
        <v>-0.012369461624252232</v>
      </c>
      <c r="F50" s="12" t="s">
        <v>37</v>
      </c>
      <c r="G50" s="12">
        <f>G49/E49-1</f>
        <v>-0.05656503439071969</v>
      </c>
      <c r="H50" s="12">
        <f>H49/G49-1</f>
        <v>0.013710554951033682</v>
      </c>
      <c r="I50" s="60">
        <v>0.01</v>
      </c>
      <c r="J50" s="6" t="s">
        <v>138</v>
      </c>
      <c r="K50" s="2"/>
      <c r="L50" s="2"/>
      <c r="M50" s="2"/>
      <c r="N50" s="2"/>
      <c r="O50" s="2"/>
    </row>
    <row r="51">
      <c r="A51" s="14" t="s">
        <v>122</v>
      </c>
      <c r="B51" s="12" t="s">
        <v>37</v>
      </c>
      <c r="C51" s="12" t="s">
        <v>37</v>
      </c>
      <c r="D51" s="12" t="s">
        <v>37</v>
      </c>
      <c r="E51" s="12" t="s">
        <v>37</v>
      </c>
      <c r="F51" s="12" t="s">
        <v>37</v>
      </c>
      <c r="G51" s="12">
        <f>G49/B49-1</f>
        <v>-0.04290772755675898</v>
      </c>
      <c r="H51" s="12">
        <f>H49/C49-1</f>
        <v>-0.05574700993310355</v>
      </c>
      <c r="I51" s="35">
        <f>I49/D49-1</f>
        <v>-0.04601439724221845</v>
      </c>
      <c r="J51" s="2"/>
      <c r="K51" s="2"/>
      <c r="L51" s="2"/>
      <c r="M51" s="2"/>
      <c r="N51" s="2"/>
      <c r="O51" s="2"/>
    </row>
    <row r="52">
      <c r="A52" s="14" t="s">
        <v>110</v>
      </c>
      <c r="B52" s="1" t="s">
        <v>37</v>
      </c>
      <c r="C52" s="1">
        <f>IF(AND(ISNUMBER(C49),ISNUMBER(B49)),C49-B49,"n/a")</f>
        <v>528</v>
      </c>
      <c r="D52" s="1">
        <f>IF(AND(ISNUMBER(D49),ISNUMBER(C49)),D49-C49,"n/a")</f>
        <v>-6</v>
      </c>
      <c r="E52" s="1">
        <f>IF(AND(ISNUMBER(E49),ISNUMBER(D49)),E49-D49,"n/a")</f>
        <v>-244</v>
      </c>
      <c r="F52" s="1" t="s">
        <v>37</v>
      </c>
      <c r="G52" s="1">
        <f>IF(AND(ISNUMBER(G49),ISNUMBER(E49)),G49-E49,"n/a")</f>
        <v>-1102</v>
      </c>
      <c r="H52" s="1">
        <f>IF(AND(ISNUMBER(H49),ISNUMBER(G49)),H49-G49,"n/a")</f>
        <v>252</v>
      </c>
      <c r="I52" s="13">
        <f>IF(AND(ISNUMBER(I49),ISNUMBER(H49)),I49-H49,"n/a")</f>
        <v>186.3199999999997</v>
      </c>
      <c r="J52" s="2"/>
      <c r="K52" s="2"/>
      <c r="L52" s="2"/>
      <c r="M52" s="2"/>
      <c r="N52" s="2"/>
      <c r="O52" s="2"/>
    </row>
    <row r="53">
      <c r="A53" s="36" t="s">
        <v>167</v>
      </c>
      <c r="B53" s="8">
        <v>70901</v>
      </c>
      <c r="C53" s="8">
        <v>70923</v>
      </c>
      <c r="D53" s="8">
        <v>70454</v>
      </c>
      <c r="E53" s="8">
        <v>71078</v>
      </c>
      <c r="F53" s="3">
        <f>SUMPRODUCT(B53:E53,B$7:E$7)/F$7</f>
        <v>70838.4301369863</v>
      </c>
      <c r="G53" s="8">
        <v>72022</v>
      </c>
      <c r="H53" s="8">
        <v>72914</v>
      </c>
      <c r="I53" s="46">
        <f>H53*(1+I54)</f>
        <v>73643.14</v>
      </c>
      <c r="J53" s="2"/>
      <c r="K53" s="2"/>
      <c r="L53" s="2"/>
      <c r="M53" s="2"/>
      <c r="N53" s="2"/>
      <c r="O53" s="2"/>
    </row>
    <row r="54">
      <c r="A54" s="14" t="s">
        <v>95</v>
      </c>
      <c r="B54" s="12" t="s">
        <v>37</v>
      </c>
      <c r="C54" s="12">
        <f>C53/B53-1</f>
        <v>0.00031029181534814043</v>
      </c>
      <c r="D54" s="12">
        <f>D53/C53-1</f>
        <v>-0.006612805436882252</v>
      </c>
      <c r="E54" s="12">
        <f>E53/D53-1</f>
        <v>0.008856842762653638</v>
      </c>
      <c r="F54" s="12" t="s">
        <v>37</v>
      </c>
      <c r="G54" s="12">
        <f>G53/E53-1</f>
        <v>0.013281184051323836</v>
      </c>
      <c r="H54" s="12">
        <f>H53/G53-1</f>
        <v>0.012385104551386972</v>
      </c>
      <c r="I54" s="60">
        <v>0.01</v>
      </c>
      <c r="J54" s="6" t="s">
        <v>138</v>
      </c>
      <c r="K54" s="2"/>
      <c r="L54" s="2"/>
      <c r="M54" s="2"/>
      <c r="N54" s="2"/>
      <c r="O54" s="2"/>
    </row>
    <row r="55">
      <c r="A55" s="14" t="s">
        <v>122</v>
      </c>
      <c r="B55" s="12" t="s">
        <v>37</v>
      </c>
      <c r="C55" s="12" t="s">
        <v>37</v>
      </c>
      <c r="D55" s="12" t="s">
        <v>37</v>
      </c>
      <c r="E55" s="12" t="s">
        <v>37</v>
      </c>
      <c r="F55" s="12" t="s">
        <v>37</v>
      </c>
      <c r="G55" s="12">
        <f>G53/B53-1</f>
        <v>0.015810778409331316</v>
      </c>
      <c r="H55" s="12">
        <f>H53/C53-1</f>
        <v>0.028072698560410503</v>
      </c>
      <c r="I55" s="35">
        <f>I53/D53-1</f>
        <v>0.04526556334629683</v>
      </c>
      <c r="J55" s="2"/>
      <c r="K55" s="2"/>
      <c r="L55" s="2"/>
      <c r="M55" s="2"/>
      <c r="N55" s="2"/>
      <c r="O55" s="2"/>
    </row>
    <row r="56">
      <c r="A56" s="14" t="s">
        <v>110</v>
      </c>
      <c r="B56" s="1" t="s">
        <v>37</v>
      </c>
      <c r="C56" s="1">
        <f>IF(AND(ISNUMBER(C53),ISNUMBER(B53)),C53-B53,"n/a")</f>
        <v>22</v>
      </c>
      <c r="D56" s="1">
        <f>IF(AND(ISNUMBER(D53),ISNUMBER(C53)),D53-C53,"n/a")</f>
        <v>-469</v>
      </c>
      <c r="E56" s="1">
        <f>IF(AND(ISNUMBER(E53),ISNUMBER(D53)),E53-D53,"n/a")</f>
        <v>624</v>
      </c>
      <c r="F56" s="1" t="s">
        <v>37</v>
      </c>
      <c r="G56" s="1">
        <f>IF(AND(ISNUMBER(G53),ISNUMBER(E53)),G53-E53,"n/a")</f>
        <v>944</v>
      </c>
      <c r="H56" s="1">
        <f>IF(AND(ISNUMBER(H53),ISNUMBER(G53)),H53-G53,"n/a")</f>
        <v>892</v>
      </c>
      <c r="I56" s="13">
        <f>IF(AND(ISNUMBER(I53),ISNUMBER(H53)),I53-H53,"n/a")</f>
        <v>729.1399999999994</v>
      </c>
      <c r="J56" s="2"/>
      <c r="K56" s="2"/>
      <c r="L56" s="2"/>
      <c r="M56" s="2"/>
      <c r="N56" s="2"/>
      <c r="O56" s="2"/>
    </row>
    <row r="57">
      <c r="A57" s="36" t="s">
        <v>168</v>
      </c>
      <c r="B57" s="8">
        <v>91316</v>
      </c>
      <c r="C57" s="8">
        <v>91666</v>
      </c>
      <c r="D57" s="8">
        <v>92392</v>
      </c>
      <c r="E57" s="8">
        <v>92262</v>
      </c>
      <c r="F57" s="3">
        <f>SUMPRODUCT(B57:E57,B$7:E$7)/F$7</f>
        <v>91912.91506849315</v>
      </c>
      <c r="G57" s="8">
        <v>93666</v>
      </c>
      <c r="H57" s="8">
        <v>95736</v>
      </c>
      <c r="I57" s="46">
        <f>H57*(1+I58)</f>
        <v>97650.72</v>
      </c>
      <c r="J57" s="6" t="s">
        <v>274</v>
      </c>
      <c r="K57" s="2"/>
      <c r="L57" s="2"/>
      <c r="M57" s="2"/>
      <c r="N57" s="2"/>
      <c r="O57" s="2"/>
    </row>
    <row r="58">
      <c r="A58" s="14" t="s">
        <v>95</v>
      </c>
      <c r="B58" s="12" t="s">
        <v>37</v>
      </c>
      <c r="C58" s="12">
        <f>C57/B57-1</f>
        <v>0.0038328441894082133</v>
      </c>
      <c r="D58" s="12">
        <f>D57/C57-1</f>
        <v>0.007920057600418806</v>
      </c>
      <c r="E58" s="12">
        <f>E57/D57-1</f>
        <v>-0.001407048229283947</v>
      </c>
      <c r="F58" s="12" t="s">
        <v>37</v>
      </c>
      <c r="G58" s="12">
        <f>G57/E57-1</f>
        <v>0.015217532678675871</v>
      </c>
      <c r="H58" s="12">
        <f>H57/G57-1</f>
        <v>0.022099801422074128</v>
      </c>
      <c r="I58" s="60">
        <v>0.02</v>
      </c>
      <c r="J58" s="6" t="s">
        <v>138</v>
      </c>
      <c r="K58" s="2"/>
      <c r="L58" s="2"/>
      <c r="M58" s="2"/>
      <c r="N58" s="2"/>
      <c r="O58" s="2"/>
    </row>
    <row r="59">
      <c r="A59" s="14" t="s">
        <v>122</v>
      </c>
      <c r="B59" s="12" t="s">
        <v>37</v>
      </c>
      <c r="C59" s="12" t="s">
        <v>37</v>
      </c>
      <c r="D59" s="12" t="s">
        <v>37</v>
      </c>
      <c r="E59" s="12" t="s">
        <v>37</v>
      </c>
      <c r="F59" s="12" t="s">
        <v>37</v>
      </c>
      <c r="G59" s="12">
        <f>G57/B57-1</f>
        <v>0.02573481098602648</v>
      </c>
      <c r="H59" s="12">
        <f>H57/C57-1</f>
        <v>0.04440032291143936</v>
      </c>
      <c r="I59" s="35">
        <f>I57/D57-1</f>
        <v>0.05691748203307645</v>
      </c>
      <c r="J59" s="2"/>
      <c r="K59" s="2"/>
      <c r="L59" s="2"/>
      <c r="M59" s="2"/>
      <c r="N59" s="2"/>
      <c r="O59" s="2"/>
    </row>
    <row r="60">
      <c r="A60" s="14" t="s">
        <v>110</v>
      </c>
      <c r="B60" s="1" t="s">
        <v>37</v>
      </c>
      <c r="C60" s="1">
        <f>IF(AND(ISNUMBER(C57),ISNUMBER(B57)),C57-B57,"n/a")</f>
        <v>350</v>
      </c>
      <c r="D60" s="1">
        <f>IF(AND(ISNUMBER(D57),ISNUMBER(C57)),D57-C57,"n/a")</f>
        <v>726</v>
      </c>
      <c r="E60" s="1">
        <f>IF(AND(ISNUMBER(E57),ISNUMBER(D57)),E57-D57,"n/a")</f>
        <v>-130</v>
      </c>
      <c r="F60" s="1" t="s">
        <v>37</v>
      </c>
      <c r="G60" s="1">
        <f>IF(AND(ISNUMBER(G57),ISNUMBER(E57)),G57-E57,"n/a")</f>
        <v>1404</v>
      </c>
      <c r="H60" s="1">
        <f>IF(AND(ISNUMBER(H57),ISNUMBER(G57)),H57-G57,"n/a")</f>
        <v>2070</v>
      </c>
      <c r="I60" s="13">
        <f>IF(AND(ISNUMBER(I57),ISNUMBER(H57)),I57-H57,"n/a")</f>
        <v>1914.7200000000012</v>
      </c>
      <c r="J60" s="2"/>
      <c r="K60" s="2"/>
      <c r="L60" s="2"/>
      <c r="M60" s="2"/>
      <c r="N60" s="2"/>
      <c r="O60" s="2"/>
    </row>
    <row r="61">
      <c r="A61" s="36" t="s">
        <v>169</v>
      </c>
      <c r="B61" s="8">
        <v>36649</v>
      </c>
      <c r="C61" s="8">
        <v>37959</v>
      </c>
      <c r="D61" s="8">
        <v>39162</v>
      </c>
      <c r="E61" s="8">
        <v>39300</v>
      </c>
      <c r="F61" s="3">
        <f>SUMPRODUCT(B61:E61,B$7:E$7)/F$7</f>
        <v>38277.213698630134</v>
      </c>
      <c r="G61" s="8">
        <v>38028</v>
      </c>
      <c r="H61" s="8">
        <v>37780</v>
      </c>
      <c r="I61" s="46">
        <f>H61*(1+I62)</f>
        <v>37402.2</v>
      </c>
      <c r="J61" s="2"/>
      <c r="K61" s="2"/>
      <c r="L61" s="2"/>
      <c r="M61" s="2"/>
      <c r="N61" s="2"/>
      <c r="O61" s="2"/>
    </row>
    <row r="62">
      <c r="A62" s="14" t="s">
        <v>95</v>
      </c>
      <c r="B62" s="12" t="s">
        <v>37</v>
      </c>
      <c r="C62" s="12">
        <f>C61/B61-1</f>
        <v>0.03574449507489974</v>
      </c>
      <c r="D62" s="12">
        <f>D61/C61-1</f>
        <v>0.031692088832687926</v>
      </c>
      <c r="E62" s="12">
        <f>E61/D61-1</f>
        <v>0.0035238241152137917</v>
      </c>
      <c r="F62" s="12" t="s">
        <v>37</v>
      </c>
      <c r="G62" s="12">
        <f>G61/E61-1</f>
        <v>-0.03236641221374048</v>
      </c>
      <c r="H62" s="12">
        <f>H61/G61-1</f>
        <v>-0.006521510465972491</v>
      </c>
      <c r="I62" s="60">
        <v>-0.01</v>
      </c>
      <c r="J62" s="6" t="s">
        <v>138</v>
      </c>
      <c r="K62" s="2"/>
      <c r="L62" s="2"/>
      <c r="M62" s="2"/>
      <c r="N62" s="2"/>
      <c r="O62" s="2"/>
    </row>
    <row r="63">
      <c r="A63" s="14" t="s">
        <v>122</v>
      </c>
      <c r="B63" s="12" t="s">
        <v>37</v>
      </c>
      <c r="C63" s="12" t="s">
        <v>37</v>
      </c>
      <c r="D63" s="12" t="s">
        <v>37</v>
      </c>
      <c r="E63" s="12" t="s">
        <v>37</v>
      </c>
      <c r="F63" s="12" t="s">
        <v>37</v>
      </c>
      <c r="G63" s="12">
        <f>G61/B61-1</f>
        <v>0.037627220388005034</v>
      </c>
      <c r="H63" s="12">
        <f>H61/C61-1</f>
        <v>-0.004715614215337616</v>
      </c>
      <c r="I63" s="35">
        <f>I61/D61-1</f>
        <v>-0.044936417956182084</v>
      </c>
      <c r="J63" s="2"/>
      <c r="K63" s="2"/>
      <c r="L63" s="2"/>
      <c r="M63" s="2"/>
      <c r="N63" s="2"/>
      <c r="O63" s="2"/>
    </row>
    <row r="64">
      <c r="A64" s="14" t="s">
        <v>110</v>
      </c>
      <c r="B64" s="1" t="s">
        <v>37</v>
      </c>
      <c r="C64" s="1">
        <f>IF(AND(ISNUMBER(C61),ISNUMBER(B61)),C61-B61,"n/a")</f>
        <v>1310</v>
      </c>
      <c r="D64" s="1">
        <f>IF(AND(ISNUMBER(D61),ISNUMBER(C61)),D61-C61,"n/a")</f>
        <v>1203</v>
      </c>
      <c r="E64" s="1">
        <f>IF(AND(ISNUMBER(E61),ISNUMBER(D61)),E61-D61,"n/a")</f>
        <v>138</v>
      </c>
      <c r="F64" s="1" t="s">
        <v>37</v>
      </c>
      <c r="G64" s="1">
        <f>IF(AND(ISNUMBER(G61),ISNUMBER(E61)),G61-E61,"n/a")</f>
        <v>-1272</v>
      </c>
      <c r="H64" s="1">
        <f>IF(AND(ISNUMBER(H61),ISNUMBER(G61)),H61-G61,"n/a")</f>
        <v>-248</v>
      </c>
      <c r="I64" s="13">
        <f>IF(AND(ISNUMBER(I61),ISNUMBER(H61)),I61-H61,"n/a")</f>
        <v>-377.8000000000029</v>
      </c>
      <c r="J64" s="2"/>
      <c r="K64" s="2"/>
      <c r="L64" s="2"/>
      <c r="M64" s="2"/>
      <c r="N64" s="2"/>
      <c r="O64" s="2"/>
    </row>
    <row r="65">
      <c r="A65" s="16" t="s">
        <v>170</v>
      </c>
      <c r="B65" s="15">
        <f>B49+B53+B57+B61</f>
        <v>218070</v>
      </c>
      <c r="C65" s="15">
        <f>C49+C53+C57+C61</f>
        <v>220280</v>
      </c>
      <c r="D65" s="15">
        <f>D49+D53+D57+D61</f>
        <v>221734</v>
      </c>
      <c r="E65" s="15">
        <f>E49+E53+E57+E61</f>
        <v>222122</v>
      </c>
      <c r="F65" s="15">
        <f>F49+F53+F57+F61</f>
        <v>220565.8410958904</v>
      </c>
      <c r="G65" s="15">
        <f>G49+G53+G57+G61</f>
        <v>222096</v>
      </c>
      <c r="H65" s="15">
        <f>H49+H53+H57+H61</f>
        <v>225062</v>
      </c>
      <c r="I65" s="38">
        <f>I49+I53+I57+I61</f>
        <v>227514.38</v>
      </c>
      <c r="J65" s="2"/>
      <c r="K65" s="2"/>
      <c r="L65" s="2"/>
      <c r="M65" s="2"/>
      <c r="N65" s="2"/>
      <c r="O65" s="2"/>
    </row>
    <row r="66">
      <c r="A66" s="19" t="s">
        <v>122</v>
      </c>
      <c r="B66" s="12" t="s">
        <v>37</v>
      </c>
      <c r="C66" s="12" t="s">
        <v>37</v>
      </c>
      <c r="D66" s="12" t="s">
        <v>37</v>
      </c>
      <c r="E66" s="12" t="s">
        <v>37</v>
      </c>
      <c r="F66" s="12" t="s">
        <v>37</v>
      </c>
      <c r="G66" s="12">
        <f>G65/B65-1</f>
        <v>0.018461961755399603</v>
      </c>
      <c r="H66" s="12">
        <f>H65/C65-1</f>
        <v>0.021708734338115043</v>
      </c>
      <c r="I66" s="35">
        <f>I65/D65-1</f>
        <v>0.02606898355687437</v>
      </c>
      <c r="J66" s="2"/>
      <c r="K66" s="2"/>
      <c r="L66" s="2"/>
      <c r="M66" s="2"/>
      <c r="N66" s="2"/>
      <c r="O66" s="2"/>
    </row>
    <row r="67">
      <c r="A67" s="19" t="s">
        <v>110</v>
      </c>
      <c r="B67" s="1" t="s">
        <v>37</v>
      </c>
      <c r="C67" s="1">
        <f>IF(AND(ISNUMBER(C65),ISNUMBER(B65)),C65-B65,"n/a")</f>
        <v>2210</v>
      </c>
      <c r="D67" s="1">
        <f>IF(AND(ISNUMBER(D65),ISNUMBER(C65)),D65-C65,"n/a")</f>
        <v>1454</v>
      </c>
      <c r="E67" s="1">
        <f>IF(AND(ISNUMBER(E65),ISNUMBER(D65)),E65-D65,"n/a")</f>
        <v>388</v>
      </c>
      <c r="F67" s="1" t="s">
        <v>37</v>
      </c>
      <c r="G67" s="1">
        <f>IF(AND(ISNUMBER(G65),ISNUMBER(E65)),G65-E65,"n/a")</f>
        <v>-26</v>
      </c>
      <c r="H67" s="1">
        <f>IF(AND(ISNUMBER(H65),ISNUMBER(G65)),H65-G65,"n/a")</f>
        <v>2966</v>
      </c>
      <c r="I67" s="13">
        <f>IF(AND(ISNUMBER(I65),ISNUMBER(H65)),I65-H65,"n/a")</f>
        <v>2452.3800000000047</v>
      </c>
      <c r="J67" s="2"/>
      <c r="K67" s="2"/>
      <c r="L67" s="2"/>
      <c r="M67" s="2"/>
      <c r="N67" s="2"/>
      <c r="O67" s="2"/>
    </row>
    <row r="68">
      <c r="A68" s="36" t="s">
        <v>171</v>
      </c>
      <c r="B68" s="3">
        <f>B53+B57+B61</f>
        <v>198866</v>
      </c>
      <c r="C68" s="3">
        <f>C53+C57+C61</f>
        <v>200548</v>
      </c>
      <c r="D68" s="3">
        <f>D53+D57+D61</f>
        <v>202008</v>
      </c>
      <c r="E68" s="3">
        <f>E53+E57+E61</f>
        <v>202640</v>
      </c>
      <c r="F68" s="3">
        <f>F53+F57+F61</f>
        <v>201028.55890410958</v>
      </c>
      <c r="G68" s="3">
        <f>G53+G57+G61</f>
        <v>203716</v>
      </c>
      <c r="H68" s="3">
        <f>H53+H57+H61</f>
        <v>206430</v>
      </c>
      <c r="I68" s="46">
        <f>I53+I57+I61</f>
        <v>208696.06</v>
      </c>
      <c r="J68" s="2"/>
      <c r="K68" s="2"/>
      <c r="L68" s="2"/>
      <c r="M68" s="2"/>
      <c r="N68" s="2"/>
      <c r="O68" s="2"/>
    </row>
    <row r="69">
      <c r="A69" s="36" t="s">
        <v>172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>
      <c r="A70" s="62" t="s">
        <v>173</v>
      </c>
      <c r="B70" s="3" t="s">
        <v>37</v>
      </c>
      <c r="C70" s="3">
        <f>B39</f>
        <v>153906</v>
      </c>
      <c r="D70" s="3">
        <f>C39</f>
        <v>149500</v>
      </c>
      <c r="E70" s="3">
        <f>D39</f>
        <v>145906</v>
      </c>
      <c r="F70" s="3" t="s">
        <v>37</v>
      </c>
      <c r="G70" s="3">
        <f>E39</f>
        <v>144919</v>
      </c>
      <c r="H70" s="3">
        <f>G39</f>
        <v>144192</v>
      </c>
      <c r="I70" s="46">
        <f>H39</f>
        <v>144008</v>
      </c>
      <c r="J70" s="2"/>
      <c r="K70" s="2"/>
      <c r="L70" s="2"/>
      <c r="M70" s="2"/>
      <c r="N70" s="2"/>
      <c r="O70" s="2"/>
    </row>
    <row r="71">
      <c r="A71" s="62" t="s">
        <v>174</v>
      </c>
      <c r="B71" s="3" t="s">
        <v>37</v>
      </c>
      <c r="C71" s="8">
        <v>0</v>
      </c>
      <c r="D71" s="8">
        <v>0</v>
      </c>
      <c r="E71" s="8">
        <v>0</v>
      </c>
      <c r="F71" s="3" t="s">
        <v>37</v>
      </c>
      <c r="G71" s="8">
        <v>0</v>
      </c>
      <c r="H71" s="8">
        <v>0</v>
      </c>
      <c r="I71" s="32">
        <v>0</v>
      </c>
      <c r="J71" s="6" t="s">
        <v>175</v>
      </c>
      <c r="K71" s="2"/>
      <c r="L71" s="2"/>
      <c r="M71" s="2"/>
      <c r="N71" s="2"/>
      <c r="O71" s="2"/>
    </row>
    <row r="72">
      <c r="A72" s="62" t="s">
        <v>176</v>
      </c>
      <c r="B72" s="3" t="s">
        <v>37</v>
      </c>
      <c r="C72" s="3">
        <f>-C261</f>
        <v>-66</v>
      </c>
      <c r="D72" s="3">
        <f>-D261</f>
        <v>-74</v>
      </c>
      <c r="E72" s="3">
        <f>-E261</f>
        <v>-79</v>
      </c>
      <c r="F72" s="3" t="s">
        <v>37</v>
      </c>
      <c r="G72" s="3">
        <f>-G261</f>
        <v>-88</v>
      </c>
      <c r="H72" s="3">
        <f>-H261</f>
        <v>-75</v>
      </c>
      <c r="I72" s="46">
        <f>-I261</f>
        <v>-78.78183219726029</v>
      </c>
      <c r="J72" s="2"/>
      <c r="K72" s="2"/>
      <c r="L72" s="2"/>
      <c r="M72" s="2"/>
      <c r="N72" s="2"/>
      <c r="O72" s="2"/>
    </row>
    <row r="73">
      <c r="A73" s="79" t="s">
        <v>177</v>
      </c>
      <c r="B73" s="3" t="s">
        <v>37</v>
      </c>
      <c r="C73" s="3" t="s">
        <v>37</v>
      </c>
      <c r="D73" s="3" t="s">
        <v>37</v>
      </c>
      <c r="E73" s="3" t="s">
        <v>37</v>
      </c>
      <c r="F73" s="3" t="s">
        <v>37</v>
      </c>
      <c r="G73" s="3" t="s">
        <v>37</v>
      </c>
      <c r="H73" s="3" t="s">
        <v>37</v>
      </c>
      <c r="I73" s="46" t="s">
        <v>37</v>
      </c>
      <c r="J73" s="6" t="s">
        <v>178</v>
      </c>
      <c r="K73" s="2"/>
      <c r="L73" s="2"/>
      <c r="M73" s="2"/>
      <c r="N73" s="2"/>
      <c r="O73" s="2"/>
    </row>
    <row r="74">
      <c r="A74" s="79" t="s">
        <v>179</v>
      </c>
      <c r="B74" s="3" t="s">
        <v>37</v>
      </c>
      <c r="C74" s="3" t="s">
        <v>37</v>
      </c>
      <c r="D74" s="3" t="s">
        <v>37</v>
      </c>
      <c r="E74" s="3" t="s">
        <v>37</v>
      </c>
      <c r="F74" s="3" t="s">
        <v>37</v>
      </c>
      <c r="G74" s="3" t="s">
        <v>37</v>
      </c>
      <c r="H74" s="3" t="s">
        <v>37</v>
      </c>
      <c r="I74" s="46" t="s">
        <v>37</v>
      </c>
      <c r="J74" s="6" t="s">
        <v>180</v>
      </c>
      <c r="K74" s="2"/>
      <c r="L74" s="2"/>
      <c r="M74" s="2"/>
      <c r="N74" s="2"/>
      <c r="O74" s="2"/>
    </row>
    <row r="75">
      <c r="A75" s="62" t="s">
        <v>181</v>
      </c>
      <c r="B75" s="3" t="s">
        <v>37</v>
      </c>
      <c r="C75" s="3">
        <f>C76-C70-C71-C72</f>
        <v>-4340</v>
      </c>
      <c r="D75" s="3">
        <f>D76-D70-D71-D72</f>
        <v>-3520</v>
      </c>
      <c r="E75" s="3">
        <f>E76-E70-E71-E72</f>
        <v>-908</v>
      </c>
      <c r="F75" s="3" t="s">
        <v>37</v>
      </c>
      <c r="G75" s="3">
        <f>G76-G70-G71-G72</f>
        <v>-639</v>
      </c>
      <c r="H75" s="3">
        <f>H76-H70-H71-H72</f>
        <v>-109</v>
      </c>
      <c r="I75" s="46">
        <f>I76-I70-I71-I72</f>
        <v>-287.5321678027527</v>
      </c>
      <c r="J75" s="6" t="s">
        <v>182</v>
      </c>
      <c r="K75" s="2"/>
      <c r="L75" s="2"/>
      <c r="M75" s="2"/>
      <c r="N75" s="2"/>
      <c r="O75" s="2"/>
    </row>
    <row r="76">
      <c r="A76" s="73" t="s">
        <v>183</v>
      </c>
      <c r="B76" s="15" t="s">
        <v>37</v>
      </c>
      <c r="C76" s="15">
        <f>C39</f>
        <v>149500</v>
      </c>
      <c r="D76" s="15">
        <f>D39</f>
        <v>145906</v>
      </c>
      <c r="E76" s="15">
        <f>E39</f>
        <v>144919</v>
      </c>
      <c r="F76" s="15" t="s">
        <v>37</v>
      </c>
      <c r="G76" s="15">
        <f>G39</f>
        <v>144192</v>
      </c>
      <c r="H76" s="15">
        <f>H39</f>
        <v>144008</v>
      </c>
      <c r="I76" s="38">
        <f>I39</f>
        <v>143641.686</v>
      </c>
      <c r="J76" s="2"/>
      <c r="K76" s="2"/>
      <c r="L76" s="2"/>
      <c r="M76" s="2"/>
      <c r="N76" s="2"/>
      <c r="O76" s="2"/>
    </row>
    <row r="77">
      <c r="A77" s="61" t="s">
        <v>184</v>
      </c>
      <c r="B77" s="12" t="s">
        <v>37</v>
      </c>
      <c r="C77" s="12">
        <f>C75/C70</f>
        <v>-0.028199030577105506</v>
      </c>
      <c r="D77" s="12">
        <f>D75/D70</f>
        <v>-0.02354515050167224</v>
      </c>
      <c r="E77" s="12">
        <f>E75/E70</f>
        <v>-0.006223184790207394</v>
      </c>
      <c r="F77" s="12" t="s">
        <v>37</v>
      </c>
      <c r="G77" s="12">
        <f>G75/G70</f>
        <v>-0.004409359711286994</v>
      </c>
      <c r="H77" s="12">
        <f>H75/H70</f>
        <v>-0.000755936529072348</v>
      </c>
      <c r="I77" s="35">
        <f>I75/I70</f>
        <v>-0.0019966402408390697</v>
      </c>
      <c r="J77" s="2"/>
      <c r="K77" s="2"/>
      <c r="L77" s="2"/>
      <c r="M77" s="2"/>
      <c r="N77" s="2"/>
      <c r="O77" s="2"/>
    </row>
    <row r="78">
      <c r="A78" s="61" t="s">
        <v>185</v>
      </c>
      <c r="B78" s="69" t="s">
        <v>37</v>
      </c>
      <c r="C78" s="69">
        <f>-C72/C70/(C$7/365)</f>
        <v>0.0017200451881361008</v>
      </c>
      <c r="D78" s="69">
        <f>-D72/D70/(D$7/365)</f>
        <v>0.0019637923513159804</v>
      </c>
      <c r="E78" s="69">
        <f>-E72/E70/(E$7/365)</f>
        <v>0.0021481221679949987</v>
      </c>
      <c r="F78" s="69" t="s">
        <v>37</v>
      </c>
      <c r="G78" s="69">
        <f>-G72/G70/(G$7/365)</f>
        <v>0.002462678385090215</v>
      </c>
      <c r="H78" s="69">
        <f>-H72/H70/(H$7/365)</f>
        <v>0.002086275076454837</v>
      </c>
      <c r="I78" s="67">
        <f>-I72/I70/(I$7/365)</f>
        <v>0.0021704235598022335</v>
      </c>
      <c r="J78" s="2"/>
      <c r="K78" s="2"/>
      <c r="L78" s="2"/>
      <c r="M78" s="2"/>
      <c r="N78" s="2"/>
      <c r="O78" s="2"/>
    </row>
    <row r="79">
      <c r="A79" s="36" t="s">
        <v>186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>
      <c r="A80" s="62" t="s">
        <v>187</v>
      </c>
      <c r="B80" s="3" t="s">
        <v>37</v>
      </c>
      <c r="C80" s="3">
        <f>B65</f>
        <v>218070</v>
      </c>
      <c r="D80" s="3">
        <f>C65</f>
        <v>220280</v>
      </c>
      <c r="E80" s="3">
        <f>D65</f>
        <v>221734</v>
      </c>
      <c r="F80" s="3" t="s">
        <v>37</v>
      </c>
      <c r="G80" s="3">
        <f>E65</f>
        <v>222122</v>
      </c>
      <c r="H80" s="3">
        <f>G65</f>
        <v>222096</v>
      </c>
      <c r="I80" s="46">
        <f>H65</f>
        <v>225062</v>
      </c>
      <c r="J80" s="2"/>
      <c r="K80" s="2"/>
      <c r="L80" s="2"/>
      <c r="M80" s="2"/>
      <c r="N80" s="2"/>
      <c r="O80" s="2"/>
    </row>
    <row r="81">
      <c r="A81" s="79" t="s">
        <v>188</v>
      </c>
      <c r="B81" s="3" t="s">
        <v>37</v>
      </c>
      <c r="C81" s="3">
        <f>C49-B49</f>
        <v>528</v>
      </c>
      <c r="D81" s="3">
        <f>D49-C49</f>
        <v>-6</v>
      </c>
      <c r="E81" s="3">
        <f>E49-D49</f>
        <v>-244</v>
      </c>
      <c r="F81" s="3" t="s">
        <v>37</v>
      </c>
      <c r="G81" s="3">
        <f>G49-E49</f>
        <v>-1102</v>
      </c>
      <c r="H81" s="3">
        <f>H49-G49</f>
        <v>252</v>
      </c>
      <c r="I81" s="46">
        <f>I49-H49</f>
        <v>186.3199999999997</v>
      </c>
      <c r="J81" s="2"/>
      <c r="K81" s="2"/>
      <c r="L81" s="2"/>
      <c r="M81" s="2"/>
      <c r="N81" s="2"/>
      <c r="O81" s="2"/>
    </row>
    <row r="82">
      <c r="A82" s="79" t="s">
        <v>189</v>
      </c>
      <c r="B82" s="3" t="s">
        <v>37</v>
      </c>
      <c r="C82" s="3">
        <f>C53-B53</f>
        <v>22</v>
      </c>
      <c r="D82" s="3">
        <f>D53-C53</f>
        <v>-469</v>
      </c>
      <c r="E82" s="3">
        <f>E53-D53</f>
        <v>624</v>
      </c>
      <c r="F82" s="3" t="s">
        <v>37</v>
      </c>
      <c r="G82" s="3">
        <f>G53-E53</f>
        <v>944</v>
      </c>
      <c r="H82" s="3">
        <f>H53-G53</f>
        <v>892</v>
      </c>
      <c r="I82" s="46">
        <f>I53-H53</f>
        <v>729.1399999999994</v>
      </c>
      <c r="J82" s="2"/>
      <c r="K82" s="2"/>
      <c r="L82" s="2"/>
      <c r="M82" s="2"/>
      <c r="N82" s="2"/>
      <c r="O82" s="2"/>
    </row>
    <row r="83">
      <c r="A83" s="79" t="s">
        <v>190</v>
      </c>
      <c r="B83" s="3" t="s">
        <v>37</v>
      </c>
      <c r="C83" s="3">
        <f>C57-B57</f>
        <v>350</v>
      </c>
      <c r="D83" s="3">
        <f>D57-C57</f>
        <v>726</v>
      </c>
      <c r="E83" s="3">
        <f>E57-D57</f>
        <v>-130</v>
      </c>
      <c r="F83" s="3" t="s">
        <v>37</v>
      </c>
      <c r="G83" s="3">
        <f>G57-E57</f>
        <v>1404</v>
      </c>
      <c r="H83" s="3">
        <f>H57-G57</f>
        <v>2070</v>
      </c>
      <c r="I83" s="46">
        <f>I57-H57</f>
        <v>1914.7200000000012</v>
      </c>
      <c r="J83" s="2"/>
      <c r="K83" s="2"/>
      <c r="L83" s="2"/>
      <c r="M83" s="2"/>
      <c r="N83" s="2"/>
      <c r="O83" s="2"/>
    </row>
    <row r="84">
      <c r="A84" s="79" t="s">
        <v>191</v>
      </c>
      <c r="B84" s="3" t="s">
        <v>37</v>
      </c>
      <c r="C84" s="3">
        <f>C61-B61</f>
        <v>1310</v>
      </c>
      <c r="D84" s="3">
        <f>D61-C61</f>
        <v>1203</v>
      </c>
      <c r="E84" s="3">
        <f>E61-D61</f>
        <v>138</v>
      </c>
      <c r="F84" s="3" t="s">
        <v>37</v>
      </c>
      <c r="G84" s="3">
        <f>G61-E61</f>
        <v>-1272</v>
      </c>
      <c r="H84" s="3">
        <f>H61-G61</f>
        <v>-248</v>
      </c>
      <c r="I84" s="46">
        <f>I61-H61</f>
        <v>-377.8000000000029</v>
      </c>
      <c r="J84" s="2"/>
      <c r="K84" s="2"/>
      <c r="L84" s="2"/>
      <c r="M84" s="2"/>
      <c r="N84" s="2"/>
      <c r="O84" s="2"/>
    </row>
    <row r="85">
      <c r="A85" s="73" t="s">
        <v>192</v>
      </c>
      <c r="B85" s="15" t="s">
        <v>37</v>
      </c>
      <c r="C85" s="15">
        <f>C81+C82+C83+C84</f>
        <v>2210</v>
      </c>
      <c r="D85" s="15">
        <f>D81+D82+D83+D84</f>
        <v>1454</v>
      </c>
      <c r="E85" s="15">
        <f>E81+E82+E83+E84</f>
        <v>388</v>
      </c>
      <c r="F85" s="15" t="s">
        <v>37</v>
      </c>
      <c r="G85" s="15">
        <f>G81+G82+G83+G84</f>
        <v>-26</v>
      </c>
      <c r="H85" s="15">
        <f>H81+H82+H83+H84</f>
        <v>2966</v>
      </c>
      <c r="I85" s="38">
        <f>I81+I82+I83+I84</f>
        <v>2452.3799999999974</v>
      </c>
      <c r="J85" s="2"/>
      <c r="K85" s="2"/>
      <c r="L85" s="2"/>
      <c r="M85" s="2"/>
      <c r="N85" s="2"/>
      <c r="O85" s="2"/>
    </row>
    <row r="86">
      <c r="A86" s="73" t="s">
        <v>193</v>
      </c>
      <c r="B86" s="15" t="s">
        <v>37</v>
      </c>
      <c r="C86" s="15">
        <f>C80+C85</f>
        <v>220280</v>
      </c>
      <c r="D86" s="15">
        <f>D80+D85</f>
        <v>221734</v>
      </c>
      <c r="E86" s="15">
        <f>E80+E85</f>
        <v>222122</v>
      </c>
      <c r="F86" s="15" t="s">
        <v>37</v>
      </c>
      <c r="G86" s="15">
        <f>G80+G85</f>
        <v>222096</v>
      </c>
      <c r="H86" s="15">
        <f>H80+H85</f>
        <v>225062</v>
      </c>
      <c r="I86" s="38">
        <f>I80+I85</f>
        <v>227514.38</v>
      </c>
      <c r="J86" s="2"/>
      <c r="K86" s="2"/>
      <c r="L86" s="2"/>
      <c r="M86" s="2"/>
      <c r="N86" s="2"/>
      <c r="O86" s="2"/>
    </row>
    <row r="87">
      <c r="A87" s="62" t="s">
        <v>194</v>
      </c>
      <c r="B87" s="3" t="s">
        <v>37</v>
      </c>
      <c r="C87" s="3">
        <f>(C80+C86)/2</f>
        <v>219175</v>
      </c>
      <c r="D87" s="3">
        <f>(D80+D86)/2</f>
        <v>221007</v>
      </c>
      <c r="E87" s="3">
        <f>(E80+E86)/2</f>
        <v>221928</v>
      </c>
      <c r="F87" s="3" t="s">
        <v>37</v>
      </c>
      <c r="G87" s="3">
        <f>(G80+G86)/2</f>
        <v>222109</v>
      </c>
      <c r="H87" s="3">
        <f>(H80+H86)/2</f>
        <v>223579</v>
      </c>
      <c r="I87" s="46">
        <f>(I80+I86)/2</f>
        <v>226288.19</v>
      </c>
      <c r="J87" s="2"/>
      <c r="K87" s="2"/>
      <c r="L87" s="2"/>
      <c r="M87" s="2"/>
      <c r="N87" s="2"/>
      <c r="O87" s="2"/>
    </row>
    <row r="88">
      <c r="A88" s="61" t="s">
        <v>195</v>
      </c>
      <c r="B88" s="12" t="s">
        <v>37</v>
      </c>
      <c r="C88" s="12">
        <f>C85/C80</f>
        <v>0.010134360526436466</v>
      </c>
      <c r="D88" s="12">
        <f>D85/D80</f>
        <v>0.006600690030869802</v>
      </c>
      <c r="E88" s="12">
        <f>E85/E80</f>
        <v>0.0017498444081647379</v>
      </c>
      <c r="F88" s="12" t="s">
        <v>37</v>
      </c>
      <c r="G88" s="12">
        <f>G85/G80</f>
        <v>-0.0001170527908086547</v>
      </c>
      <c r="H88" s="12">
        <f>H85/H80</f>
        <v>0.013354585404509761</v>
      </c>
      <c r="I88" s="35">
        <f>I85/I80</f>
        <v>0.010896464085451998</v>
      </c>
      <c r="J88" s="2"/>
      <c r="K88" s="2"/>
      <c r="L88" s="2"/>
      <c r="M88" s="2"/>
      <c r="N88" s="2"/>
      <c r="O88" s="2"/>
    </row>
    <row r="89">
      <c r="A89" s="26" t="s">
        <v>196</v>
      </c>
      <c r="B89" s="12">
        <f>B39/B65</f>
        <v>0.7057642041546293</v>
      </c>
      <c r="C89" s="12">
        <f>C39/C65</f>
        <v>0.678681677864536</v>
      </c>
      <c r="D89" s="12">
        <f>D39/D65</f>
        <v>0.6580226758187738</v>
      </c>
      <c r="E89" s="12">
        <f>E39/E65</f>
        <v>0.6524297458153627</v>
      </c>
      <c r="F89" s="12">
        <f>F39/F65</f>
        <v>0.6733856080150118</v>
      </c>
      <c r="G89" s="12">
        <f>G39/G65</f>
        <v>0.6492327642100714</v>
      </c>
      <c r="H89" s="12">
        <f>H39/H65</f>
        <v>0.6398592387875341</v>
      </c>
      <c r="I89" s="35">
        <f>I39/I65</f>
        <v>0.6313521193693339</v>
      </c>
      <c r="J89" s="2"/>
      <c r="K89" s="2"/>
      <c r="L89" s="2"/>
      <c r="M89" s="2"/>
      <c r="N89" s="2"/>
      <c r="O89" s="2"/>
    </row>
    <row r="90">
      <c r="A90" s="19" t="s">
        <v>144</v>
      </c>
      <c r="B90" s="5" t="s">
        <v>37</v>
      </c>
      <c r="C90" s="5">
        <f>IF(AND(ISNUMBER(C89),ISNUMBER(B89)),(C89-B89)*10000,"n/a")</f>
        <v>-270.8252629009322</v>
      </c>
      <c r="D90" s="5">
        <f>IF(AND(ISNUMBER(D89),ISNUMBER(C89)),(D89-C89)*10000,"n/a")</f>
        <v>-206.5900204576221</v>
      </c>
      <c r="E90" s="5">
        <f>IF(AND(ISNUMBER(E89),ISNUMBER(D89)),(E89-D89)*10000,"n/a")</f>
        <v>-55.92930003411101</v>
      </c>
      <c r="F90" s="5" t="s">
        <v>37</v>
      </c>
      <c r="G90" s="5">
        <f>IF(AND(ISNUMBER(G89),ISNUMBER(E89)),(G89-E89)*10000,"n/a")</f>
        <v>-31.9698160529136</v>
      </c>
      <c r="H90" s="5">
        <f>IF(AND(ISNUMBER(H89),ISNUMBER(G89)),(H89-G89)*10000,"n/a")</f>
        <v>-93.73525422537222</v>
      </c>
      <c r="I90" s="45">
        <f>IF(AND(ISNUMBER(I89),ISNUMBER(H89)),(I89-H89)*10000,"n/a")</f>
        <v>-85.0711941820026</v>
      </c>
      <c r="J90" s="2"/>
      <c r="K90" s="2"/>
      <c r="L90" s="2"/>
      <c r="M90" s="2"/>
      <c r="N90" s="2"/>
      <c r="O90" s="2"/>
    </row>
    <row r="91">
      <c r="A91" s="19" t="s">
        <v>145</v>
      </c>
      <c r="B91" s="5" t="s">
        <v>37</v>
      </c>
      <c r="C91" s="5" t="s">
        <v>37</v>
      </c>
      <c r="D91" s="5" t="s">
        <v>37</v>
      </c>
      <c r="E91" s="5" t="s">
        <v>37</v>
      </c>
      <c r="F91" s="5" t="s">
        <v>37</v>
      </c>
      <c r="G91" s="5">
        <f>IF(AND(ISNUMBER(G89),ISNUMBER(B89)),(G89-B89)*10000,"n/a")</f>
        <v>-565.3143994455789</v>
      </c>
      <c r="H91" s="5">
        <f>IF(AND(ISNUMBER(H89),ISNUMBER(C89)),(H89-C89)*10000,"n/a")</f>
        <v>-388.2243907700189</v>
      </c>
      <c r="I91" s="45">
        <f>IF(AND(ISNUMBER(I89),ISNUMBER(D89)),(I89-D89)*10000,"n/a")</f>
        <v>-266.7055644943994</v>
      </c>
      <c r="J91" s="2"/>
      <c r="K91" s="2"/>
      <c r="L91" s="2"/>
      <c r="M91" s="2"/>
      <c r="N91" s="2"/>
      <c r="O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>
      <c r="A93" s="16" t="s">
        <v>197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>
      <c r="A94" s="26" t="s">
        <v>198</v>
      </c>
      <c r="B94" s="58">
        <v>0.0461</v>
      </c>
      <c r="C94" s="58">
        <v>0.0478</v>
      </c>
      <c r="D94" s="58">
        <v>0.0494</v>
      </c>
      <c r="E94" s="58">
        <v>0.0473</v>
      </c>
      <c r="F94" s="69">
        <f>F97/F46/(F$7/365)</f>
        <v>0.04763505525830267</v>
      </c>
      <c r="G94" s="58">
        <v>0.0498</v>
      </c>
      <c r="H94" s="58">
        <v>0.0502</v>
      </c>
      <c r="I94" s="75">
        <v>0.05</v>
      </c>
      <c r="J94" s="6" t="s">
        <v>275</v>
      </c>
      <c r="K94" s="2"/>
      <c r="L94" s="2"/>
      <c r="M94" s="2"/>
      <c r="N94" s="2"/>
      <c r="O94" s="2"/>
    </row>
    <row r="95">
      <c r="A95" s="19" t="s">
        <v>144</v>
      </c>
      <c r="B95" s="5" t="s">
        <v>37</v>
      </c>
      <c r="C95" s="5">
        <f>IF(AND(ISNUMBER(C94),ISNUMBER(B94)),(C94-B94)*10000,"n/a")</f>
        <v>17</v>
      </c>
      <c r="D95" s="5">
        <f>IF(AND(ISNUMBER(D94),ISNUMBER(C94)),(D94-C94)*10000,"n/a")</f>
        <v>15.999999999999973</v>
      </c>
      <c r="E95" s="5">
        <f>IF(AND(ISNUMBER(E94),ISNUMBER(D94)),(E94-D94)*10000,"n/a")</f>
        <v>-20.99999999999998</v>
      </c>
      <c r="F95" s="5" t="s">
        <v>37</v>
      </c>
      <c r="G95" s="5">
        <f>IF(AND(ISNUMBER(G94),ISNUMBER(E94)),(G94-E94)*10000,"n/a")</f>
        <v>24.999999999999954</v>
      </c>
      <c r="H95" s="5">
        <f>IF(AND(ISNUMBER(H94),ISNUMBER(G94)),(H94-G94)*10000,"n/a")</f>
        <v>4.000000000000045</v>
      </c>
      <c r="I95" s="45">
        <f>IF(AND(ISNUMBER(I94),ISNUMBER(H94)),(I94-H94)*10000,"n/a")</f>
        <v>-1.999999999999988</v>
      </c>
      <c r="J95" s="2"/>
      <c r="K95" s="2"/>
      <c r="L95" s="2"/>
      <c r="M95" s="2"/>
      <c r="N95" s="2"/>
      <c r="O95" s="2"/>
    </row>
    <row r="96">
      <c r="A96" s="19" t="s">
        <v>145</v>
      </c>
      <c r="B96" s="5" t="s">
        <v>37</v>
      </c>
      <c r="C96" s="5" t="s">
        <v>37</v>
      </c>
      <c r="D96" s="5" t="s">
        <v>37</v>
      </c>
      <c r="E96" s="5" t="s">
        <v>37</v>
      </c>
      <c r="F96" s="5" t="s">
        <v>37</v>
      </c>
      <c r="G96" s="5">
        <f>IF(AND(ISNUMBER(G94),ISNUMBER(B94)),(G94-B94)*10000,"n/a")</f>
        <v>36.99999999999995</v>
      </c>
      <c r="H96" s="5">
        <f>IF(AND(ISNUMBER(H94),ISNUMBER(C94)),(H94-C94)*10000,"n/a")</f>
        <v>23.999999999999993</v>
      </c>
      <c r="I96" s="45">
        <f>IF(AND(ISNUMBER(I94),ISNUMBER(D94)),(I94-D94)*10000,"n/a")</f>
        <v>6.000000000000033</v>
      </c>
      <c r="J96" s="2"/>
      <c r="K96" s="2"/>
      <c r="L96" s="2"/>
      <c r="M96" s="2"/>
      <c r="N96" s="2"/>
      <c r="O96" s="2"/>
    </row>
    <row r="97">
      <c r="A97" s="16" t="s">
        <v>121</v>
      </c>
      <c r="B97" s="20">
        <v>1768</v>
      </c>
      <c r="C97" s="20">
        <v>1841</v>
      </c>
      <c r="D97" s="20">
        <v>1847</v>
      </c>
      <c r="E97" s="20">
        <v>1760</v>
      </c>
      <c r="F97" s="9">
        <f>SUM(B97:E97)</f>
        <v>7216</v>
      </c>
      <c r="G97" s="20">
        <v>1799</v>
      </c>
      <c r="H97" s="20">
        <v>1836</v>
      </c>
      <c r="I97" s="31">
        <f>I46*I94*(I$7/365)</f>
        <v>1843.676042739726</v>
      </c>
      <c r="J97" s="2"/>
      <c r="K97" s="2"/>
      <c r="L97" s="2"/>
      <c r="M97" s="2"/>
      <c r="N97" s="2"/>
      <c r="O97" s="2"/>
    </row>
    <row r="98">
      <c r="A98" s="19" t="s">
        <v>97</v>
      </c>
      <c r="B98" s="12" t="s">
        <v>37</v>
      </c>
      <c r="C98" s="12" t="s">
        <v>37</v>
      </c>
      <c r="D98" s="12" t="s">
        <v>37</v>
      </c>
      <c r="E98" s="12" t="s">
        <v>37</v>
      </c>
      <c r="F98" s="12" t="s">
        <v>37</v>
      </c>
      <c r="G98" s="12">
        <f>G97/B97-1</f>
        <v>0.017533936651583648</v>
      </c>
      <c r="H98" s="12">
        <f>H97/C97-1</f>
        <v>-0.0027159152634438355</v>
      </c>
      <c r="I98" s="35">
        <f>I97/D97-1</f>
        <v>-0.001799652008811048</v>
      </c>
      <c r="J98" s="2"/>
      <c r="K98" s="2"/>
      <c r="L98" s="2"/>
      <c r="M98" s="2"/>
      <c r="N98" s="2"/>
      <c r="O98" s="2"/>
    </row>
    <row r="99">
      <c r="A99" s="19" t="s">
        <v>98</v>
      </c>
      <c r="B99" s="12" t="s">
        <v>37</v>
      </c>
      <c r="C99" s="12" t="s">
        <v>37</v>
      </c>
      <c r="D99" s="12" t="s">
        <v>37</v>
      </c>
      <c r="E99" s="12" t="s">
        <v>37</v>
      </c>
      <c r="F99" s="12" t="s">
        <v>37</v>
      </c>
      <c r="G99" s="65">
        <v>0</v>
      </c>
      <c r="H99" s="65">
        <v>0</v>
      </c>
      <c r="I99" s="60">
        <v>0</v>
      </c>
      <c r="J99" s="6" t="s">
        <v>106</v>
      </c>
      <c r="K99" s="2"/>
      <c r="L99" s="2"/>
      <c r="M99" s="2"/>
      <c r="N99" s="2"/>
      <c r="O99" s="2"/>
    </row>
    <row r="100">
      <c r="A100" s="19" t="s">
        <v>100</v>
      </c>
      <c r="B100" s="12" t="s">
        <v>37</v>
      </c>
      <c r="C100" s="12" t="s">
        <v>37</v>
      </c>
      <c r="D100" s="12" t="s">
        <v>37</v>
      </c>
      <c r="E100" s="12" t="s">
        <v>37</v>
      </c>
      <c r="F100" s="12" t="s">
        <v>37</v>
      </c>
      <c r="G100" s="12" t="s">
        <v>37</v>
      </c>
      <c r="H100" s="12" t="s">
        <v>37</v>
      </c>
      <c r="I100" s="35" t="s">
        <v>37</v>
      </c>
      <c r="J100" s="6" t="s">
        <v>101</v>
      </c>
      <c r="K100" s="2"/>
      <c r="L100" s="2"/>
      <c r="M100" s="2"/>
      <c r="N100" s="2"/>
      <c r="O100" s="2"/>
    </row>
    <row r="101">
      <c r="A101" s="19" t="s">
        <v>102</v>
      </c>
      <c r="B101" s="12" t="s">
        <v>37</v>
      </c>
      <c r="C101" s="12" t="s">
        <v>37</v>
      </c>
      <c r="D101" s="12" t="s">
        <v>37</v>
      </c>
      <c r="E101" s="12" t="s">
        <v>37</v>
      </c>
      <c r="F101" s="12" t="s">
        <v>37</v>
      </c>
      <c r="G101" s="12" t="str">
        <f>IF(ISNUMBER(G100),(1+G98)/((1+G99)*(1+G100))-1,"n/a")</f>
        <v>n/a</v>
      </c>
      <c r="H101" s="12" t="str">
        <f>IF(ISNUMBER(H100),(1+H98)/((1+H99)*(1+H100))-1,"n/a")</f>
        <v>n/a</v>
      </c>
      <c r="I101" s="35" t="str">
        <f>IF(ISNUMBER(I100),(1+I98)/((1+I99)*(1+I100))-1,"n/a")</f>
        <v>n/a</v>
      </c>
      <c r="J101" s="6" t="s">
        <v>103</v>
      </c>
      <c r="K101" s="2"/>
      <c r="L101" s="2"/>
      <c r="M101" s="2"/>
      <c r="N101" s="2"/>
      <c r="O101" s="2"/>
    </row>
    <row r="102">
      <c r="A102" s="19" t="s">
        <v>104</v>
      </c>
      <c r="B102" s="12" t="s">
        <v>37</v>
      </c>
      <c r="C102" s="12" t="s">
        <v>37</v>
      </c>
      <c r="D102" s="12" t="s">
        <v>37</v>
      </c>
      <c r="E102" s="12" t="s">
        <v>37</v>
      </c>
      <c r="F102" s="12" t="s">
        <v>37</v>
      </c>
      <c r="G102" s="12">
        <f>IF(ISNUMBER(G99),G98-G99,"n/a")</f>
        <v>0.017533936651583648</v>
      </c>
      <c r="H102" s="12">
        <f>IF(ISNUMBER(H99),H98-H99,"n/a")</f>
        <v>-0.0027159152634438355</v>
      </c>
      <c r="I102" s="35">
        <f>IF(ISNUMBER(I99),I98-I99,"n/a")</f>
        <v>-0.001799652008811048</v>
      </c>
      <c r="J102" s="2"/>
      <c r="K102" s="2"/>
      <c r="L102" s="2"/>
      <c r="M102" s="2"/>
      <c r="N102" s="2"/>
      <c r="O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>
      <c r="A104" s="16" t="s">
        <v>201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>
      <c r="A105" s="36" t="s">
        <v>276</v>
      </c>
      <c r="B105" s="8">
        <v>125</v>
      </c>
      <c r="C105" s="8">
        <v>135</v>
      </c>
      <c r="D105" s="8">
        <v>136</v>
      </c>
      <c r="E105" s="8">
        <v>136</v>
      </c>
      <c r="F105" s="3">
        <f>SUM(B105:E105)</f>
        <v>532</v>
      </c>
      <c r="G105" s="8">
        <v>128</v>
      </c>
      <c r="H105" s="8">
        <v>140</v>
      </c>
      <c r="I105" s="49">
        <f>'Segment - Payment Services'!I13*I106</f>
        <v>142.32376200000002</v>
      </c>
      <c r="J105" s="6" t="s">
        <v>277</v>
      </c>
      <c r="K105" s="2"/>
      <c r="L105" s="2"/>
      <c r="M105" s="2"/>
      <c r="N105" s="2"/>
      <c r="O105" s="2"/>
    </row>
    <row r="106">
      <c r="A106" s="14" t="s">
        <v>278</v>
      </c>
      <c r="B106" s="64">
        <f>B105/'Segment - Payment Services'!B13</f>
        <v>0.0051018325782621115</v>
      </c>
      <c r="C106" s="64">
        <f>C105/'Segment - Payment Services'!C13</f>
        <v>0.005140115747791654</v>
      </c>
      <c r="D106" s="64">
        <f>D105/'Segment - Payment Services'!D13</f>
        <v>0.005165799369468606</v>
      </c>
      <c r="E106" s="64">
        <f>E105/'Segment - Payment Services'!E13</f>
        <v>0.0050568900126422255</v>
      </c>
      <c r="F106" s="64">
        <f>F105/'Segment - Payment Services'!F13</f>
        <v>0.00511607331756198</v>
      </c>
      <c r="G106" s="64">
        <f>G105/'Segment - Payment Services'!G13</f>
        <v>0.00490948143602332</v>
      </c>
      <c r="H106" s="64">
        <f>H105/'Segment - Payment Services'!H13</f>
        <v>0.004944899689177734</v>
      </c>
      <c r="I106" s="75">
        <v>0.0051</v>
      </c>
      <c r="J106" s="6" t="s">
        <v>138</v>
      </c>
      <c r="K106" s="2"/>
      <c r="L106" s="2"/>
      <c r="M106" s="2"/>
      <c r="N106" s="2"/>
      <c r="O106" s="2"/>
    </row>
    <row r="107">
      <c r="A107" s="61" t="s">
        <v>144</v>
      </c>
      <c r="B107" s="5" t="s">
        <v>37</v>
      </c>
      <c r="C107" s="5">
        <f>IF(AND(ISNUMBER(C106),ISNUMBER(B106)),(C106-B106)*10000,"n/a")</f>
        <v>0.3828316952954238</v>
      </c>
      <c r="D107" s="5">
        <f>IF(AND(ISNUMBER(D106),ISNUMBER(C106)),(D106-C106)*10000,"n/a")</f>
        <v>0.25683621676952406</v>
      </c>
      <c r="E107" s="5">
        <f>IF(AND(ISNUMBER(E106),ISNUMBER(D106)),(E106-D106)*10000,"n/a")</f>
        <v>-1.0890935682638085</v>
      </c>
      <c r="F107" s="5" t="s">
        <v>37</v>
      </c>
      <c r="G107" s="5">
        <f>IF(AND(ISNUMBER(G106),ISNUMBER(E106)),(G106-E106)*10000,"n/a")</f>
        <v>-1.4740857661890532</v>
      </c>
      <c r="H107" s="5">
        <f>IF(AND(ISNUMBER(H106),ISNUMBER(G106)),(H106-G106)*10000,"n/a")</f>
        <v>0.3541825315441383</v>
      </c>
      <c r="I107" s="45">
        <f>IF(AND(ISNUMBER(I106),ISNUMBER(H106)),(I106-H106)*10000,"n/a")</f>
        <v>1.5510031082226639</v>
      </c>
      <c r="J107" s="2"/>
      <c r="K107" s="2"/>
      <c r="L107" s="2"/>
      <c r="M107" s="2"/>
      <c r="N107" s="2"/>
      <c r="O107" s="2"/>
    </row>
    <row r="108">
      <c r="A108" s="61" t="s">
        <v>145</v>
      </c>
      <c r="B108" s="5" t="s">
        <v>37</v>
      </c>
      <c r="C108" s="5" t="s">
        <v>37</v>
      </c>
      <c r="D108" s="5" t="s">
        <v>37</v>
      </c>
      <c r="E108" s="5" t="s">
        <v>37</v>
      </c>
      <c r="F108" s="5" t="s">
        <v>37</v>
      </c>
      <c r="G108" s="5">
        <f>IF(AND(ISNUMBER(G106),ISNUMBER(B106)),(G106-B106)*10000,"n/a")</f>
        <v>-1.923511422387914</v>
      </c>
      <c r="H108" s="5">
        <f>IF(AND(ISNUMBER(H106),ISNUMBER(C106)),(H106-C106)*10000,"n/a")</f>
        <v>-1.9521605861391993</v>
      </c>
      <c r="I108" s="45">
        <f>IF(AND(ISNUMBER(I106),ISNUMBER(D106)),(I106-D106)*10000,"n/a")</f>
        <v>-0.6579936946860595</v>
      </c>
      <c r="J108" s="2"/>
      <c r="K108" s="2"/>
      <c r="L108" s="2"/>
      <c r="M108" s="2"/>
      <c r="N108" s="2"/>
      <c r="O108" s="2"/>
    </row>
    <row r="109">
      <c r="A109" s="14" t="s">
        <v>122</v>
      </c>
      <c r="B109" s="12" t="s">
        <v>37</v>
      </c>
      <c r="C109" s="12" t="s">
        <v>37</v>
      </c>
      <c r="D109" s="12" t="s">
        <v>37</v>
      </c>
      <c r="E109" s="12" t="s">
        <v>37</v>
      </c>
      <c r="F109" s="12" t="s">
        <v>37</v>
      </c>
      <c r="G109" s="12">
        <f>G105/B105-1</f>
        <v>0.02400000000000002</v>
      </c>
      <c r="H109" s="12">
        <f>H105/C105-1</f>
        <v>0.03703703703703698</v>
      </c>
      <c r="I109" s="35">
        <f>I105/D105-1</f>
        <v>0.046498250000000185</v>
      </c>
      <c r="J109" s="2"/>
      <c r="K109" s="2"/>
      <c r="L109" s="2"/>
      <c r="M109" s="2"/>
      <c r="N109" s="2"/>
      <c r="O109" s="2"/>
    </row>
    <row r="110">
      <c r="A110" s="14" t="s">
        <v>110</v>
      </c>
      <c r="B110" s="1" t="s">
        <v>37</v>
      </c>
      <c r="C110" s="1">
        <f>IF(AND(ISNUMBER(C105),ISNUMBER(B105)),C105-B105,"n/a")</f>
        <v>10</v>
      </c>
      <c r="D110" s="1">
        <f>IF(AND(ISNUMBER(D105),ISNUMBER(C105)),D105-C105,"n/a")</f>
        <v>1</v>
      </c>
      <c r="E110" s="1">
        <f>IF(AND(ISNUMBER(E105),ISNUMBER(D105)),E105-D105,"n/a")</f>
        <v>0</v>
      </c>
      <c r="F110" s="1" t="s">
        <v>37</v>
      </c>
      <c r="G110" s="1">
        <f>IF(AND(ISNUMBER(G105),ISNUMBER(E105)),G105-E105,"n/a")</f>
        <v>-8</v>
      </c>
      <c r="H110" s="1">
        <f>IF(AND(ISNUMBER(H105),ISNUMBER(G105)),H105-G105,"n/a")</f>
        <v>12</v>
      </c>
      <c r="I110" s="13">
        <f>IF(AND(ISNUMBER(I105),ISNUMBER(H105)),I105-H105,"n/a")</f>
        <v>2.3237620000000163</v>
      </c>
      <c r="J110" s="2"/>
      <c r="K110" s="2"/>
      <c r="L110" s="2"/>
      <c r="M110" s="2"/>
      <c r="N110" s="2"/>
      <c r="O110" s="2"/>
    </row>
    <row r="111">
      <c r="A111" s="14" t="s">
        <v>98</v>
      </c>
      <c r="B111" s="12" t="s">
        <v>37</v>
      </c>
      <c r="C111" s="12" t="s">
        <v>37</v>
      </c>
      <c r="D111" s="12" t="s">
        <v>37</v>
      </c>
      <c r="E111" s="12" t="s">
        <v>37</v>
      </c>
      <c r="F111" s="12" t="s">
        <v>37</v>
      </c>
      <c r="G111" s="65">
        <v>0</v>
      </c>
      <c r="H111" s="65">
        <v>0</v>
      </c>
      <c r="I111" s="60">
        <v>0</v>
      </c>
      <c r="J111" s="6" t="s">
        <v>106</v>
      </c>
      <c r="K111" s="2"/>
      <c r="L111" s="2"/>
      <c r="M111" s="2"/>
      <c r="N111" s="2"/>
      <c r="O111" s="2"/>
    </row>
    <row r="112">
      <c r="A112" s="14" t="s">
        <v>100</v>
      </c>
      <c r="B112" s="12" t="s">
        <v>37</v>
      </c>
      <c r="C112" s="12" t="s">
        <v>37</v>
      </c>
      <c r="D112" s="12" t="s">
        <v>37</v>
      </c>
      <c r="E112" s="12" t="s">
        <v>37</v>
      </c>
      <c r="F112" s="12" t="s">
        <v>37</v>
      </c>
      <c r="G112" s="12" t="s">
        <v>37</v>
      </c>
      <c r="H112" s="12" t="s">
        <v>37</v>
      </c>
      <c r="I112" s="35" t="s">
        <v>37</v>
      </c>
      <c r="J112" s="6" t="s">
        <v>101</v>
      </c>
      <c r="K112" s="2"/>
      <c r="L112" s="2"/>
      <c r="M112" s="2"/>
      <c r="N112" s="2"/>
      <c r="O112" s="2"/>
    </row>
    <row r="113">
      <c r="A113" s="14" t="s">
        <v>102</v>
      </c>
      <c r="B113" s="12" t="s">
        <v>37</v>
      </c>
      <c r="C113" s="12" t="s">
        <v>37</v>
      </c>
      <c r="D113" s="12" t="s">
        <v>37</v>
      </c>
      <c r="E113" s="12" t="s">
        <v>37</v>
      </c>
      <c r="F113" s="12" t="s">
        <v>37</v>
      </c>
      <c r="G113" s="12" t="str">
        <f>IF(ISNUMBER(G112),(1+G109)/((1+G111)*(1+G112))-1,"n/a")</f>
        <v>n/a</v>
      </c>
      <c r="H113" s="12" t="str">
        <f>IF(ISNUMBER(H112),(1+H109)/((1+H111)*(1+H112))-1,"n/a")</f>
        <v>n/a</v>
      </c>
      <c r="I113" s="35" t="str">
        <f>IF(ISNUMBER(I112),(1+I109)/((1+I111)*(1+I112))-1,"n/a")</f>
        <v>n/a</v>
      </c>
      <c r="J113" s="6" t="s">
        <v>103</v>
      </c>
      <c r="K113" s="2"/>
      <c r="L113" s="2"/>
      <c r="M113" s="2"/>
      <c r="N113" s="2"/>
      <c r="O113" s="2"/>
    </row>
    <row r="114">
      <c r="A114" s="14" t="s">
        <v>104</v>
      </c>
      <c r="B114" s="12" t="s">
        <v>37</v>
      </c>
      <c r="C114" s="12" t="s">
        <v>37</v>
      </c>
      <c r="D114" s="12" t="s">
        <v>37</v>
      </c>
      <c r="E114" s="12" t="s">
        <v>37</v>
      </c>
      <c r="F114" s="12" t="s">
        <v>37</v>
      </c>
      <c r="G114" s="12">
        <f>IF(ISNUMBER(G111),G109-G111,"n/a")</f>
        <v>0.02400000000000002</v>
      </c>
      <c r="H114" s="12">
        <f>IF(ISNUMBER(H111),H109-H111,"n/a")</f>
        <v>0.03703703703703698</v>
      </c>
      <c r="I114" s="35">
        <f>IF(ISNUMBER(I111),I109-I111,"n/a")</f>
        <v>0.046498250000000185</v>
      </c>
      <c r="J114" s="2"/>
      <c r="K114" s="2"/>
      <c r="L114" s="2"/>
      <c r="M114" s="2"/>
      <c r="N114" s="2"/>
      <c r="O114" s="2"/>
    </row>
    <row r="115">
      <c r="A115" s="36" t="s">
        <v>279</v>
      </c>
      <c r="B115" s="8">
        <v>33</v>
      </c>
      <c r="C115" s="8">
        <v>35</v>
      </c>
      <c r="D115" s="8">
        <v>35</v>
      </c>
      <c r="E115" s="8">
        <v>35</v>
      </c>
      <c r="F115" s="3">
        <f>SUM(B115:E115)</f>
        <v>138</v>
      </c>
      <c r="G115" s="8">
        <v>35</v>
      </c>
      <c r="H115" s="8">
        <v>37</v>
      </c>
      <c r="I115" s="46">
        <f>D115*(1+I116)</f>
        <v>37.1</v>
      </c>
      <c r="J115" s="2"/>
      <c r="K115" s="2"/>
      <c r="L115" s="2"/>
      <c r="M115" s="2"/>
      <c r="N115" s="2"/>
      <c r="O115" s="2"/>
    </row>
    <row r="116">
      <c r="A116" s="14" t="s">
        <v>122</v>
      </c>
      <c r="B116" s="12" t="s">
        <v>37</v>
      </c>
      <c r="C116" s="12" t="s">
        <v>37</v>
      </c>
      <c r="D116" s="12" t="s">
        <v>37</v>
      </c>
      <c r="E116" s="12" t="s">
        <v>37</v>
      </c>
      <c r="F116" s="12" t="s">
        <v>37</v>
      </c>
      <c r="G116" s="12">
        <f>G115/B115-1</f>
        <v>0.06060606060606055</v>
      </c>
      <c r="H116" s="12">
        <f>H115/C115-1</f>
        <v>0.05714285714285716</v>
      </c>
      <c r="I116" s="60">
        <v>0.06</v>
      </c>
      <c r="J116" s="6" t="s">
        <v>138</v>
      </c>
      <c r="K116" s="2"/>
      <c r="L116" s="2"/>
      <c r="M116" s="2"/>
      <c r="N116" s="2"/>
      <c r="O116" s="2"/>
    </row>
    <row r="117">
      <c r="A117" s="14" t="s">
        <v>110</v>
      </c>
      <c r="B117" s="1" t="s">
        <v>37</v>
      </c>
      <c r="C117" s="1">
        <f>IF(AND(ISNUMBER(C115),ISNUMBER(B115)),C115-B115,"n/a")</f>
        <v>2</v>
      </c>
      <c r="D117" s="1">
        <f>IF(AND(ISNUMBER(D115),ISNUMBER(C115)),D115-C115,"n/a")</f>
        <v>0</v>
      </c>
      <c r="E117" s="1">
        <f>IF(AND(ISNUMBER(E115),ISNUMBER(D115)),E115-D115,"n/a")</f>
        <v>0</v>
      </c>
      <c r="F117" s="1" t="s">
        <v>37</v>
      </c>
      <c r="G117" s="1">
        <f>IF(AND(ISNUMBER(G115),ISNUMBER(E115)),G115-E115,"n/a")</f>
        <v>0</v>
      </c>
      <c r="H117" s="1">
        <f>IF(AND(ISNUMBER(H115),ISNUMBER(G115)),H115-G115,"n/a")</f>
        <v>2</v>
      </c>
      <c r="I117" s="13">
        <f>IF(AND(ISNUMBER(I115),ISNUMBER(H115)),I115-H115,"n/a")</f>
        <v>0.10000000000000142</v>
      </c>
      <c r="J117" s="2"/>
      <c r="K117" s="2"/>
      <c r="L117" s="2"/>
      <c r="M117" s="2"/>
      <c r="N117" s="2"/>
      <c r="O117" s="2"/>
    </row>
    <row r="118">
      <c r="A118" s="14" t="s">
        <v>98</v>
      </c>
      <c r="B118" s="12" t="s">
        <v>37</v>
      </c>
      <c r="C118" s="12" t="s">
        <v>37</v>
      </c>
      <c r="D118" s="12" t="s">
        <v>37</v>
      </c>
      <c r="E118" s="12" t="s">
        <v>37</v>
      </c>
      <c r="F118" s="12" t="s">
        <v>37</v>
      </c>
      <c r="G118" s="65">
        <v>0</v>
      </c>
      <c r="H118" s="65">
        <v>0</v>
      </c>
      <c r="I118" s="60">
        <v>0</v>
      </c>
      <c r="J118" s="6" t="s">
        <v>106</v>
      </c>
      <c r="K118" s="2"/>
      <c r="L118" s="2"/>
      <c r="M118" s="2"/>
      <c r="N118" s="2"/>
      <c r="O118" s="2"/>
    </row>
    <row r="119">
      <c r="A119" s="14" t="s">
        <v>100</v>
      </c>
      <c r="B119" s="12" t="s">
        <v>37</v>
      </c>
      <c r="C119" s="12" t="s">
        <v>37</v>
      </c>
      <c r="D119" s="12" t="s">
        <v>37</v>
      </c>
      <c r="E119" s="12" t="s">
        <v>37</v>
      </c>
      <c r="F119" s="12" t="s">
        <v>37</v>
      </c>
      <c r="G119" s="12" t="s">
        <v>37</v>
      </c>
      <c r="H119" s="12" t="s">
        <v>37</v>
      </c>
      <c r="I119" s="35" t="s">
        <v>37</v>
      </c>
      <c r="J119" s="6" t="s">
        <v>101</v>
      </c>
      <c r="K119" s="2"/>
      <c r="L119" s="2"/>
      <c r="M119" s="2"/>
      <c r="N119" s="2"/>
      <c r="O119" s="2"/>
    </row>
    <row r="120">
      <c r="A120" s="14" t="s">
        <v>102</v>
      </c>
      <c r="B120" s="12" t="s">
        <v>37</v>
      </c>
      <c r="C120" s="12" t="s">
        <v>37</v>
      </c>
      <c r="D120" s="12" t="s">
        <v>37</v>
      </c>
      <c r="E120" s="12" t="s">
        <v>37</v>
      </c>
      <c r="F120" s="12" t="s">
        <v>37</v>
      </c>
      <c r="G120" s="12" t="str">
        <f>IF(ISNUMBER(G119),(1+G116)/((1+G118)*(1+G119))-1,"n/a")</f>
        <v>n/a</v>
      </c>
      <c r="H120" s="12" t="str">
        <f>IF(ISNUMBER(H119),(1+H116)/((1+H118)*(1+H119))-1,"n/a")</f>
        <v>n/a</v>
      </c>
      <c r="I120" s="35" t="str">
        <f>IF(ISNUMBER(I119),(1+I116)/((1+I118)*(1+I119))-1,"n/a")</f>
        <v>n/a</v>
      </c>
      <c r="J120" s="6" t="s">
        <v>103</v>
      </c>
      <c r="K120" s="2"/>
      <c r="L120" s="2"/>
      <c r="M120" s="2"/>
      <c r="N120" s="2"/>
      <c r="O120" s="2"/>
    </row>
    <row r="121">
      <c r="A121" s="14" t="s">
        <v>104</v>
      </c>
      <c r="B121" s="12" t="s">
        <v>37</v>
      </c>
      <c r="C121" s="12" t="s">
        <v>37</v>
      </c>
      <c r="D121" s="12" t="s">
        <v>37</v>
      </c>
      <c r="E121" s="12" t="s">
        <v>37</v>
      </c>
      <c r="F121" s="12" t="s">
        <v>37</v>
      </c>
      <c r="G121" s="12">
        <f>IF(ISNUMBER(G118),G116-G118,"n/a")</f>
        <v>0.06060606060606055</v>
      </c>
      <c r="H121" s="12">
        <f>IF(ISNUMBER(H118),H116-H118,"n/a")</f>
        <v>0.05714285714285716</v>
      </c>
      <c r="I121" s="35">
        <f>IF(ISNUMBER(I118),I116-I118,"n/a")</f>
        <v>0.06</v>
      </c>
      <c r="J121" s="2"/>
      <c r="K121" s="2"/>
      <c r="L121" s="2"/>
      <c r="M121" s="2"/>
      <c r="N121" s="2"/>
      <c r="O121" s="2"/>
    </row>
    <row r="122">
      <c r="A122" s="36" t="s">
        <v>210</v>
      </c>
      <c r="B122" s="8">
        <v>1</v>
      </c>
      <c r="C122" s="8">
        <v>1</v>
      </c>
      <c r="D122" s="8">
        <v>1</v>
      </c>
      <c r="E122" s="8">
        <v>1</v>
      </c>
      <c r="F122" s="3">
        <f>SUM(B122:E122)</f>
        <v>4</v>
      </c>
      <c r="G122" s="8">
        <v>1</v>
      </c>
      <c r="H122" s="8">
        <v>1</v>
      </c>
      <c r="I122" s="46">
        <f>D122*(1+I123)</f>
        <v>1</v>
      </c>
      <c r="J122" s="2"/>
      <c r="K122" s="2"/>
      <c r="L122" s="2"/>
      <c r="M122" s="2"/>
      <c r="N122" s="2"/>
      <c r="O122" s="2"/>
    </row>
    <row r="123">
      <c r="A123" s="14" t="s">
        <v>122</v>
      </c>
      <c r="B123" s="12" t="s">
        <v>37</v>
      </c>
      <c r="C123" s="12" t="s">
        <v>37</v>
      </c>
      <c r="D123" s="12" t="s">
        <v>37</v>
      </c>
      <c r="E123" s="12" t="s">
        <v>37</v>
      </c>
      <c r="F123" s="12" t="s">
        <v>37</v>
      </c>
      <c r="G123" s="12">
        <f>G122/B122-1</f>
        <v>0</v>
      </c>
      <c r="H123" s="12">
        <f>H122/C122-1</f>
        <v>0</v>
      </c>
      <c r="I123" s="60">
        <v>0</v>
      </c>
      <c r="J123" s="6" t="s">
        <v>138</v>
      </c>
      <c r="K123" s="2"/>
      <c r="L123" s="2"/>
      <c r="M123" s="2"/>
      <c r="N123" s="2"/>
      <c r="O123" s="2"/>
    </row>
    <row r="124">
      <c r="A124" s="14" t="s">
        <v>110</v>
      </c>
      <c r="B124" s="1" t="s">
        <v>37</v>
      </c>
      <c r="C124" s="1">
        <f>IF(AND(ISNUMBER(C122),ISNUMBER(B122)),C122-B122,"n/a")</f>
        <v>0</v>
      </c>
      <c r="D124" s="1">
        <f>IF(AND(ISNUMBER(D122),ISNUMBER(C122)),D122-C122,"n/a")</f>
        <v>0</v>
      </c>
      <c r="E124" s="1">
        <f>IF(AND(ISNUMBER(E122),ISNUMBER(D122)),E122-D122,"n/a")</f>
        <v>0</v>
      </c>
      <c r="F124" s="1" t="s">
        <v>37</v>
      </c>
      <c r="G124" s="1">
        <f>IF(AND(ISNUMBER(G122),ISNUMBER(E122)),G122-E122,"n/a")</f>
        <v>0</v>
      </c>
      <c r="H124" s="1">
        <f>IF(AND(ISNUMBER(H122),ISNUMBER(G122)),H122-G122,"n/a")</f>
        <v>0</v>
      </c>
      <c r="I124" s="13">
        <f>IF(AND(ISNUMBER(I122),ISNUMBER(H122)),I122-H122,"n/a")</f>
        <v>0</v>
      </c>
      <c r="J124" s="2"/>
      <c r="K124" s="2"/>
      <c r="L124" s="2"/>
      <c r="M124" s="2"/>
      <c r="N124" s="2"/>
      <c r="O124" s="2"/>
    </row>
    <row r="125">
      <c r="A125" s="14" t="s">
        <v>98</v>
      </c>
      <c r="B125" s="12" t="s">
        <v>37</v>
      </c>
      <c r="C125" s="12" t="s">
        <v>37</v>
      </c>
      <c r="D125" s="12" t="s">
        <v>37</v>
      </c>
      <c r="E125" s="12" t="s">
        <v>37</v>
      </c>
      <c r="F125" s="12" t="s">
        <v>37</v>
      </c>
      <c r="G125" s="65">
        <v>0</v>
      </c>
      <c r="H125" s="65">
        <v>0</v>
      </c>
      <c r="I125" s="60">
        <v>0</v>
      </c>
      <c r="J125" s="6" t="s">
        <v>106</v>
      </c>
      <c r="K125" s="2"/>
      <c r="L125" s="2"/>
      <c r="M125" s="2"/>
      <c r="N125" s="2"/>
      <c r="O125" s="2"/>
    </row>
    <row r="126">
      <c r="A126" s="14" t="s">
        <v>100</v>
      </c>
      <c r="B126" s="12" t="s">
        <v>37</v>
      </c>
      <c r="C126" s="12" t="s">
        <v>37</v>
      </c>
      <c r="D126" s="12" t="s">
        <v>37</v>
      </c>
      <c r="E126" s="12" t="s">
        <v>37</v>
      </c>
      <c r="F126" s="12" t="s">
        <v>37</v>
      </c>
      <c r="G126" s="12" t="s">
        <v>37</v>
      </c>
      <c r="H126" s="12" t="s">
        <v>37</v>
      </c>
      <c r="I126" s="35" t="s">
        <v>37</v>
      </c>
      <c r="J126" s="6" t="s">
        <v>101</v>
      </c>
      <c r="K126" s="2"/>
      <c r="L126" s="2"/>
      <c r="M126" s="2"/>
      <c r="N126" s="2"/>
      <c r="O126" s="2"/>
    </row>
    <row r="127">
      <c r="A127" s="14" t="s">
        <v>102</v>
      </c>
      <c r="B127" s="12" t="s">
        <v>37</v>
      </c>
      <c r="C127" s="12" t="s">
        <v>37</v>
      </c>
      <c r="D127" s="12" t="s">
        <v>37</v>
      </c>
      <c r="E127" s="12" t="s">
        <v>37</v>
      </c>
      <c r="F127" s="12" t="s">
        <v>37</v>
      </c>
      <c r="G127" s="12" t="str">
        <f>IF(ISNUMBER(G126),(1+G123)/((1+G125)*(1+G126))-1,"n/a")</f>
        <v>n/a</v>
      </c>
      <c r="H127" s="12" t="str">
        <f>IF(ISNUMBER(H126),(1+H123)/((1+H125)*(1+H126))-1,"n/a")</f>
        <v>n/a</v>
      </c>
      <c r="I127" s="35" t="str">
        <f>IF(ISNUMBER(I126),(1+I123)/((1+I125)*(1+I126))-1,"n/a")</f>
        <v>n/a</v>
      </c>
      <c r="J127" s="6" t="s">
        <v>103</v>
      </c>
      <c r="K127" s="2"/>
      <c r="L127" s="2"/>
      <c r="M127" s="2"/>
      <c r="N127" s="2"/>
      <c r="O127" s="2"/>
    </row>
    <row r="128">
      <c r="A128" s="14" t="s">
        <v>104</v>
      </c>
      <c r="B128" s="12" t="s">
        <v>37</v>
      </c>
      <c r="C128" s="12" t="s">
        <v>37</v>
      </c>
      <c r="D128" s="12" t="s">
        <v>37</v>
      </c>
      <c r="E128" s="12" t="s">
        <v>37</v>
      </c>
      <c r="F128" s="12" t="s">
        <v>37</v>
      </c>
      <c r="G128" s="12">
        <f>IF(ISNUMBER(G125),G123-G125,"n/a")</f>
        <v>0</v>
      </c>
      <c r="H128" s="12">
        <f>IF(ISNUMBER(H125),H123-H125,"n/a")</f>
        <v>0</v>
      </c>
      <c r="I128" s="35">
        <f>IF(ISNUMBER(I125),I123-I125,"n/a")</f>
        <v>0</v>
      </c>
      <c r="J128" s="2"/>
      <c r="K128" s="2"/>
      <c r="L128" s="2"/>
      <c r="M128" s="2"/>
      <c r="N128" s="2"/>
      <c r="O128" s="2"/>
    </row>
    <row r="129">
      <c r="A129" s="36" t="s">
        <v>219</v>
      </c>
      <c r="B129" s="8">
        <v>129</v>
      </c>
      <c r="C129" s="8">
        <v>138</v>
      </c>
      <c r="D129" s="8">
        <v>146</v>
      </c>
      <c r="E129" s="8">
        <v>141</v>
      </c>
      <c r="F129" s="3">
        <f>SUM(B129:E129)</f>
        <v>554</v>
      </c>
      <c r="G129" s="8">
        <v>139</v>
      </c>
      <c r="H129" s="8">
        <v>137</v>
      </c>
      <c r="I129" s="46">
        <f>D129*(1+I130)</f>
        <v>144.54</v>
      </c>
      <c r="J129" s="2"/>
      <c r="K129" s="2"/>
      <c r="L129" s="2"/>
      <c r="M129" s="2"/>
      <c r="N129" s="2"/>
      <c r="O129" s="2"/>
    </row>
    <row r="130">
      <c r="A130" s="14" t="s">
        <v>122</v>
      </c>
      <c r="B130" s="12" t="s">
        <v>37</v>
      </c>
      <c r="C130" s="12" t="s">
        <v>37</v>
      </c>
      <c r="D130" s="12" t="s">
        <v>37</v>
      </c>
      <c r="E130" s="12" t="s">
        <v>37</v>
      </c>
      <c r="F130" s="12" t="s">
        <v>37</v>
      </c>
      <c r="G130" s="12">
        <f>G129/B129-1</f>
        <v>0.07751937984496116</v>
      </c>
      <c r="H130" s="12">
        <f>H129/C129-1</f>
        <v>-0.007246376811594235</v>
      </c>
      <c r="I130" s="60">
        <v>-0.01</v>
      </c>
      <c r="J130" s="6" t="s">
        <v>138</v>
      </c>
      <c r="K130" s="2"/>
      <c r="L130" s="2"/>
      <c r="M130" s="2"/>
      <c r="N130" s="2"/>
      <c r="O130" s="2"/>
    </row>
    <row r="131">
      <c r="A131" s="14" t="s">
        <v>110</v>
      </c>
      <c r="B131" s="1" t="s">
        <v>37</v>
      </c>
      <c r="C131" s="1">
        <f>IF(AND(ISNUMBER(C129),ISNUMBER(B129)),C129-B129,"n/a")</f>
        <v>9</v>
      </c>
      <c r="D131" s="1">
        <f>IF(AND(ISNUMBER(D129),ISNUMBER(C129)),D129-C129,"n/a")</f>
        <v>8</v>
      </c>
      <c r="E131" s="1">
        <f>IF(AND(ISNUMBER(E129),ISNUMBER(D129)),E129-D129,"n/a")</f>
        <v>-5</v>
      </c>
      <c r="F131" s="1" t="s">
        <v>37</v>
      </c>
      <c r="G131" s="1">
        <f>IF(AND(ISNUMBER(G129),ISNUMBER(E129)),G129-E129,"n/a")</f>
        <v>-2</v>
      </c>
      <c r="H131" s="1">
        <f>IF(AND(ISNUMBER(H129),ISNUMBER(G129)),H129-G129,"n/a")</f>
        <v>-2</v>
      </c>
      <c r="I131" s="13">
        <f>IF(AND(ISNUMBER(I129),ISNUMBER(H129)),I129-H129,"n/a")</f>
        <v>7.539999999999992</v>
      </c>
      <c r="J131" s="2"/>
      <c r="K131" s="2"/>
      <c r="L131" s="2"/>
      <c r="M131" s="2"/>
      <c r="N131" s="2"/>
      <c r="O131" s="2"/>
    </row>
    <row r="132">
      <c r="A132" s="14" t="s">
        <v>98</v>
      </c>
      <c r="B132" s="12" t="s">
        <v>37</v>
      </c>
      <c r="C132" s="12" t="s">
        <v>37</v>
      </c>
      <c r="D132" s="12" t="s">
        <v>37</v>
      </c>
      <c r="E132" s="12" t="s">
        <v>37</v>
      </c>
      <c r="F132" s="12" t="s">
        <v>37</v>
      </c>
      <c r="G132" s="65">
        <v>0</v>
      </c>
      <c r="H132" s="65">
        <v>0</v>
      </c>
      <c r="I132" s="60">
        <v>0</v>
      </c>
      <c r="J132" s="6" t="s">
        <v>106</v>
      </c>
      <c r="K132" s="2"/>
      <c r="L132" s="2"/>
      <c r="M132" s="2"/>
      <c r="N132" s="2"/>
      <c r="O132" s="2"/>
    </row>
    <row r="133">
      <c r="A133" s="14" t="s">
        <v>100</v>
      </c>
      <c r="B133" s="12" t="s">
        <v>37</v>
      </c>
      <c r="C133" s="12" t="s">
        <v>37</v>
      </c>
      <c r="D133" s="12" t="s">
        <v>37</v>
      </c>
      <c r="E133" s="12" t="s">
        <v>37</v>
      </c>
      <c r="F133" s="12" t="s">
        <v>37</v>
      </c>
      <c r="G133" s="12" t="s">
        <v>37</v>
      </c>
      <c r="H133" s="12" t="s">
        <v>37</v>
      </c>
      <c r="I133" s="35" t="s">
        <v>37</v>
      </c>
      <c r="J133" s="6" t="s">
        <v>101</v>
      </c>
      <c r="K133" s="2"/>
      <c r="L133" s="2"/>
      <c r="M133" s="2"/>
      <c r="N133" s="2"/>
      <c r="O133" s="2"/>
    </row>
    <row r="134">
      <c r="A134" s="14" t="s">
        <v>102</v>
      </c>
      <c r="B134" s="12" t="s">
        <v>37</v>
      </c>
      <c r="C134" s="12" t="s">
        <v>37</v>
      </c>
      <c r="D134" s="12" t="s">
        <v>37</v>
      </c>
      <c r="E134" s="12" t="s">
        <v>37</v>
      </c>
      <c r="F134" s="12" t="s">
        <v>37</v>
      </c>
      <c r="G134" s="12" t="str">
        <f>IF(ISNUMBER(G133),(1+G130)/((1+G132)*(1+G133))-1,"n/a")</f>
        <v>n/a</v>
      </c>
      <c r="H134" s="12" t="str">
        <f>IF(ISNUMBER(H133),(1+H130)/((1+H132)*(1+H133))-1,"n/a")</f>
        <v>n/a</v>
      </c>
      <c r="I134" s="35" t="str">
        <f>IF(ISNUMBER(I133),(1+I130)/((1+I132)*(1+I133))-1,"n/a")</f>
        <v>n/a</v>
      </c>
      <c r="J134" s="6" t="s">
        <v>103</v>
      </c>
      <c r="K134" s="2"/>
      <c r="L134" s="2"/>
      <c r="M134" s="2"/>
      <c r="N134" s="2"/>
      <c r="O134" s="2"/>
    </row>
    <row r="135">
      <c r="A135" s="14" t="s">
        <v>104</v>
      </c>
      <c r="B135" s="12" t="s">
        <v>37</v>
      </c>
      <c r="C135" s="12" t="s">
        <v>37</v>
      </c>
      <c r="D135" s="12" t="s">
        <v>37</v>
      </c>
      <c r="E135" s="12" t="s">
        <v>37</v>
      </c>
      <c r="F135" s="12" t="s">
        <v>37</v>
      </c>
      <c r="G135" s="12">
        <f>IF(ISNUMBER(G132),G130-G132,"n/a")</f>
        <v>0.07751937984496116</v>
      </c>
      <c r="H135" s="12">
        <f>IF(ISNUMBER(H132),H130-H132,"n/a")</f>
        <v>-0.007246376811594235</v>
      </c>
      <c r="I135" s="35">
        <f>IF(ISNUMBER(I132),I130-I132,"n/a")</f>
        <v>-0.01</v>
      </c>
      <c r="J135" s="2"/>
      <c r="K135" s="2"/>
      <c r="L135" s="2"/>
      <c r="M135" s="2"/>
      <c r="N135" s="2"/>
      <c r="O135" s="2"/>
    </row>
    <row r="136">
      <c r="A136" s="36" t="s">
        <v>218</v>
      </c>
      <c r="B136" s="8">
        <v>5</v>
      </c>
      <c r="C136" s="8">
        <v>6</v>
      </c>
      <c r="D136" s="8">
        <v>6</v>
      </c>
      <c r="E136" s="8">
        <v>6</v>
      </c>
      <c r="F136" s="3">
        <f>SUM(B136:E136)</f>
        <v>23</v>
      </c>
      <c r="G136" s="8">
        <v>6</v>
      </c>
      <c r="H136" s="8">
        <v>7</v>
      </c>
      <c r="I136" s="46">
        <f>D136*(1+I137)</f>
        <v>6.8999999999999995</v>
      </c>
      <c r="J136" s="2"/>
      <c r="K136" s="2"/>
      <c r="L136" s="2"/>
      <c r="M136" s="2"/>
      <c r="N136" s="2"/>
      <c r="O136" s="2"/>
    </row>
    <row r="137">
      <c r="A137" s="14" t="s">
        <v>122</v>
      </c>
      <c r="B137" s="12" t="s">
        <v>37</v>
      </c>
      <c r="C137" s="12" t="s">
        <v>37</v>
      </c>
      <c r="D137" s="12" t="s">
        <v>37</v>
      </c>
      <c r="E137" s="12" t="s">
        <v>37</v>
      </c>
      <c r="F137" s="12" t="s">
        <v>37</v>
      </c>
      <c r="G137" s="12">
        <f>G136/B136-1</f>
        <v>0.19999999999999996</v>
      </c>
      <c r="H137" s="12">
        <f>H136/C136-1</f>
        <v>0.16666666666666674</v>
      </c>
      <c r="I137" s="60">
        <v>0.15</v>
      </c>
      <c r="J137" s="6" t="s">
        <v>138</v>
      </c>
      <c r="K137" s="2"/>
      <c r="L137" s="2"/>
      <c r="M137" s="2"/>
      <c r="N137" s="2"/>
      <c r="O137" s="2"/>
    </row>
    <row r="138">
      <c r="A138" s="14" t="s">
        <v>110</v>
      </c>
      <c r="B138" s="1" t="s">
        <v>37</v>
      </c>
      <c r="C138" s="1">
        <f>IF(AND(ISNUMBER(C136),ISNUMBER(B136)),C136-B136,"n/a")</f>
        <v>1</v>
      </c>
      <c r="D138" s="1">
        <f>IF(AND(ISNUMBER(D136),ISNUMBER(C136)),D136-C136,"n/a")</f>
        <v>0</v>
      </c>
      <c r="E138" s="1">
        <f>IF(AND(ISNUMBER(E136),ISNUMBER(D136)),E136-D136,"n/a")</f>
        <v>0</v>
      </c>
      <c r="F138" s="1" t="s">
        <v>37</v>
      </c>
      <c r="G138" s="1">
        <f>IF(AND(ISNUMBER(G136),ISNUMBER(E136)),G136-E136,"n/a")</f>
        <v>0</v>
      </c>
      <c r="H138" s="1">
        <f>IF(AND(ISNUMBER(H136),ISNUMBER(G136)),H136-G136,"n/a")</f>
        <v>1</v>
      </c>
      <c r="I138" s="13">
        <f>IF(AND(ISNUMBER(I136),ISNUMBER(H136)),I136-H136,"n/a")</f>
        <v>-0.10000000000000053</v>
      </c>
      <c r="J138" s="2"/>
      <c r="K138" s="2"/>
      <c r="L138" s="2"/>
      <c r="M138" s="2"/>
      <c r="N138" s="2"/>
      <c r="O138" s="2"/>
    </row>
    <row r="139">
      <c r="A139" s="14" t="s">
        <v>98</v>
      </c>
      <c r="B139" s="12" t="s">
        <v>37</v>
      </c>
      <c r="C139" s="12" t="s">
        <v>37</v>
      </c>
      <c r="D139" s="12" t="s">
        <v>37</v>
      </c>
      <c r="E139" s="12" t="s">
        <v>37</v>
      </c>
      <c r="F139" s="12" t="s">
        <v>37</v>
      </c>
      <c r="G139" s="65">
        <v>0</v>
      </c>
      <c r="H139" s="65">
        <v>0</v>
      </c>
      <c r="I139" s="60">
        <v>0</v>
      </c>
      <c r="J139" s="6" t="s">
        <v>106</v>
      </c>
      <c r="K139" s="2"/>
      <c r="L139" s="2"/>
      <c r="M139" s="2"/>
      <c r="N139" s="2"/>
      <c r="O139" s="2"/>
    </row>
    <row r="140">
      <c r="A140" s="14" t="s">
        <v>100</v>
      </c>
      <c r="B140" s="12" t="s">
        <v>37</v>
      </c>
      <c r="C140" s="12" t="s">
        <v>37</v>
      </c>
      <c r="D140" s="12" t="s">
        <v>37</v>
      </c>
      <c r="E140" s="12" t="s">
        <v>37</v>
      </c>
      <c r="F140" s="12" t="s">
        <v>37</v>
      </c>
      <c r="G140" s="12" t="s">
        <v>37</v>
      </c>
      <c r="H140" s="12" t="s">
        <v>37</v>
      </c>
      <c r="I140" s="35" t="s">
        <v>37</v>
      </c>
      <c r="J140" s="6" t="s">
        <v>101</v>
      </c>
      <c r="K140" s="2"/>
      <c r="L140" s="2"/>
      <c r="M140" s="2"/>
      <c r="N140" s="2"/>
      <c r="O140" s="2"/>
    </row>
    <row r="141">
      <c r="A141" s="14" t="s">
        <v>102</v>
      </c>
      <c r="B141" s="12" t="s">
        <v>37</v>
      </c>
      <c r="C141" s="12" t="s">
        <v>37</v>
      </c>
      <c r="D141" s="12" t="s">
        <v>37</v>
      </c>
      <c r="E141" s="12" t="s">
        <v>37</v>
      </c>
      <c r="F141" s="12" t="s">
        <v>37</v>
      </c>
      <c r="G141" s="12" t="str">
        <f>IF(ISNUMBER(G140),(1+G137)/((1+G139)*(1+G140))-1,"n/a")</f>
        <v>n/a</v>
      </c>
      <c r="H141" s="12" t="str">
        <f>IF(ISNUMBER(H140),(1+H137)/((1+H139)*(1+H140))-1,"n/a")</f>
        <v>n/a</v>
      </c>
      <c r="I141" s="35" t="str">
        <f>IF(ISNUMBER(I140),(1+I137)/((1+I139)*(1+I140))-1,"n/a")</f>
        <v>n/a</v>
      </c>
      <c r="J141" s="6" t="s">
        <v>103</v>
      </c>
      <c r="K141" s="2"/>
      <c r="L141" s="2"/>
      <c r="M141" s="2"/>
      <c r="N141" s="2"/>
      <c r="O141" s="2"/>
    </row>
    <row r="142">
      <c r="A142" s="14" t="s">
        <v>104</v>
      </c>
      <c r="B142" s="12" t="s">
        <v>37</v>
      </c>
      <c r="C142" s="12" t="s">
        <v>37</v>
      </c>
      <c r="D142" s="12" t="s">
        <v>37</v>
      </c>
      <c r="E142" s="12" t="s">
        <v>37</v>
      </c>
      <c r="F142" s="12" t="s">
        <v>37</v>
      </c>
      <c r="G142" s="12">
        <f>IF(ISNUMBER(G139),G137-G139,"n/a")</f>
        <v>0.19999999999999996</v>
      </c>
      <c r="H142" s="12">
        <f>IF(ISNUMBER(H139),H137-H139,"n/a")</f>
        <v>0.16666666666666674</v>
      </c>
      <c r="I142" s="35">
        <f>IF(ISNUMBER(I139),I137-I139,"n/a")</f>
        <v>0.15</v>
      </c>
      <c r="J142" s="2"/>
      <c r="K142" s="2"/>
      <c r="L142" s="2"/>
      <c r="M142" s="2"/>
      <c r="N142" s="2"/>
      <c r="O142" s="2"/>
    </row>
    <row r="143">
      <c r="A143" s="36" t="s">
        <v>280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>
      <c r="A144" s="62" t="s">
        <v>281</v>
      </c>
      <c r="B144" s="8">
        <v>6562</v>
      </c>
      <c r="C144" s="8">
        <v>9645</v>
      </c>
      <c r="D144" s="8">
        <v>9951</v>
      </c>
      <c r="E144" s="8">
        <v>12627</v>
      </c>
      <c r="F144" s="3">
        <f>SUM(B144:E144)</f>
        <v>38785</v>
      </c>
      <c r="G144" s="8">
        <v>11474</v>
      </c>
      <c r="H144" s="8">
        <v>10605</v>
      </c>
      <c r="I144" s="32">
        <v>9500</v>
      </c>
      <c r="J144" s="6" t="s">
        <v>282</v>
      </c>
      <c r="K144" s="2"/>
      <c r="L144" s="2"/>
      <c r="M144" s="2"/>
      <c r="N144" s="2"/>
      <c r="O144" s="2"/>
    </row>
    <row r="145">
      <c r="A145" s="61" t="s">
        <v>122</v>
      </c>
      <c r="B145" s="12" t="s">
        <v>37</v>
      </c>
      <c r="C145" s="12" t="s">
        <v>37</v>
      </c>
      <c r="D145" s="12" t="s">
        <v>37</v>
      </c>
      <c r="E145" s="12" t="s">
        <v>37</v>
      </c>
      <c r="F145" s="12" t="s">
        <v>37</v>
      </c>
      <c r="G145" s="12">
        <f>G144/B144-1</f>
        <v>0.7485522706491923</v>
      </c>
      <c r="H145" s="12">
        <f>H144/C144-1</f>
        <v>0.09953343701399686</v>
      </c>
      <c r="I145" s="35">
        <f>I144/D144-1</f>
        <v>-0.04532207818309719</v>
      </c>
      <c r="J145" s="2"/>
      <c r="K145" s="2"/>
      <c r="L145" s="2"/>
      <c r="M145" s="2"/>
      <c r="N145" s="2"/>
      <c r="O145" s="2"/>
    </row>
    <row r="146">
      <c r="A146" s="61" t="s">
        <v>110</v>
      </c>
      <c r="B146" s="1" t="s">
        <v>37</v>
      </c>
      <c r="C146" s="1">
        <f>IF(AND(ISNUMBER(C144),ISNUMBER(B144)),C144-B144,"n/a")</f>
        <v>3083</v>
      </c>
      <c r="D146" s="1">
        <f>IF(AND(ISNUMBER(D144),ISNUMBER(C144)),D144-C144,"n/a")</f>
        <v>306</v>
      </c>
      <c r="E146" s="1">
        <f>IF(AND(ISNUMBER(E144),ISNUMBER(D144)),E144-D144,"n/a")</f>
        <v>2676</v>
      </c>
      <c r="F146" s="1" t="s">
        <v>37</v>
      </c>
      <c r="G146" s="1">
        <f>IF(AND(ISNUMBER(G144),ISNUMBER(E144)),G144-E144,"n/a")</f>
        <v>-1153</v>
      </c>
      <c r="H146" s="1">
        <f>IF(AND(ISNUMBER(H144),ISNUMBER(G144)),H144-G144,"n/a")</f>
        <v>-869</v>
      </c>
      <c r="I146" s="13">
        <f>IF(AND(ISNUMBER(I144),ISNUMBER(H144)),I144-H144,"n/a")</f>
        <v>-1105</v>
      </c>
      <c r="J146" s="2"/>
      <c r="K146" s="2"/>
      <c r="L146" s="2"/>
      <c r="M146" s="2"/>
      <c r="N146" s="2"/>
      <c r="O146" s="2"/>
    </row>
    <row r="147">
      <c r="A147" s="62" t="s">
        <v>283</v>
      </c>
      <c r="B147" s="8">
        <v>71</v>
      </c>
      <c r="C147" s="8">
        <v>80</v>
      </c>
      <c r="D147" s="8">
        <v>93</v>
      </c>
      <c r="E147" s="8">
        <v>84</v>
      </c>
      <c r="F147" s="3">
        <f>SUM(B147:E147)</f>
        <v>328</v>
      </c>
      <c r="G147" s="8">
        <v>88</v>
      </c>
      <c r="H147" s="8">
        <v>83</v>
      </c>
      <c r="I147" s="46">
        <f>I144*I154</f>
        <v>76</v>
      </c>
      <c r="J147" s="2"/>
      <c r="K147" s="2"/>
      <c r="L147" s="2"/>
      <c r="M147" s="2"/>
      <c r="N147" s="2"/>
      <c r="O147" s="2"/>
    </row>
    <row r="148">
      <c r="A148" s="61" t="s">
        <v>122</v>
      </c>
      <c r="B148" s="12" t="s">
        <v>37</v>
      </c>
      <c r="C148" s="12" t="s">
        <v>37</v>
      </c>
      <c r="D148" s="12" t="s">
        <v>37</v>
      </c>
      <c r="E148" s="12" t="s">
        <v>37</v>
      </c>
      <c r="F148" s="12" t="s">
        <v>37</v>
      </c>
      <c r="G148" s="12">
        <f>G147/B147-1</f>
        <v>0.23943661971830976</v>
      </c>
      <c r="H148" s="12">
        <f>H147/C147-1</f>
        <v>0.03750000000000009</v>
      </c>
      <c r="I148" s="35">
        <f>I147/D147-1</f>
        <v>-0.18279569892473113</v>
      </c>
      <c r="J148" s="2"/>
      <c r="K148" s="2"/>
      <c r="L148" s="2"/>
      <c r="M148" s="2"/>
      <c r="N148" s="2"/>
      <c r="O148" s="2"/>
    </row>
    <row r="149">
      <c r="A149" s="61" t="s">
        <v>98</v>
      </c>
      <c r="B149" s="12" t="s">
        <v>37</v>
      </c>
      <c r="C149" s="12" t="s">
        <v>37</v>
      </c>
      <c r="D149" s="12" t="s">
        <v>37</v>
      </c>
      <c r="E149" s="12" t="s">
        <v>37</v>
      </c>
      <c r="F149" s="12" t="s">
        <v>37</v>
      </c>
      <c r="G149" s="65">
        <v>0</v>
      </c>
      <c r="H149" s="65">
        <v>0</v>
      </c>
      <c r="I149" s="60">
        <v>0</v>
      </c>
      <c r="J149" s="6" t="s">
        <v>106</v>
      </c>
      <c r="K149" s="2"/>
      <c r="L149" s="2"/>
      <c r="M149" s="2"/>
      <c r="N149" s="2"/>
      <c r="O149" s="2"/>
    </row>
    <row r="150">
      <c r="A150" s="61" t="s">
        <v>100</v>
      </c>
      <c r="B150" s="12" t="s">
        <v>37</v>
      </c>
      <c r="C150" s="12" t="s">
        <v>37</v>
      </c>
      <c r="D150" s="12" t="s">
        <v>37</v>
      </c>
      <c r="E150" s="12" t="s">
        <v>37</v>
      </c>
      <c r="F150" s="12" t="s">
        <v>37</v>
      </c>
      <c r="G150" s="12" t="s">
        <v>37</v>
      </c>
      <c r="H150" s="12" t="s">
        <v>37</v>
      </c>
      <c r="I150" s="35" t="s">
        <v>37</v>
      </c>
      <c r="J150" s="6" t="s">
        <v>101</v>
      </c>
      <c r="K150" s="2"/>
      <c r="L150" s="2"/>
      <c r="M150" s="2"/>
      <c r="N150" s="2"/>
      <c r="O150" s="2"/>
    </row>
    <row r="151">
      <c r="A151" s="61" t="s">
        <v>102</v>
      </c>
      <c r="B151" s="12" t="s">
        <v>37</v>
      </c>
      <c r="C151" s="12" t="s">
        <v>37</v>
      </c>
      <c r="D151" s="12" t="s">
        <v>37</v>
      </c>
      <c r="E151" s="12" t="s">
        <v>37</v>
      </c>
      <c r="F151" s="12" t="s">
        <v>37</v>
      </c>
      <c r="G151" s="12" t="str">
        <f>IF(ISNUMBER(G150),(1+G148)/((1+G149)*(1+G150))-1,"n/a")</f>
        <v>n/a</v>
      </c>
      <c r="H151" s="12" t="str">
        <f>IF(ISNUMBER(H150),(1+H148)/((1+H149)*(1+H150))-1,"n/a")</f>
        <v>n/a</v>
      </c>
      <c r="I151" s="35" t="str">
        <f>IF(ISNUMBER(I150),(1+I148)/((1+I149)*(1+I150))-1,"n/a")</f>
        <v>n/a</v>
      </c>
      <c r="J151" s="6" t="s">
        <v>103</v>
      </c>
      <c r="K151" s="2"/>
      <c r="L151" s="2"/>
      <c r="M151" s="2"/>
      <c r="N151" s="2"/>
      <c r="O151" s="2"/>
    </row>
    <row r="152">
      <c r="A152" s="61" t="s">
        <v>104</v>
      </c>
      <c r="B152" s="12" t="s">
        <v>37</v>
      </c>
      <c r="C152" s="12" t="s">
        <v>37</v>
      </c>
      <c r="D152" s="12" t="s">
        <v>37</v>
      </c>
      <c r="E152" s="12" t="s">
        <v>37</v>
      </c>
      <c r="F152" s="12" t="s">
        <v>37</v>
      </c>
      <c r="G152" s="12">
        <f>IF(ISNUMBER(G149),G148-G149,"n/a")</f>
        <v>0.23943661971830976</v>
      </c>
      <c r="H152" s="12">
        <f>IF(ISNUMBER(H149),H148-H149,"n/a")</f>
        <v>0.03750000000000009</v>
      </c>
      <c r="I152" s="35">
        <f>IF(ISNUMBER(I149),I148-I149,"n/a")</f>
        <v>-0.18279569892473113</v>
      </c>
      <c r="J152" s="2"/>
      <c r="K152" s="2"/>
      <c r="L152" s="2"/>
      <c r="M152" s="2"/>
      <c r="N152" s="2"/>
      <c r="O152" s="2"/>
    </row>
    <row r="153">
      <c r="A153" s="61" t="s">
        <v>110</v>
      </c>
      <c r="B153" s="1" t="s">
        <v>37</v>
      </c>
      <c r="C153" s="1">
        <f>IF(AND(ISNUMBER(C147),ISNUMBER(B147)),C147-B147,"n/a")</f>
        <v>9</v>
      </c>
      <c r="D153" s="1">
        <f>IF(AND(ISNUMBER(D147),ISNUMBER(C147)),D147-C147,"n/a")</f>
        <v>13</v>
      </c>
      <c r="E153" s="1">
        <f>IF(AND(ISNUMBER(E147),ISNUMBER(D147)),E147-D147,"n/a")</f>
        <v>-9</v>
      </c>
      <c r="F153" s="1" t="s">
        <v>37</v>
      </c>
      <c r="G153" s="1">
        <f>IF(AND(ISNUMBER(G147),ISNUMBER(E147)),G147-E147,"n/a")</f>
        <v>4</v>
      </c>
      <c r="H153" s="1">
        <f>IF(AND(ISNUMBER(H147),ISNUMBER(G147)),H147-G147,"n/a")</f>
        <v>-5</v>
      </c>
      <c r="I153" s="13">
        <f>IF(AND(ISNUMBER(I147),ISNUMBER(H147)),I147-H147,"n/a")</f>
        <v>-7</v>
      </c>
      <c r="J153" s="2"/>
      <c r="K153" s="2"/>
      <c r="L153" s="2"/>
      <c r="M153" s="2"/>
      <c r="N153" s="2"/>
      <c r="O153" s="2"/>
    </row>
    <row r="154">
      <c r="A154" s="61" t="s">
        <v>284</v>
      </c>
      <c r="B154" s="69">
        <f>B147/B144</f>
        <v>0.010819871990246876</v>
      </c>
      <c r="C154" s="69">
        <f>C147/C144</f>
        <v>0.00829445308449974</v>
      </c>
      <c r="D154" s="69">
        <f>D147/D144</f>
        <v>0.009345794392523364</v>
      </c>
      <c r="E154" s="69">
        <f>E147/E144</f>
        <v>0.006652411499168448</v>
      </c>
      <c r="F154" s="69">
        <f>F147/F144</f>
        <v>0.008456877658888745</v>
      </c>
      <c r="G154" s="69">
        <f>G147/G144</f>
        <v>0.007669513683109639</v>
      </c>
      <c r="H154" s="69">
        <f>H147/H144</f>
        <v>0.007826496935407826</v>
      </c>
      <c r="I154" s="75">
        <v>0.008</v>
      </c>
      <c r="J154" s="6" t="s">
        <v>138</v>
      </c>
      <c r="K154" s="2"/>
      <c r="L154" s="2"/>
      <c r="M154" s="2"/>
      <c r="N154" s="2"/>
      <c r="O154" s="2"/>
    </row>
    <row r="155">
      <c r="A155" s="78" t="s">
        <v>144</v>
      </c>
      <c r="B155" s="5" t="s">
        <v>37</v>
      </c>
      <c r="C155" s="5">
        <f>IF(AND(ISNUMBER(C154),ISNUMBER(B154)),(C154-B154)*10000,"n/a")</f>
        <v>-25.25418905747135</v>
      </c>
      <c r="D155" s="5">
        <f>IF(AND(ISNUMBER(D154),ISNUMBER(C154)),(D154-C154)*10000,"n/a")</f>
        <v>10.51341308023623</v>
      </c>
      <c r="E155" s="5">
        <f>IF(AND(ISNUMBER(E154),ISNUMBER(D154)),(E154-D154)*10000,"n/a")</f>
        <v>-26.933828933549155</v>
      </c>
      <c r="F155" s="5" t="s">
        <v>37</v>
      </c>
      <c r="G155" s="5">
        <f>IF(AND(ISNUMBER(G154),ISNUMBER(E154)),(G154-E154)*10000,"n/a")</f>
        <v>10.17102183941191</v>
      </c>
      <c r="H155" s="5">
        <f>IF(AND(ISNUMBER(H154),ISNUMBER(G154)),(H154-G154)*10000,"n/a")</f>
        <v>1.5698325229818697</v>
      </c>
      <c r="I155" s="45">
        <f>IF(AND(ISNUMBER(I154),ISNUMBER(H154)),(I154-H154)*10000,"n/a")</f>
        <v>1.7350306459217382</v>
      </c>
      <c r="J155" s="2"/>
      <c r="K155" s="2"/>
      <c r="L155" s="2"/>
      <c r="M155" s="2"/>
      <c r="N155" s="2"/>
      <c r="O155" s="2"/>
    </row>
    <row r="156">
      <c r="A156" s="78" t="s">
        <v>145</v>
      </c>
      <c r="B156" s="5" t="s">
        <v>37</v>
      </c>
      <c r="C156" s="5" t="s">
        <v>37</v>
      </c>
      <c r="D156" s="5" t="s">
        <v>37</v>
      </c>
      <c r="E156" s="5" t="s">
        <v>37</v>
      </c>
      <c r="F156" s="5" t="s">
        <v>37</v>
      </c>
      <c r="G156" s="5">
        <f>IF(AND(ISNUMBER(G154),ISNUMBER(B154)),(G154-B154)*10000,"n/a")</f>
        <v>-31.503583071372365</v>
      </c>
      <c r="H156" s="5">
        <f>IF(AND(ISNUMBER(H154),ISNUMBER(C154)),(H154-C154)*10000,"n/a")</f>
        <v>-4.679561490919144</v>
      </c>
      <c r="I156" s="45">
        <f>IF(AND(ISNUMBER(I154),ISNUMBER(D154)),(I154-D154)*10000,"n/a")</f>
        <v>-13.457943925233636</v>
      </c>
      <c r="J156" s="2"/>
      <c r="K156" s="2"/>
      <c r="L156" s="2"/>
      <c r="M156" s="2"/>
      <c r="N156" s="2"/>
      <c r="O156" s="2"/>
    </row>
    <row r="157">
      <c r="A157" s="62" t="s">
        <v>285</v>
      </c>
      <c r="B157" s="8">
        <v>216701</v>
      </c>
      <c r="C157" s="8">
        <v>220795</v>
      </c>
      <c r="D157" s="8">
        <v>216146</v>
      </c>
      <c r="E157" s="8">
        <v>216349</v>
      </c>
      <c r="F157" s="3">
        <f>E157</f>
        <v>216349</v>
      </c>
      <c r="G157" s="8">
        <v>215409</v>
      </c>
      <c r="H157" s="8">
        <v>215070</v>
      </c>
      <c r="I157" s="46">
        <f>I164</f>
        <v>214497.88889863013</v>
      </c>
      <c r="J157" s="6" t="s">
        <v>286</v>
      </c>
      <c r="K157" s="2"/>
      <c r="L157" s="2"/>
      <c r="M157" s="2"/>
      <c r="N157" s="2"/>
      <c r="O157" s="2"/>
    </row>
    <row r="158">
      <c r="A158" s="61" t="s">
        <v>122</v>
      </c>
      <c r="B158" s="12" t="s">
        <v>37</v>
      </c>
      <c r="C158" s="12" t="s">
        <v>37</v>
      </c>
      <c r="D158" s="12" t="s">
        <v>37</v>
      </c>
      <c r="E158" s="12" t="s">
        <v>37</v>
      </c>
      <c r="F158" s="12" t="s">
        <v>37</v>
      </c>
      <c r="G158" s="12">
        <f>G157/B157-1</f>
        <v>-0.005962132154443189</v>
      </c>
      <c r="H158" s="12">
        <f>H157/C157-1</f>
        <v>-0.02592902918997264</v>
      </c>
      <c r="I158" s="35">
        <f>I157/D157-1</f>
        <v>-0.0076249900593574615</v>
      </c>
      <c r="J158" s="2"/>
      <c r="K158" s="2"/>
      <c r="L158" s="2"/>
      <c r="M158" s="2"/>
      <c r="N158" s="2"/>
      <c r="O158" s="2"/>
    </row>
    <row r="159">
      <c r="A159" s="61" t="s">
        <v>110</v>
      </c>
      <c r="B159" s="1" t="s">
        <v>37</v>
      </c>
      <c r="C159" s="1">
        <f>IF(AND(ISNUMBER(C157),ISNUMBER(B157)),C157-B157,"n/a")</f>
        <v>4094</v>
      </c>
      <c r="D159" s="1">
        <f>IF(AND(ISNUMBER(D157),ISNUMBER(C157)),D157-C157,"n/a")</f>
        <v>-4649</v>
      </c>
      <c r="E159" s="1">
        <f>IF(AND(ISNUMBER(E157),ISNUMBER(D157)),E157-D157,"n/a")</f>
        <v>203</v>
      </c>
      <c r="F159" s="1" t="s">
        <v>37</v>
      </c>
      <c r="G159" s="1">
        <f>IF(AND(ISNUMBER(G157),ISNUMBER(E157)),G157-E157,"n/a")</f>
        <v>-940</v>
      </c>
      <c r="H159" s="1">
        <f>IF(AND(ISNUMBER(H157),ISNUMBER(G157)),H157-G157,"n/a")</f>
        <v>-339</v>
      </c>
      <c r="I159" s="13">
        <f>IF(AND(ISNUMBER(I157),ISNUMBER(H157)),I157-H157,"n/a")</f>
        <v>-572.1111013698683</v>
      </c>
      <c r="J159" s="2"/>
      <c r="K159" s="2"/>
      <c r="L159" s="2"/>
      <c r="M159" s="2"/>
      <c r="N159" s="2"/>
      <c r="O159" s="2"/>
    </row>
    <row r="160">
      <c r="A160" s="79" t="s">
        <v>287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>
      <c r="A161" s="87" t="s">
        <v>288</v>
      </c>
      <c r="B161" s="3" t="s">
        <v>37</v>
      </c>
      <c r="C161" s="3">
        <f>B157</f>
        <v>216701</v>
      </c>
      <c r="D161" s="3">
        <f>C157</f>
        <v>220795</v>
      </c>
      <c r="E161" s="3">
        <f>D157</f>
        <v>216146</v>
      </c>
      <c r="F161" s="3" t="s">
        <v>37</v>
      </c>
      <c r="G161" s="3">
        <f>E157</f>
        <v>216349</v>
      </c>
      <c r="H161" s="3">
        <f>G157</f>
        <v>215409</v>
      </c>
      <c r="I161" s="46">
        <f>H157</f>
        <v>215070</v>
      </c>
      <c r="J161" s="2"/>
      <c r="K161" s="2"/>
      <c r="L161" s="2"/>
      <c r="M161" s="2"/>
      <c r="N161" s="2"/>
      <c r="O161" s="2"/>
    </row>
    <row r="162">
      <c r="A162" s="87" t="s">
        <v>289</v>
      </c>
      <c r="B162" s="3" t="s">
        <v>37</v>
      </c>
      <c r="C162" s="3">
        <f>C144</f>
        <v>9645</v>
      </c>
      <c r="D162" s="3">
        <f>D144</f>
        <v>9951</v>
      </c>
      <c r="E162" s="3">
        <f>E144</f>
        <v>12627</v>
      </c>
      <c r="F162" s="3" t="s">
        <v>37</v>
      </c>
      <c r="G162" s="3">
        <f>G144</f>
        <v>11474</v>
      </c>
      <c r="H162" s="3">
        <f>H144</f>
        <v>10605</v>
      </c>
      <c r="I162" s="46">
        <f>I144</f>
        <v>9500</v>
      </c>
      <c r="J162" s="6" t="s">
        <v>290</v>
      </c>
      <c r="K162" s="2"/>
      <c r="L162" s="2"/>
      <c r="M162" s="2"/>
      <c r="N162" s="2"/>
      <c r="O162" s="2"/>
    </row>
    <row r="163">
      <c r="A163" s="87" t="s">
        <v>291</v>
      </c>
      <c r="B163" s="3" t="s">
        <v>37</v>
      </c>
      <c r="C163" s="3">
        <f>C164-C161-C162</f>
        <v>-5551</v>
      </c>
      <c r="D163" s="3">
        <f>D164-D161-D162</f>
        <v>-14600</v>
      </c>
      <c r="E163" s="3">
        <f>E164-E161-E162</f>
        <v>-12424</v>
      </c>
      <c r="F163" s="3" t="s">
        <v>37</v>
      </c>
      <c r="G163" s="3">
        <f>G164-G161-G162</f>
        <v>-12414</v>
      </c>
      <c r="H163" s="3">
        <f>H164-H161-H162</f>
        <v>-10944</v>
      </c>
      <c r="I163" s="46">
        <f>-I166*I161*(I$7/365)</f>
        <v>-10072.111101369865</v>
      </c>
      <c r="J163" s="6" t="s">
        <v>292</v>
      </c>
      <c r="K163" s="2"/>
      <c r="L163" s="2"/>
      <c r="M163" s="2"/>
      <c r="N163" s="2"/>
      <c r="O163" s="2"/>
    </row>
    <row r="164">
      <c r="A164" s="91" t="s">
        <v>293</v>
      </c>
      <c r="B164" s="15" t="s">
        <v>37</v>
      </c>
      <c r="C164" s="15">
        <f>C157</f>
        <v>220795</v>
      </c>
      <c r="D164" s="15">
        <f>D157</f>
        <v>216146</v>
      </c>
      <c r="E164" s="15">
        <f>E157</f>
        <v>216349</v>
      </c>
      <c r="F164" s="15" t="s">
        <v>37</v>
      </c>
      <c r="G164" s="15">
        <f>G157</f>
        <v>215409</v>
      </c>
      <c r="H164" s="15">
        <f>H157</f>
        <v>215070</v>
      </c>
      <c r="I164" s="38">
        <f>I161+I162+I163</f>
        <v>214497.88889863013</v>
      </c>
      <c r="J164" s="2"/>
      <c r="K164" s="2"/>
      <c r="L164" s="2"/>
      <c r="M164" s="2"/>
      <c r="N164" s="2"/>
      <c r="O164" s="2"/>
    </row>
    <row r="165">
      <c r="A165" s="87" t="s">
        <v>294</v>
      </c>
      <c r="B165" s="3" t="s">
        <v>37</v>
      </c>
      <c r="C165" s="3">
        <f>(C161+C164)/2</f>
        <v>218748</v>
      </c>
      <c r="D165" s="3">
        <f>(D161+D164)/2</f>
        <v>218470.5</v>
      </c>
      <c r="E165" s="3">
        <f>(E161+E164)/2</f>
        <v>216247.5</v>
      </c>
      <c r="F165" s="3" t="s">
        <v>37</v>
      </c>
      <c r="G165" s="3">
        <f>(G161+G164)/2</f>
        <v>215879</v>
      </c>
      <c r="H165" s="3">
        <f>(H161+H164)/2</f>
        <v>215239.5</v>
      </c>
      <c r="I165" s="46">
        <f>(I161+I164)/2</f>
        <v>214783.94444931508</v>
      </c>
      <c r="J165" s="2"/>
      <c r="K165" s="2"/>
      <c r="L165" s="2"/>
      <c r="M165" s="2"/>
      <c r="N165" s="2"/>
      <c r="O165" s="2"/>
    </row>
    <row r="166">
      <c r="A166" s="78" t="s">
        <v>295</v>
      </c>
      <c r="B166" s="12" t="s">
        <v>37</v>
      </c>
      <c r="C166" s="12">
        <f>-C163/C161/(C$7/365)</f>
        <v>0.10274525728999866</v>
      </c>
      <c r="D166" s="12">
        <f>-D163/D161/(D$7/365)</f>
        <v>0.2623425034238921</v>
      </c>
      <c r="E166" s="12">
        <f>-E163/E161/(E$7/365)</f>
        <v>0.22804432913501702</v>
      </c>
      <c r="F166" s="12" t="s">
        <v>37</v>
      </c>
      <c r="G166" s="12">
        <f>-G163/G161/(G$7/365)</f>
        <v>0.2327057978852071</v>
      </c>
      <c r="H166" s="12">
        <f>-H163/H161/(H$7/365)</f>
        <v>0.2037810107110833</v>
      </c>
      <c r="I166" s="60">
        <v>0.1858</v>
      </c>
      <c r="J166" s="6" t="s">
        <v>296</v>
      </c>
      <c r="K166" s="2"/>
      <c r="L166" s="2"/>
      <c r="M166" s="2"/>
      <c r="N166" s="2"/>
      <c r="O166" s="2"/>
    </row>
    <row r="167">
      <c r="A167" s="90" t="s">
        <v>144</v>
      </c>
      <c r="B167" s="5" t="s">
        <v>37</v>
      </c>
      <c r="C167" s="5" t="str">
        <f>IF(AND(ISNUMBER(C166),ISNUMBER(B166)),(C166-B166)*10000,"n/a")</f>
        <v>n/a</v>
      </c>
      <c r="D167" s="5">
        <f>IF(AND(ISNUMBER(D166),ISNUMBER(C166)),(D166-C166)*10000,"n/a")</f>
        <v>1595.9724613389342</v>
      </c>
      <c r="E167" s="5">
        <f>IF(AND(ISNUMBER(E166),ISNUMBER(D166)),(E166-D166)*10000,"n/a")</f>
        <v>-342.9817428887508</v>
      </c>
      <c r="F167" s="5" t="s">
        <v>37</v>
      </c>
      <c r="G167" s="5">
        <f>IF(AND(ISNUMBER(G166),ISNUMBER(E166)),(G166-E166)*10000,"n/a")</f>
        <v>46.61468750190079</v>
      </c>
      <c r="H167" s="5">
        <f>IF(AND(ISNUMBER(H166),ISNUMBER(G166)),(H166-G166)*10000,"n/a")</f>
        <v>-289.24787174123804</v>
      </c>
      <c r="I167" s="45">
        <f>IF(AND(ISNUMBER(I166),ISNUMBER(H166)),(I166-H166)*10000,"n/a")</f>
        <v>-179.81010711083294</v>
      </c>
      <c r="J167" s="2"/>
      <c r="K167" s="2"/>
      <c r="L167" s="2"/>
      <c r="M167" s="2"/>
      <c r="N167" s="2"/>
      <c r="O167" s="2"/>
    </row>
    <row r="168">
      <c r="A168" s="90" t="s">
        <v>145</v>
      </c>
      <c r="B168" s="5" t="s">
        <v>37</v>
      </c>
      <c r="C168" s="5" t="s">
        <v>37</v>
      </c>
      <c r="D168" s="5" t="s">
        <v>37</v>
      </c>
      <c r="E168" s="5" t="s">
        <v>37</v>
      </c>
      <c r="F168" s="5" t="s">
        <v>37</v>
      </c>
      <c r="G168" s="5" t="str">
        <f>IF(AND(ISNUMBER(G166),ISNUMBER(B166)),(G166-B166)*10000,"n/a")</f>
        <v>n/a</v>
      </c>
      <c r="H168" s="5">
        <f>IF(AND(ISNUMBER(H166),ISNUMBER(C166)),(H166-C166)*10000,"n/a")</f>
        <v>1010.3575342108463</v>
      </c>
      <c r="I168" s="45">
        <f>IF(AND(ISNUMBER(I166),ISNUMBER(D166)),(I166-D166)*10000,"n/a")</f>
        <v>-765.425034238921</v>
      </c>
      <c r="J168" s="2"/>
      <c r="K168" s="2"/>
      <c r="L168" s="2"/>
      <c r="M168" s="2"/>
      <c r="N168" s="2"/>
      <c r="O168" s="2"/>
    </row>
    <row r="169">
      <c r="A169" s="62" t="s">
        <v>297</v>
      </c>
      <c r="B169" s="8">
        <v>172</v>
      </c>
      <c r="C169" s="8">
        <v>172</v>
      </c>
      <c r="D169" s="8">
        <v>173</v>
      </c>
      <c r="E169" s="8">
        <v>165</v>
      </c>
      <c r="F169" s="3">
        <f>SUM(B169:E169)</f>
        <v>682</v>
      </c>
      <c r="G169" s="8">
        <v>163</v>
      </c>
      <c r="H169" s="8">
        <v>164</v>
      </c>
      <c r="I169" s="46">
        <f>I157*I176*(I$7/365)</f>
        <v>164.89892499987843</v>
      </c>
      <c r="J169" s="2"/>
      <c r="K169" s="2"/>
      <c r="L169" s="2"/>
      <c r="M169" s="2"/>
      <c r="N169" s="2"/>
      <c r="O169" s="2"/>
    </row>
    <row r="170">
      <c r="A170" s="61" t="s">
        <v>122</v>
      </c>
      <c r="B170" s="12" t="s">
        <v>37</v>
      </c>
      <c r="C170" s="12" t="s">
        <v>37</v>
      </c>
      <c r="D170" s="12" t="s">
        <v>37</v>
      </c>
      <c r="E170" s="12" t="s">
        <v>37</v>
      </c>
      <c r="F170" s="12" t="s">
        <v>37</v>
      </c>
      <c r="G170" s="12">
        <f>G169/B169-1</f>
        <v>-0.05232558139534882</v>
      </c>
      <c r="H170" s="12">
        <f>H169/C169-1</f>
        <v>-0.046511627906976716</v>
      </c>
      <c r="I170" s="35">
        <f>I169/D169-1</f>
        <v>-0.04682702312208997</v>
      </c>
      <c r="J170" s="2"/>
      <c r="K170" s="2"/>
      <c r="L170" s="2"/>
      <c r="M170" s="2"/>
      <c r="N170" s="2"/>
      <c r="O170" s="2"/>
    </row>
    <row r="171">
      <c r="A171" s="61" t="s">
        <v>98</v>
      </c>
      <c r="B171" s="12" t="s">
        <v>37</v>
      </c>
      <c r="C171" s="12" t="s">
        <v>37</v>
      </c>
      <c r="D171" s="12" t="s">
        <v>37</v>
      </c>
      <c r="E171" s="12" t="s">
        <v>37</v>
      </c>
      <c r="F171" s="12" t="s">
        <v>37</v>
      </c>
      <c r="G171" s="65">
        <v>0</v>
      </c>
      <c r="H171" s="65">
        <v>0</v>
      </c>
      <c r="I171" s="60">
        <v>0</v>
      </c>
      <c r="J171" s="6" t="s">
        <v>106</v>
      </c>
      <c r="K171" s="2"/>
      <c r="L171" s="2"/>
      <c r="M171" s="2"/>
      <c r="N171" s="2"/>
      <c r="O171" s="2"/>
    </row>
    <row r="172">
      <c r="A172" s="61" t="s">
        <v>100</v>
      </c>
      <c r="B172" s="12" t="s">
        <v>37</v>
      </c>
      <c r="C172" s="12" t="s">
        <v>37</v>
      </c>
      <c r="D172" s="12" t="s">
        <v>37</v>
      </c>
      <c r="E172" s="12" t="s">
        <v>37</v>
      </c>
      <c r="F172" s="12" t="s">
        <v>37</v>
      </c>
      <c r="G172" s="12" t="s">
        <v>37</v>
      </c>
      <c r="H172" s="12" t="s">
        <v>37</v>
      </c>
      <c r="I172" s="35" t="s">
        <v>37</v>
      </c>
      <c r="J172" s="6" t="s">
        <v>101</v>
      </c>
      <c r="K172" s="2"/>
      <c r="L172" s="2"/>
      <c r="M172" s="2"/>
      <c r="N172" s="2"/>
      <c r="O172" s="2"/>
    </row>
    <row r="173">
      <c r="A173" s="61" t="s">
        <v>102</v>
      </c>
      <c r="B173" s="12" t="s">
        <v>37</v>
      </c>
      <c r="C173" s="12" t="s">
        <v>37</v>
      </c>
      <c r="D173" s="12" t="s">
        <v>37</v>
      </c>
      <c r="E173" s="12" t="s">
        <v>37</v>
      </c>
      <c r="F173" s="12" t="s">
        <v>37</v>
      </c>
      <c r="G173" s="12" t="str">
        <f>IF(ISNUMBER(G172),(1+G170)/((1+G171)*(1+G172))-1,"n/a")</f>
        <v>n/a</v>
      </c>
      <c r="H173" s="12" t="str">
        <f>IF(ISNUMBER(H172),(1+H170)/((1+H171)*(1+H172))-1,"n/a")</f>
        <v>n/a</v>
      </c>
      <c r="I173" s="35" t="str">
        <f>IF(ISNUMBER(I172),(1+I170)/((1+I171)*(1+I172))-1,"n/a")</f>
        <v>n/a</v>
      </c>
      <c r="J173" s="6" t="s">
        <v>103</v>
      </c>
      <c r="K173" s="2"/>
      <c r="L173" s="2"/>
      <c r="M173" s="2"/>
      <c r="N173" s="2"/>
      <c r="O173" s="2"/>
    </row>
    <row r="174">
      <c r="A174" s="61" t="s">
        <v>104</v>
      </c>
      <c r="B174" s="12" t="s">
        <v>37</v>
      </c>
      <c r="C174" s="12" t="s">
        <v>37</v>
      </c>
      <c r="D174" s="12" t="s">
        <v>37</v>
      </c>
      <c r="E174" s="12" t="s">
        <v>37</v>
      </c>
      <c r="F174" s="12" t="s">
        <v>37</v>
      </c>
      <c r="G174" s="12">
        <f>IF(ISNUMBER(G171),G170-G171,"n/a")</f>
        <v>-0.05232558139534882</v>
      </c>
      <c r="H174" s="12">
        <f>IF(ISNUMBER(H171),H170-H171,"n/a")</f>
        <v>-0.046511627906976716</v>
      </c>
      <c r="I174" s="35">
        <f>IF(ISNUMBER(I171),I170-I171,"n/a")</f>
        <v>-0.04682702312208997</v>
      </c>
      <c r="J174" s="2"/>
      <c r="K174" s="2"/>
      <c r="L174" s="2"/>
      <c r="M174" s="2"/>
      <c r="N174" s="2"/>
      <c r="O174" s="2"/>
    </row>
    <row r="175">
      <c r="A175" s="61" t="s">
        <v>110</v>
      </c>
      <c r="B175" s="1" t="s">
        <v>37</v>
      </c>
      <c r="C175" s="1">
        <f>IF(AND(ISNUMBER(C169),ISNUMBER(B169)),C169-B169,"n/a")</f>
        <v>0</v>
      </c>
      <c r="D175" s="1">
        <f>IF(AND(ISNUMBER(D169),ISNUMBER(C169)),D169-C169,"n/a")</f>
        <v>1</v>
      </c>
      <c r="E175" s="1">
        <f>IF(AND(ISNUMBER(E169),ISNUMBER(D169)),E169-D169,"n/a")</f>
        <v>-8</v>
      </c>
      <c r="F175" s="1" t="s">
        <v>37</v>
      </c>
      <c r="G175" s="1">
        <f>IF(AND(ISNUMBER(G169),ISNUMBER(E169)),G169-E169,"n/a")</f>
        <v>-2</v>
      </c>
      <c r="H175" s="1">
        <f>IF(AND(ISNUMBER(H169),ISNUMBER(G169)),H169-G169,"n/a")</f>
        <v>1</v>
      </c>
      <c r="I175" s="13">
        <f>IF(AND(ISNUMBER(I169),ISNUMBER(H169)),I169-H169,"n/a")</f>
        <v>0.8989249998784317</v>
      </c>
      <c r="J175" s="2"/>
      <c r="K175" s="2"/>
      <c r="L175" s="2"/>
      <c r="M175" s="2"/>
      <c r="N175" s="2"/>
      <c r="O175" s="2"/>
    </row>
    <row r="176">
      <c r="A176" s="61" t="s">
        <v>298</v>
      </c>
      <c r="B176" s="69">
        <f>B169/B157/(B$7/365)</f>
        <v>0.0032189770954243664</v>
      </c>
      <c r="C176" s="69">
        <f>C169/C157/(C$7/365)</f>
        <v>0.003124573065015557</v>
      </c>
      <c r="D176" s="69">
        <f>D169/D157/(D$7/365)</f>
        <v>0.003175440191593524</v>
      </c>
      <c r="E176" s="69">
        <f>E169/E157/(E$7/365)</f>
        <v>0.003025757295931071</v>
      </c>
      <c r="F176" s="69">
        <f>F169/F157</f>
        <v>0.0031523140851124802</v>
      </c>
      <c r="G176" s="69">
        <f>G169/G157/(G$7/365)</f>
        <v>0.003068839071513055</v>
      </c>
      <c r="H176" s="69">
        <f>H169/H157/(H$7/365)</f>
        <v>0.003058549299308122</v>
      </c>
      <c r="I176" s="75">
        <v>0.00305</v>
      </c>
      <c r="J176" s="6" t="s">
        <v>299</v>
      </c>
      <c r="K176" s="2"/>
      <c r="L176" s="2"/>
      <c r="M176" s="2"/>
      <c r="N176" s="2"/>
      <c r="O176" s="2"/>
    </row>
    <row r="177">
      <c r="A177" s="78" t="s">
        <v>144</v>
      </c>
      <c r="B177" s="5" t="s">
        <v>37</v>
      </c>
      <c r="C177" s="5">
        <f>IF(AND(ISNUMBER(C176),ISNUMBER(B176)),(C176-B176)*10000,"n/a")</f>
        <v>-0.9440403040880934</v>
      </c>
      <c r="D177" s="5">
        <f>IF(AND(ISNUMBER(D176),ISNUMBER(C176)),(D176-C176)*10000,"n/a")</f>
        <v>0.5086712657796687</v>
      </c>
      <c r="E177" s="5">
        <f>IF(AND(ISNUMBER(E176),ISNUMBER(D176)),(E176-D176)*10000,"n/a")</f>
        <v>-1.49682895662453</v>
      </c>
      <c r="F177" s="5" t="s">
        <v>37</v>
      </c>
      <c r="G177" s="5">
        <f>IF(AND(ISNUMBER(G176),ISNUMBER(E176)),(G176-E176)*10000,"n/a")</f>
        <v>0.4308177558198399</v>
      </c>
      <c r="H177" s="5">
        <f>IF(AND(ISNUMBER(H176),ISNUMBER(G176)),(H176-G176)*10000,"n/a")</f>
        <v>-0.10289772204932941</v>
      </c>
      <c r="I177" s="45">
        <f>IF(AND(ISNUMBER(I176),ISNUMBER(H176)),(I176-H176)*10000,"n/a")</f>
        <v>-0.08549299308121747</v>
      </c>
      <c r="J177" s="2"/>
      <c r="K177" s="2"/>
      <c r="L177" s="2"/>
      <c r="M177" s="2"/>
      <c r="N177" s="2"/>
      <c r="O177" s="2"/>
    </row>
    <row r="178">
      <c r="A178" s="78" t="s">
        <v>145</v>
      </c>
      <c r="B178" s="5" t="s">
        <v>37</v>
      </c>
      <c r="C178" s="5" t="s">
        <v>37</v>
      </c>
      <c r="D178" s="5" t="s">
        <v>37</v>
      </c>
      <c r="E178" s="5" t="s">
        <v>37</v>
      </c>
      <c r="F178" s="5" t="s">
        <v>37</v>
      </c>
      <c r="G178" s="5">
        <f>IF(AND(ISNUMBER(G176),ISNUMBER(B176)),(G176-B176)*10000,"n/a")</f>
        <v>-1.5013802391131148</v>
      </c>
      <c r="H178" s="5">
        <f>IF(AND(ISNUMBER(H176),ISNUMBER(C176)),(H176-C176)*10000,"n/a")</f>
        <v>-0.6602376570743508</v>
      </c>
      <c r="I178" s="45">
        <f>IF(AND(ISNUMBER(I176),ISNUMBER(D176)),(I176-D176)*10000,"n/a")</f>
        <v>-1.254401915935237</v>
      </c>
      <c r="J178" s="2"/>
      <c r="K178" s="2"/>
      <c r="L178" s="2"/>
      <c r="M178" s="2"/>
      <c r="N178" s="2"/>
      <c r="O178" s="2"/>
    </row>
    <row r="179">
      <c r="A179" s="62" t="s">
        <v>300</v>
      </c>
      <c r="B179" s="8">
        <v>2</v>
      </c>
      <c r="C179" s="8">
        <v>-4</v>
      </c>
      <c r="D179" s="8">
        <v>12</v>
      </c>
      <c r="E179" s="8">
        <v>-11</v>
      </c>
      <c r="F179" s="3">
        <f>SUM(B179:E179)</f>
        <v>-1</v>
      </c>
      <c r="G179" s="8">
        <v>-27</v>
      </c>
      <c r="H179" s="8">
        <v>2</v>
      </c>
      <c r="I179" s="32">
        <v>0</v>
      </c>
      <c r="J179" s="2"/>
      <c r="K179" s="2"/>
      <c r="L179" s="2"/>
      <c r="M179" s="2"/>
      <c r="N179" s="2"/>
      <c r="O179" s="2"/>
    </row>
    <row r="180">
      <c r="A180" s="61" t="s">
        <v>216</v>
      </c>
      <c r="B180" s="1" t="s">
        <v>37</v>
      </c>
      <c r="C180" s="1" t="s">
        <v>37</v>
      </c>
      <c r="D180" s="1" t="s">
        <v>37</v>
      </c>
      <c r="E180" s="1" t="s">
        <v>37</v>
      </c>
      <c r="F180" s="1" t="s">
        <v>37</v>
      </c>
      <c r="G180" s="1">
        <f>IF(AND(ISNUMBER(G179),ISNUMBER(B179)),G179-B179,"n/a")</f>
        <v>-29</v>
      </c>
      <c r="H180" s="1">
        <f>IF(AND(ISNUMBER(H179),ISNUMBER(C179)),H179-C179,"n/a")</f>
        <v>6</v>
      </c>
      <c r="I180" s="13">
        <f>IF(AND(ISNUMBER(I179),ISNUMBER(D179)),I179-D179,"n/a")</f>
        <v>-12</v>
      </c>
      <c r="J180" s="2"/>
      <c r="K180" s="2"/>
      <c r="L180" s="2"/>
      <c r="M180" s="2"/>
      <c r="N180" s="2"/>
      <c r="O180" s="2"/>
    </row>
    <row r="181">
      <c r="A181" s="61" t="s">
        <v>110</v>
      </c>
      <c r="B181" s="1" t="s">
        <v>37</v>
      </c>
      <c r="C181" s="1">
        <f>IF(AND(ISNUMBER(C179),ISNUMBER(B179)),C179-B179,"n/a")</f>
        <v>-6</v>
      </c>
      <c r="D181" s="1">
        <f>IF(AND(ISNUMBER(D179),ISNUMBER(C179)),D179-C179,"n/a")</f>
        <v>16</v>
      </c>
      <c r="E181" s="1">
        <f>IF(AND(ISNUMBER(E179),ISNUMBER(D179)),E179-D179,"n/a")</f>
        <v>-23</v>
      </c>
      <c r="F181" s="1" t="s">
        <v>37</v>
      </c>
      <c r="G181" s="1">
        <f>IF(AND(ISNUMBER(G179),ISNUMBER(E179)),G179-E179,"n/a")</f>
        <v>-16</v>
      </c>
      <c r="H181" s="1">
        <f>IF(AND(ISNUMBER(H179),ISNUMBER(G179)),H179-G179,"n/a")</f>
        <v>29</v>
      </c>
      <c r="I181" s="13">
        <f>IF(AND(ISNUMBER(I179),ISNUMBER(H179)),I179-H179,"n/a")</f>
        <v>-2</v>
      </c>
      <c r="J181" s="2"/>
      <c r="K181" s="2"/>
      <c r="L181" s="2"/>
      <c r="M181" s="2"/>
      <c r="N181" s="2"/>
      <c r="O181" s="2"/>
    </row>
    <row r="182">
      <c r="A182" s="62" t="s">
        <v>301</v>
      </c>
      <c r="B182" s="8">
        <v>-72</v>
      </c>
      <c r="C182" s="8">
        <v>-86</v>
      </c>
      <c r="D182" s="8">
        <v>-98</v>
      </c>
      <c r="E182" s="8">
        <v>-108</v>
      </c>
      <c r="F182" s="3">
        <f>SUM(B182:E182)</f>
        <v>-364</v>
      </c>
      <c r="G182" s="8">
        <v>-63</v>
      </c>
      <c r="H182" s="8">
        <v>-80</v>
      </c>
      <c r="I182" s="32">
        <v>-75</v>
      </c>
      <c r="J182" s="2"/>
      <c r="K182" s="2"/>
      <c r="L182" s="2"/>
      <c r="M182" s="2"/>
      <c r="N182" s="2"/>
      <c r="O182" s="2"/>
    </row>
    <row r="183">
      <c r="A183" s="61" t="s">
        <v>216</v>
      </c>
      <c r="B183" s="1" t="s">
        <v>37</v>
      </c>
      <c r="C183" s="1" t="s">
        <v>37</v>
      </c>
      <c r="D183" s="1" t="s">
        <v>37</v>
      </c>
      <c r="E183" s="1" t="s">
        <v>37</v>
      </c>
      <c r="F183" s="1" t="s">
        <v>37</v>
      </c>
      <c r="G183" s="1">
        <f>IF(AND(ISNUMBER(G182),ISNUMBER(B182)),G182-B182,"n/a")</f>
        <v>9</v>
      </c>
      <c r="H183" s="1">
        <f>IF(AND(ISNUMBER(H182),ISNUMBER(C182)),H182-C182,"n/a")</f>
        <v>6</v>
      </c>
      <c r="I183" s="13">
        <f>IF(AND(ISNUMBER(I182),ISNUMBER(D182)),I182-D182,"n/a")</f>
        <v>23</v>
      </c>
      <c r="J183" s="2"/>
      <c r="K183" s="2"/>
      <c r="L183" s="2"/>
      <c r="M183" s="2"/>
      <c r="N183" s="2"/>
      <c r="O183" s="2"/>
    </row>
    <row r="184">
      <c r="A184" s="61" t="s">
        <v>110</v>
      </c>
      <c r="B184" s="1" t="s">
        <v>37</v>
      </c>
      <c r="C184" s="1">
        <f>IF(AND(ISNUMBER(C182),ISNUMBER(B182)),C182-B182,"n/a")</f>
        <v>-14</v>
      </c>
      <c r="D184" s="1">
        <f>IF(AND(ISNUMBER(D182),ISNUMBER(C182)),D182-C182,"n/a")</f>
        <v>-12</v>
      </c>
      <c r="E184" s="1">
        <f>IF(AND(ISNUMBER(E182),ISNUMBER(D182)),E182-D182,"n/a")</f>
        <v>-10</v>
      </c>
      <c r="F184" s="1" t="s">
        <v>37</v>
      </c>
      <c r="G184" s="1">
        <f>IF(AND(ISNUMBER(G182),ISNUMBER(E182)),G182-E182,"n/a")</f>
        <v>45</v>
      </c>
      <c r="H184" s="1">
        <f>IF(AND(ISNUMBER(H182),ISNUMBER(G182)),H182-G182,"n/a")</f>
        <v>-17</v>
      </c>
      <c r="I184" s="13">
        <f>IF(AND(ISNUMBER(I182),ISNUMBER(H182)),I182-H182,"n/a")</f>
        <v>5</v>
      </c>
      <c r="J184" s="2"/>
      <c r="K184" s="2"/>
      <c r="L184" s="2"/>
      <c r="M184" s="2"/>
      <c r="N184" s="2"/>
      <c r="O184" s="2"/>
    </row>
    <row r="185">
      <c r="A185" s="68" t="s">
        <v>302</v>
      </c>
      <c r="B185" s="15">
        <f>B147+B169+B179+B182</f>
        <v>173</v>
      </c>
      <c r="C185" s="15">
        <f>C147+C169+C179+C182</f>
        <v>162</v>
      </c>
      <c r="D185" s="15">
        <f>D147+D169+D179+D182</f>
        <v>180</v>
      </c>
      <c r="E185" s="15">
        <f>E147+E169+E179+E182</f>
        <v>130</v>
      </c>
      <c r="F185" s="15">
        <f>F147+F169+F179+F182</f>
        <v>645</v>
      </c>
      <c r="G185" s="15">
        <f>G147+G169+G179+G182</f>
        <v>161</v>
      </c>
      <c r="H185" s="15">
        <f>H147+H169+H179+H182</f>
        <v>169</v>
      </c>
      <c r="I185" s="38">
        <f>I147+I169+I179+I182</f>
        <v>165.89892499987843</v>
      </c>
      <c r="J185" s="6" t="s">
        <v>303</v>
      </c>
      <c r="K185" s="2"/>
      <c r="L185" s="2"/>
      <c r="M185" s="2"/>
      <c r="N185" s="2"/>
      <c r="O185" s="2"/>
    </row>
    <row r="186">
      <c r="A186" s="14" t="s">
        <v>122</v>
      </c>
      <c r="B186" s="12" t="s">
        <v>37</v>
      </c>
      <c r="C186" s="12" t="s">
        <v>37</v>
      </c>
      <c r="D186" s="12" t="s">
        <v>37</v>
      </c>
      <c r="E186" s="12" t="s">
        <v>37</v>
      </c>
      <c r="F186" s="12" t="s">
        <v>37</v>
      </c>
      <c r="G186" s="12">
        <f>G185/B185-1</f>
        <v>-0.06936416184971095</v>
      </c>
      <c r="H186" s="12">
        <f>H185/C185-1</f>
        <v>0.043209876543209846</v>
      </c>
      <c r="I186" s="35">
        <f>I185/D185-1</f>
        <v>-0.07833930555623092</v>
      </c>
      <c r="J186" s="2"/>
      <c r="K186" s="2"/>
      <c r="L186" s="2"/>
      <c r="M186" s="2"/>
      <c r="N186" s="2"/>
      <c r="O186" s="2"/>
    </row>
    <row r="187">
      <c r="A187" s="14" t="s">
        <v>110</v>
      </c>
      <c r="B187" s="1" t="s">
        <v>37</v>
      </c>
      <c r="C187" s="1">
        <f>IF(AND(ISNUMBER(C185),ISNUMBER(B185)),C185-B185,"n/a")</f>
        <v>-11</v>
      </c>
      <c r="D187" s="1">
        <f>IF(AND(ISNUMBER(D185),ISNUMBER(C185)),D185-C185,"n/a")</f>
        <v>18</v>
      </c>
      <c r="E187" s="1">
        <f>IF(AND(ISNUMBER(E185),ISNUMBER(D185)),E185-D185,"n/a")</f>
        <v>-50</v>
      </c>
      <c r="F187" s="1" t="s">
        <v>37</v>
      </c>
      <c r="G187" s="1">
        <f>IF(AND(ISNUMBER(G185),ISNUMBER(E185)),G185-E185,"n/a")</f>
        <v>31</v>
      </c>
      <c r="H187" s="1">
        <f>IF(AND(ISNUMBER(H185),ISNUMBER(G185)),H185-G185,"n/a")</f>
        <v>8</v>
      </c>
      <c r="I187" s="13">
        <f>IF(AND(ISNUMBER(I185),ISNUMBER(H185)),I185-H185,"n/a")</f>
        <v>-3.1010750001215683</v>
      </c>
      <c r="J187" s="2"/>
      <c r="K187" s="2"/>
      <c r="L187" s="2"/>
      <c r="M187" s="2"/>
      <c r="N187" s="2"/>
      <c r="O187" s="2"/>
    </row>
    <row r="188">
      <c r="A188" s="14" t="s">
        <v>98</v>
      </c>
      <c r="B188" s="12" t="s">
        <v>37</v>
      </c>
      <c r="C188" s="12" t="s">
        <v>37</v>
      </c>
      <c r="D188" s="12" t="s">
        <v>37</v>
      </c>
      <c r="E188" s="12" t="s">
        <v>37</v>
      </c>
      <c r="F188" s="12" t="s">
        <v>37</v>
      </c>
      <c r="G188" s="65">
        <v>0</v>
      </c>
      <c r="H188" s="65">
        <v>0</v>
      </c>
      <c r="I188" s="60">
        <v>0</v>
      </c>
      <c r="J188" s="6" t="s">
        <v>106</v>
      </c>
      <c r="K188" s="2"/>
      <c r="L188" s="2"/>
      <c r="M188" s="2"/>
      <c r="N188" s="2"/>
      <c r="O188" s="2"/>
    </row>
    <row r="189">
      <c r="A189" s="14" t="s">
        <v>100</v>
      </c>
      <c r="B189" s="12" t="s">
        <v>37</v>
      </c>
      <c r="C189" s="12" t="s">
        <v>37</v>
      </c>
      <c r="D189" s="12" t="s">
        <v>37</v>
      </c>
      <c r="E189" s="12" t="s">
        <v>37</v>
      </c>
      <c r="F189" s="12" t="s">
        <v>37</v>
      </c>
      <c r="G189" s="12" t="s">
        <v>37</v>
      </c>
      <c r="H189" s="12" t="s">
        <v>37</v>
      </c>
      <c r="I189" s="35" t="s">
        <v>37</v>
      </c>
      <c r="J189" s="6" t="s">
        <v>101</v>
      </c>
      <c r="K189" s="2"/>
      <c r="L189" s="2"/>
      <c r="M189" s="2"/>
      <c r="N189" s="2"/>
      <c r="O189" s="2"/>
    </row>
    <row r="190">
      <c r="A190" s="14" t="s">
        <v>102</v>
      </c>
      <c r="B190" s="12" t="s">
        <v>37</v>
      </c>
      <c r="C190" s="12" t="s">
        <v>37</v>
      </c>
      <c r="D190" s="12" t="s">
        <v>37</v>
      </c>
      <c r="E190" s="12" t="s">
        <v>37</v>
      </c>
      <c r="F190" s="12" t="s">
        <v>37</v>
      </c>
      <c r="G190" s="12" t="str">
        <f>IF(ISNUMBER(G189),(1+G186)/((1+G188)*(1+G189))-1,"n/a")</f>
        <v>n/a</v>
      </c>
      <c r="H190" s="12" t="str">
        <f>IF(ISNUMBER(H189),(1+H186)/((1+H188)*(1+H189))-1,"n/a")</f>
        <v>n/a</v>
      </c>
      <c r="I190" s="35" t="str">
        <f>IF(ISNUMBER(I189),(1+I186)/((1+I188)*(1+I189))-1,"n/a")</f>
        <v>n/a</v>
      </c>
      <c r="J190" s="6" t="s">
        <v>103</v>
      </c>
      <c r="K190" s="2"/>
      <c r="L190" s="2"/>
      <c r="M190" s="2"/>
      <c r="N190" s="2"/>
      <c r="O190" s="2"/>
    </row>
    <row r="191">
      <c r="A191" s="14" t="s">
        <v>104</v>
      </c>
      <c r="B191" s="12" t="s">
        <v>37</v>
      </c>
      <c r="C191" s="12" t="s">
        <v>37</v>
      </c>
      <c r="D191" s="12" t="s">
        <v>37</v>
      </c>
      <c r="E191" s="12" t="s">
        <v>37</v>
      </c>
      <c r="F191" s="12" t="s">
        <v>37</v>
      </c>
      <c r="G191" s="12">
        <f>IF(ISNUMBER(G188),G186-G188,"n/a")</f>
        <v>-0.06936416184971095</v>
      </c>
      <c r="H191" s="12">
        <f>IF(ISNUMBER(H188),H186-H188,"n/a")</f>
        <v>0.043209876543209846</v>
      </c>
      <c r="I191" s="35">
        <f>IF(ISNUMBER(I188),I186-I188,"n/a")</f>
        <v>-0.07833930555623092</v>
      </c>
      <c r="J191" s="2"/>
      <c r="K191" s="2"/>
      <c r="L191" s="2"/>
      <c r="M191" s="2"/>
      <c r="N191" s="2"/>
      <c r="O191" s="2"/>
    </row>
    <row r="192">
      <c r="A192" s="62" t="s">
        <v>304</v>
      </c>
      <c r="B192" s="8">
        <v>11631</v>
      </c>
      <c r="C192" s="8">
        <v>14363</v>
      </c>
      <c r="D192" s="8">
        <v>14845</v>
      </c>
      <c r="E192" s="8">
        <v>16214</v>
      </c>
      <c r="F192" s="3">
        <f>SUM(B192:E192)</f>
        <v>57053</v>
      </c>
      <c r="G192" s="8">
        <v>16307</v>
      </c>
      <c r="H192" s="8">
        <v>14795</v>
      </c>
      <c r="I192" s="46" t="s">
        <v>37</v>
      </c>
      <c r="J192" s="2"/>
      <c r="K192" s="2"/>
      <c r="L192" s="2"/>
      <c r="M192" s="2"/>
      <c r="N192" s="2"/>
      <c r="O192" s="2"/>
    </row>
    <row r="193">
      <c r="A193" s="61" t="s">
        <v>122</v>
      </c>
      <c r="B193" s="12" t="s">
        <v>37</v>
      </c>
      <c r="C193" s="12" t="s">
        <v>37</v>
      </c>
      <c r="D193" s="12" t="s">
        <v>37</v>
      </c>
      <c r="E193" s="12" t="s">
        <v>37</v>
      </c>
      <c r="F193" s="12" t="s">
        <v>37</v>
      </c>
      <c r="G193" s="12">
        <f>G192/B192-1</f>
        <v>0.4020290602699681</v>
      </c>
      <c r="H193" s="12">
        <f>H192/C192-1</f>
        <v>0.03007728190489445</v>
      </c>
      <c r="I193" s="35" t="s">
        <v>37</v>
      </c>
      <c r="J193" s="2"/>
      <c r="K193" s="2"/>
      <c r="L193" s="2"/>
      <c r="M193" s="2"/>
      <c r="N193" s="2"/>
      <c r="O193" s="2"/>
    </row>
    <row r="194">
      <c r="A194" s="61" t="s">
        <v>110</v>
      </c>
      <c r="B194" s="1" t="s">
        <v>37</v>
      </c>
      <c r="C194" s="1">
        <f>IF(AND(ISNUMBER(C192),ISNUMBER(B192)),C192-B192,"n/a")</f>
        <v>2732</v>
      </c>
      <c r="D194" s="1">
        <f>IF(AND(ISNUMBER(D192),ISNUMBER(C192)),D192-C192,"n/a")</f>
        <v>482</v>
      </c>
      <c r="E194" s="1">
        <f>IF(AND(ISNUMBER(E192),ISNUMBER(D192)),E192-D192,"n/a")</f>
        <v>1369</v>
      </c>
      <c r="F194" s="1" t="s">
        <v>37</v>
      </c>
      <c r="G194" s="1">
        <f>IF(AND(ISNUMBER(G192),ISNUMBER(E192)),G192-E192,"n/a")</f>
        <v>93</v>
      </c>
      <c r="H194" s="1">
        <f>IF(AND(ISNUMBER(H192),ISNUMBER(G192)),H192-G192,"n/a")</f>
        <v>-1512</v>
      </c>
      <c r="I194" s="13" t="s">
        <v>37</v>
      </c>
      <c r="J194" s="2"/>
      <c r="K194" s="2"/>
      <c r="L194" s="2"/>
      <c r="M194" s="2"/>
      <c r="N194" s="2"/>
      <c r="O194" s="2"/>
    </row>
    <row r="195">
      <c r="A195" s="36" t="s">
        <v>221</v>
      </c>
      <c r="B195" s="8">
        <v>64</v>
      </c>
      <c r="C195" s="8">
        <v>58</v>
      </c>
      <c r="D195" s="8">
        <v>59</v>
      </c>
      <c r="E195" s="8">
        <v>53</v>
      </c>
      <c r="F195" s="3">
        <f>SUM(B195:E195)</f>
        <v>234</v>
      </c>
      <c r="G195" s="8">
        <v>45</v>
      </c>
      <c r="H195" s="8">
        <v>46</v>
      </c>
      <c r="I195" s="46">
        <f>D195*(1+I196)</f>
        <v>50.15</v>
      </c>
      <c r="J195" s="2"/>
      <c r="K195" s="2"/>
      <c r="L195" s="2"/>
      <c r="M195" s="2"/>
      <c r="N195" s="2"/>
      <c r="O195" s="2"/>
    </row>
    <row r="196">
      <c r="A196" s="14" t="s">
        <v>122</v>
      </c>
      <c r="B196" s="12" t="s">
        <v>37</v>
      </c>
      <c r="C196" s="12" t="s">
        <v>37</v>
      </c>
      <c r="D196" s="12" t="s">
        <v>37</v>
      </c>
      <c r="E196" s="12" t="s">
        <v>37</v>
      </c>
      <c r="F196" s="12" t="s">
        <v>37</v>
      </c>
      <c r="G196" s="12">
        <f>G195/B195-1</f>
        <v>-0.296875</v>
      </c>
      <c r="H196" s="12">
        <f>H195/C195-1</f>
        <v>-0.2068965517241379</v>
      </c>
      <c r="I196" s="60">
        <v>-0.15</v>
      </c>
      <c r="J196" s="6" t="s">
        <v>138</v>
      </c>
      <c r="K196" s="2"/>
      <c r="L196" s="2"/>
      <c r="M196" s="2"/>
      <c r="N196" s="2"/>
      <c r="O196" s="2"/>
    </row>
    <row r="197">
      <c r="A197" s="14" t="s">
        <v>110</v>
      </c>
      <c r="B197" s="1" t="s">
        <v>37</v>
      </c>
      <c r="C197" s="1">
        <f>IF(AND(ISNUMBER(C195),ISNUMBER(B195)),C195-B195,"n/a")</f>
        <v>-6</v>
      </c>
      <c r="D197" s="1">
        <f>IF(AND(ISNUMBER(D195),ISNUMBER(C195)),D195-C195,"n/a")</f>
        <v>1</v>
      </c>
      <c r="E197" s="1">
        <f>IF(AND(ISNUMBER(E195),ISNUMBER(D195)),E195-D195,"n/a")</f>
        <v>-6</v>
      </c>
      <c r="F197" s="1" t="s">
        <v>37</v>
      </c>
      <c r="G197" s="1">
        <f>IF(AND(ISNUMBER(G195),ISNUMBER(E195)),G195-E195,"n/a")</f>
        <v>-8</v>
      </c>
      <c r="H197" s="1">
        <f>IF(AND(ISNUMBER(H195),ISNUMBER(G195)),H195-G195,"n/a")</f>
        <v>1</v>
      </c>
      <c r="I197" s="13">
        <f>IF(AND(ISNUMBER(I195),ISNUMBER(H195)),I195-H195,"n/a")</f>
        <v>4.149999999999999</v>
      </c>
      <c r="J197" s="2"/>
      <c r="K197" s="2"/>
      <c r="L197" s="2"/>
      <c r="M197" s="2"/>
      <c r="N197" s="2"/>
      <c r="O197" s="2"/>
    </row>
    <row r="198">
      <c r="A198" s="14" t="s">
        <v>98</v>
      </c>
      <c r="B198" s="12" t="s">
        <v>37</v>
      </c>
      <c r="C198" s="12" t="s">
        <v>37</v>
      </c>
      <c r="D198" s="12" t="s">
        <v>37</v>
      </c>
      <c r="E198" s="12" t="s">
        <v>37</v>
      </c>
      <c r="F198" s="12" t="s">
        <v>37</v>
      </c>
      <c r="G198" s="65">
        <v>0</v>
      </c>
      <c r="H198" s="65">
        <v>0</v>
      </c>
      <c r="I198" s="60">
        <v>0</v>
      </c>
      <c r="J198" s="6" t="s">
        <v>106</v>
      </c>
      <c r="K198" s="2"/>
      <c r="L198" s="2"/>
      <c r="M198" s="2"/>
      <c r="N198" s="2"/>
      <c r="O198" s="2"/>
    </row>
    <row r="199">
      <c r="A199" s="14" t="s">
        <v>100</v>
      </c>
      <c r="B199" s="12" t="s">
        <v>37</v>
      </c>
      <c r="C199" s="12" t="s">
        <v>37</v>
      </c>
      <c r="D199" s="12" t="s">
        <v>37</v>
      </c>
      <c r="E199" s="12" t="s">
        <v>37</v>
      </c>
      <c r="F199" s="12" t="s">
        <v>37</v>
      </c>
      <c r="G199" s="12" t="s">
        <v>37</v>
      </c>
      <c r="H199" s="12" t="s">
        <v>37</v>
      </c>
      <c r="I199" s="35" t="s">
        <v>37</v>
      </c>
      <c r="J199" s="6" t="s">
        <v>101</v>
      </c>
      <c r="K199" s="2"/>
      <c r="L199" s="2"/>
      <c r="M199" s="2"/>
      <c r="N199" s="2"/>
      <c r="O199" s="2"/>
    </row>
    <row r="200">
      <c r="A200" s="14" t="s">
        <v>102</v>
      </c>
      <c r="B200" s="12" t="s">
        <v>37</v>
      </c>
      <c r="C200" s="12" t="s">
        <v>37</v>
      </c>
      <c r="D200" s="12" t="s">
        <v>37</v>
      </c>
      <c r="E200" s="12" t="s">
        <v>37</v>
      </c>
      <c r="F200" s="12" t="s">
        <v>37</v>
      </c>
      <c r="G200" s="12" t="str">
        <f>IF(ISNUMBER(G199),(1+G196)/((1+G198)*(1+G199))-1,"n/a")</f>
        <v>n/a</v>
      </c>
      <c r="H200" s="12" t="str">
        <f>IF(ISNUMBER(H199),(1+H196)/((1+H198)*(1+H199))-1,"n/a")</f>
        <v>n/a</v>
      </c>
      <c r="I200" s="35" t="str">
        <f>IF(ISNUMBER(I199),(1+I196)/((1+I198)*(1+I199))-1,"n/a")</f>
        <v>n/a</v>
      </c>
      <c r="J200" s="6" t="s">
        <v>103</v>
      </c>
      <c r="K200" s="2"/>
      <c r="L200" s="2"/>
      <c r="M200" s="2"/>
      <c r="N200" s="2"/>
      <c r="O200" s="2"/>
    </row>
    <row r="201">
      <c r="A201" s="14" t="s">
        <v>104</v>
      </c>
      <c r="B201" s="12" t="s">
        <v>37</v>
      </c>
      <c r="C201" s="12" t="s">
        <v>37</v>
      </c>
      <c r="D201" s="12" t="s">
        <v>37</v>
      </c>
      <c r="E201" s="12" t="s">
        <v>37</v>
      </c>
      <c r="F201" s="12" t="s">
        <v>37</v>
      </c>
      <c r="G201" s="12">
        <f>IF(ISNUMBER(G198),G196-G198,"n/a")</f>
        <v>-0.296875</v>
      </c>
      <c r="H201" s="12">
        <f>IF(ISNUMBER(H198),H196-H198,"n/a")</f>
        <v>-0.2068965517241379</v>
      </c>
      <c r="I201" s="35">
        <f>IF(ISNUMBER(I198),I196-I198,"n/a")</f>
        <v>-0.15</v>
      </c>
      <c r="J201" s="2"/>
      <c r="K201" s="2"/>
      <c r="L201" s="2"/>
      <c r="M201" s="2"/>
      <c r="N201" s="2"/>
      <c r="O201" s="2"/>
    </row>
    <row r="202">
      <c r="A202" s="16" t="s">
        <v>222</v>
      </c>
      <c r="B202" s="15">
        <f>B105+B115+B122+B129+B136+B185+B195</f>
        <v>530</v>
      </c>
      <c r="C202" s="15">
        <f>C105+C115+C122+C129+C136+C185+C195</f>
        <v>535</v>
      </c>
      <c r="D202" s="15">
        <f>D105+D115+D122+D129+D136+D185+D195</f>
        <v>563</v>
      </c>
      <c r="E202" s="15">
        <f>E105+E115+E122+E129+E136+E185+E195</f>
        <v>502</v>
      </c>
      <c r="F202" s="15">
        <f>F105+F115+F122+F129+F136+F185+F195</f>
        <v>2130</v>
      </c>
      <c r="G202" s="15">
        <f>G105+G115+G122+G129+G136+G185+G195</f>
        <v>515</v>
      </c>
      <c r="H202" s="15">
        <f>H105+H115+H122+H129+H136+H185+H195</f>
        <v>537</v>
      </c>
      <c r="I202" s="38">
        <f>I105+I115+I122+I129+I136+I185+I195</f>
        <v>547.9126869998784</v>
      </c>
      <c r="J202" s="2"/>
      <c r="K202" s="2"/>
      <c r="L202" s="2"/>
      <c r="M202" s="2"/>
      <c r="N202" s="2"/>
      <c r="O202" s="2"/>
    </row>
    <row r="203">
      <c r="A203" s="19" t="s">
        <v>97</v>
      </c>
      <c r="B203" s="12" t="s">
        <v>37</v>
      </c>
      <c r="C203" s="12" t="s">
        <v>37</v>
      </c>
      <c r="D203" s="12" t="s">
        <v>37</v>
      </c>
      <c r="E203" s="12" t="s">
        <v>37</v>
      </c>
      <c r="F203" s="12" t="s">
        <v>37</v>
      </c>
      <c r="G203" s="12">
        <f>G202/B202-1</f>
        <v>-0.028301886792452824</v>
      </c>
      <c r="H203" s="12">
        <f>H202/C202-1</f>
        <v>0.0037383177570093906</v>
      </c>
      <c r="I203" s="35">
        <f>I202/D202-1</f>
        <v>-0.02679806927197448</v>
      </c>
      <c r="J203" s="2"/>
      <c r="K203" s="2"/>
      <c r="L203" s="2"/>
      <c r="M203" s="2"/>
      <c r="N203" s="2"/>
      <c r="O203" s="2"/>
    </row>
    <row r="204">
      <c r="A204" s="19" t="s">
        <v>98</v>
      </c>
      <c r="B204" s="12" t="s">
        <v>37</v>
      </c>
      <c r="C204" s="12" t="s">
        <v>37</v>
      </c>
      <c r="D204" s="12" t="s">
        <v>37</v>
      </c>
      <c r="E204" s="12" t="s">
        <v>37</v>
      </c>
      <c r="F204" s="12" t="s">
        <v>37</v>
      </c>
      <c r="G204" s="65">
        <v>0</v>
      </c>
      <c r="H204" s="65">
        <v>0</v>
      </c>
      <c r="I204" s="60">
        <v>0</v>
      </c>
      <c r="J204" s="6" t="s">
        <v>106</v>
      </c>
      <c r="K204" s="2"/>
      <c r="L204" s="2"/>
      <c r="M204" s="2"/>
      <c r="N204" s="2"/>
      <c r="O204" s="2"/>
    </row>
    <row r="205">
      <c r="A205" s="19" t="s">
        <v>100</v>
      </c>
      <c r="B205" s="12" t="s">
        <v>37</v>
      </c>
      <c r="C205" s="12" t="s">
        <v>37</v>
      </c>
      <c r="D205" s="12" t="s">
        <v>37</v>
      </c>
      <c r="E205" s="12" t="s">
        <v>37</v>
      </c>
      <c r="F205" s="12" t="s">
        <v>37</v>
      </c>
      <c r="G205" s="12" t="s">
        <v>37</v>
      </c>
      <c r="H205" s="12" t="s">
        <v>37</v>
      </c>
      <c r="I205" s="35" t="s">
        <v>37</v>
      </c>
      <c r="J205" s="6" t="s">
        <v>101</v>
      </c>
      <c r="K205" s="2"/>
      <c r="L205" s="2"/>
      <c r="M205" s="2"/>
      <c r="N205" s="2"/>
      <c r="O205" s="2"/>
    </row>
    <row r="206">
      <c r="A206" s="19" t="s">
        <v>102</v>
      </c>
      <c r="B206" s="12" t="s">
        <v>37</v>
      </c>
      <c r="C206" s="12" t="s">
        <v>37</v>
      </c>
      <c r="D206" s="12" t="s">
        <v>37</v>
      </c>
      <c r="E206" s="12" t="s">
        <v>37</v>
      </c>
      <c r="F206" s="12" t="s">
        <v>37</v>
      </c>
      <c r="G206" s="12" t="str">
        <f>IF(ISNUMBER(G205),(1+G203)/((1+G204)*(1+G205))-1,"n/a")</f>
        <v>n/a</v>
      </c>
      <c r="H206" s="12" t="str">
        <f>IF(ISNUMBER(H205),(1+H203)/((1+H204)*(1+H205))-1,"n/a")</f>
        <v>n/a</v>
      </c>
      <c r="I206" s="35" t="str">
        <f>IF(ISNUMBER(I205),(1+I203)/((1+I204)*(1+I205))-1,"n/a")</f>
        <v>n/a</v>
      </c>
      <c r="J206" s="6" t="s">
        <v>103</v>
      </c>
      <c r="K206" s="2"/>
      <c r="L206" s="2"/>
      <c r="M206" s="2"/>
      <c r="N206" s="2"/>
      <c r="O206" s="2"/>
    </row>
    <row r="207">
      <c r="A207" s="19" t="s">
        <v>104</v>
      </c>
      <c r="B207" s="12" t="s">
        <v>37</v>
      </c>
      <c r="C207" s="12" t="s">
        <v>37</v>
      </c>
      <c r="D207" s="12" t="s">
        <v>37</v>
      </c>
      <c r="E207" s="12" t="s">
        <v>37</v>
      </c>
      <c r="F207" s="12" t="s">
        <v>37</v>
      </c>
      <c r="G207" s="12">
        <f>IF(ISNUMBER(G204),G203-G204,"n/a")</f>
        <v>-0.028301886792452824</v>
      </c>
      <c r="H207" s="12">
        <f>IF(ISNUMBER(H204),H203-H204,"n/a")</f>
        <v>0.0037383177570093906</v>
      </c>
      <c r="I207" s="35">
        <f>IF(ISNUMBER(I204),I203-I204,"n/a")</f>
        <v>-0.02679806927197448</v>
      </c>
      <c r="J207" s="2"/>
      <c r="K207" s="2"/>
      <c r="L207" s="2"/>
      <c r="M207" s="2"/>
      <c r="N207" s="2"/>
      <c r="O207" s="2"/>
    </row>
    <row r="208">
      <c r="A208" s="19" t="s">
        <v>223</v>
      </c>
      <c r="B208" s="10">
        <v>530</v>
      </c>
      <c r="C208" s="10">
        <v>535</v>
      </c>
      <c r="D208" s="10">
        <v>563</v>
      </c>
      <c r="E208" s="10">
        <v>502</v>
      </c>
      <c r="F208" s="1">
        <f>SUM(B208:E208)</f>
        <v>2130</v>
      </c>
      <c r="G208" s="10">
        <v>515</v>
      </c>
      <c r="H208" s="10">
        <v>537</v>
      </c>
      <c r="I208" s="13" t="s">
        <v>37</v>
      </c>
      <c r="J208" s="2"/>
      <c r="K208" s="2"/>
      <c r="L208" s="2"/>
      <c r="M208" s="2"/>
      <c r="N208" s="2"/>
      <c r="O208" s="2"/>
    </row>
    <row r="209">
      <c r="A209" s="26" t="s">
        <v>224</v>
      </c>
      <c r="B209" s="1">
        <f>B202-B208</f>
        <v>0</v>
      </c>
      <c r="C209" s="1">
        <f>C202-C208</f>
        <v>0</v>
      </c>
      <c r="D209" s="1">
        <f>D202-D208</f>
        <v>0</v>
      </c>
      <c r="E209" s="1">
        <f>E202-E208</f>
        <v>0</v>
      </c>
      <c r="F209" s="1">
        <f>F202-F208</f>
        <v>0</v>
      </c>
      <c r="G209" s="1">
        <f>G202-G208</f>
        <v>0</v>
      </c>
      <c r="H209" s="1">
        <f>H202-H208</f>
        <v>0</v>
      </c>
      <c r="I209" s="2"/>
      <c r="J209" s="2"/>
      <c r="K209" s="2"/>
      <c r="L209" s="2"/>
      <c r="M209" s="2"/>
      <c r="N209" s="2"/>
      <c r="O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>
      <c r="A211" s="16" t="s">
        <v>34</v>
      </c>
      <c r="B211" s="15">
        <f>B97+B202</f>
        <v>2298</v>
      </c>
      <c r="C211" s="15">
        <f>C97+C202</f>
        <v>2376</v>
      </c>
      <c r="D211" s="15">
        <f>D97+D202</f>
        <v>2410</v>
      </c>
      <c r="E211" s="15">
        <f>E97+E202</f>
        <v>2262</v>
      </c>
      <c r="F211" s="15">
        <f>F97+F202</f>
        <v>9346</v>
      </c>
      <c r="G211" s="15">
        <f>G97+G202</f>
        <v>2314</v>
      </c>
      <c r="H211" s="15">
        <f>H97+H202</f>
        <v>2373</v>
      </c>
      <c r="I211" s="38">
        <f>I97+I202</f>
        <v>2391.5887297396043</v>
      </c>
      <c r="J211" s="2"/>
      <c r="K211" s="2"/>
      <c r="L211" s="2"/>
      <c r="M211" s="2"/>
      <c r="N211" s="2"/>
      <c r="O211" s="2"/>
    </row>
    <row r="212">
      <c r="A212" s="19" t="s">
        <v>97</v>
      </c>
      <c r="B212" s="12" t="s">
        <v>37</v>
      </c>
      <c r="C212" s="12" t="s">
        <v>37</v>
      </c>
      <c r="D212" s="12" t="s">
        <v>37</v>
      </c>
      <c r="E212" s="12" t="s">
        <v>37</v>
      </c>
      <c r="F212" s="12" t="s">
        <v>37</v>
      </c>
      <c r="G212" s="12">
        <f>G211/B211-1</f>
        <v>0.006962576153176636</v>
      </c>
      <c r="H212" s="12">
        <f>H211/C211-1</f>
        <v>-0.0012626262626262985</v>
      </c>
      <c r="I212" s="35">
        <f>I211/D211-1</f>
        <v>-0.007639531228379903</v>
      </c>
      <c r="J212" s="2"/>
      <c r="K212" s="2"/>
      <c r="L212" s="2"/>
      <c r="M212" s="2"/>
      <c r="N212" s="2"/>
      <c r="O212" s="2"/>
    </row>
    <row r="213">
      <c r="A213" s="19" t="s">
        <v>98</v>
      </c>
      <c r="B213" s="12" t="s">
        <v>37</v>
      </c>
      <c r="C213" s="12" t="s">
        <v>37</v>
      </c>
      <c r="D213" s="12" t="s">
        <v>37</v>
      </c>
      <c r="E213" s="12" t="s">
        <v>37</v>
      </c>
      <c r="F213" s="12" t="s">
        <v>37</v>
      </c>
      <c r="G213" s="65">
        <v>0</v>
      </c>
      <c r="H213" s="65">
        <v>0</v>
      </c>
      <c r="I213" s="60">
        <v>0</v>
      </c>
      <c r="J213" s="6" t="s">
        <v>106</v>
      </c>
      <c r="K213" s="2"/>
      <c r="L213" s="2"/>
      <c r="M213" s="2"/>
      <c r="N213" s="2"/>
      <c r="O213" s="2"/>
    </row>
    <row r="214">
      <c r="A214" s="19" t="s">
        <v>100</v>
      </c>
      <c r="B214" s="12" t="s">
        <v>37</v>
      </c>
      <c r="C214" s="12" t="s">
        <v>37</v>
      </c>
      <c r="D214" s="12" t="s">
        <v>37</v>
      </c>
      <c r="E214" s="12" t="s">
        <v>37</v>
      </c>
      <c r="F214" s="12" t="s">
        <v>37</v>
      </c>
      <c r="G214" s="12" t="s">
        <v>37</v>
      </c>
      <c r="H214" s="12" t="s">
        <v>37</v>
      </c>
      <c r="I214" s="35" t="s">
        <v>37</v>
      </c>
      <c r="J214" s="6" t="s">
        <v>101</v>
      </c>
      <c r="K214" s="2"/>
      <c r="L214" s="2"/>
      <c r="M214" s="2"/>
      <c r="N214" s="2"/>
      <c r="O214" s="2"/>
    </row>
    <row r="215">
      <c r="A215" s="19" t="s">
        <v>102</v>
      </c>
      <c r="B215" s="12" t="s">
        <v>37</v>
      </c>
      <c r="C215" s="12" t="s">
        <v>37</v>
      </c>
      <c r="D215" s="12" t="s">
        <v>37</v>
      </c>
      <c r="E215" s="12" t="s">
        <v>37</v>
      </c>
      <c r="F215" s="12" t="s">
        <v>37</v>
      </c>
      <c r="G215" s="12" t="str">
        <f>IF(ISNUMBER(G214),(1+G212)/((1+G213)*(1+G214))-1,"n/a")</f>
        <v>n/a</v>
      </c>
      <c r="H215" s="12" t="str">
        <f>IF(ISNUMBER(H214),(1+H212)/((1+H213)*(1+H214))-1,"n/a")</f>
        <v>n/a</v>
      </c>
      <c r="I215" s="35" t="str">
        <f>IF(ISNUMBER(I214),(1+I212)/((1+I213)*(1+I214))-1,"n/a")</f>
        <v>n/a</v>
      </c>
      <c r="J215" s="6" t="s">
        <v>103</v>
      </c>
      <c r="K215" s="2"/>
      <c r="L215" s="2"/>
      <c r="M215" s="2"/>
      <c r="N215" s="2"/>
      <c r="O215" s="2"/>
    </row>
    <row r="216">
      <c r="A216" s="19" t="s">
        <v>104</v>
      </c>
      <c r="B216" s="12" t="s">
        <v>37</v>
      </c>
      <c r="C216" s="12" t="s">
        <v>37</v>
      </c>
      <c r="D216" s="12" t="s">
        <v>37</v>
      </c>
      <c r="E216" s="12" t="s">
        <v>37</v>
      </c>
      <c r="F216" s="12" t="s">
        <v>37</v>
      </c>
      <c r="G216" s="12">
        <f>IF(ISNUMBER(G213),G212-G213,"n/a")</f>
        <v>0.006962576153176636</v>
      </c>
      <c r="H216" s="12">
        <f>IF(ISNUMBER(H213),H212-H213,"n/a")</f>
        <v>-0.0012626262626262985</v>
      </c>
      <c r="I216" s="35">
        <f>IF(ISNUMBER(I213),I212-I213,"n/a")</f>
        <v>-0.007639531228379903</v>
      </c>
      <c r="J216" s="2"/>
      <c r="K216" s="2"/>
      <c r="L216" s="2"/>
      <c r="M216" s="2"/>
      <c r="N216" s="2"/>
      <c r="O216" s="2"/>
    </row>
    <row r="217">
      <c r="A217" s="19" t="s">
        <v>95</v>
      </c>
      <c r="B217" s="12" t="s">
        <v>37</v>
      </c>
      <c r="C217" s="12">
        <f>C211/B211-1</f>
        <v>0.03394255874673635</v>
      </c>
      <c r="D217" s="12">
        <f>D211/C211-1</f>
        <v>0.014309764309764272</v>
      </c>
      <c r="E217" s="12">
        <f>E211/D211-1</f>
        <v>-0.06141078838174274</v>
      </c>
      <c r="F217" s="12" t="s">
        <v>37</v>
      </c>
      <c r="G217" s="12">
        <f>G211/E211-1</f>
        <v>0.02298850574712641</v>
      </c>
      <c r="H217" s="12">
        <f>H211/G211-1</f>
        <v>0.02549697493517722</v>
      </c>
      <c r="I217" s="35">
        <f>I211/H211-1</f>
        <v>0.00783343014732596</v>
      </c>
      <c r="J217" s="2"/>
      <c r="K217" s="2"/>
      <c r="L217" s="2"/>
      <c r="M217" s="2"/>
      <c r="N217" s="2"/>
      <c r="O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>
      <c r="A219" s="16" t="s">
        <v>225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>
      <c r="A220" s="36" t="s">
        <v>226</v>
      </c>
      <c r="B220" s="8">
        <v>525</v>
      </c>
      <c r="C220" s="8">
        <v>572</v>
      </c>
      <c r="D220" s="8">
        <v>569</v>
      </c>
      <c r="E220" s="8">
        <v>571</v>
      </c>
      <c r="F220" s="3">
        <f>SUM(B220:E220)</f>
        <v>2237</v>
      </c>
      <c r="G220" s="8">
        <v>559</v>
      </c>
      <c r="H220" s="8">
        <v>564</v>
      </c>
      <c r="I220" s="46">
        <f>H220*(1+I221)</f>
        <v>566.256</v>
      </c>
      <c r="J220" s="2"/>
      <c r="K220" s="2"/>
      <c r="L220" s="2"/>
      <c r="M220" s="2"/>
      <c r="N220" s="2"/>
      <c r="O220" s="2"/>
    </row>
    <row r="221">
      <c r="A221" s="14" t="s">
        <v>95</v>
      </c>
      <c r="B221" s="12" t="s">
        <v>37</v>
      </c>
      <c r="C221" s="12">
        <f>C220/B220-1</f>
        <v>0.08952380952380956</v>
      </c>
      <c r="D221" s="12">
        <f>D220/C220-1</f>
        <v>-0.005244755244755206</v>
      </c>
      <c r="E221" s="12">
        <f>E220/D220-1</f>
        <v>0.0035149384885764245</v>
      </c>
      <c r="F221" s="12" t="s">
        <v>37</v>
      </c>
      <c r="G221" s="12">
        <f>G220/E220-1</f>
        <v>-0.021015761821365997</v>
      </c>
      <c r="H221" s="12">
        <f>H220/G220-1</f>
        <v>0.008944543828264706</v>
      </c>
      <c r="I221" s="60">
        <v>0.004</v>
      </c>
      <c r="J221" s="6" t="s">
        <v>138</v>
      </c>
      <c r="K221" s="2"/>
      <c r="L221" s="2"/>
      <c r="M221" s="2"/>
      <c r="N221" s="2"/>
      <c r="O221" s="2"/>
    </row>
    <row r="222">
      <c r="A222" s="14" t="s">
        <v>122</v>
      </c>
      <c r="B222" s="12" t="s">
        <v>37</v>
      </c>
      <c r="C222" s="12" t="s">
        <v>37</v>
      </c>
      <c r="D222" s="12" t="s">
        <v>37</v>
      </c>
      <c r="E222" s="12" t="s">
        <v>37</v>
      </c>
      <c r="F222" s="12" t="s">
        <v>37</v>
      </c>
      <c r="G222" s="12">
        <f>G220/B220-1</f>
        <v>0.0647619047619048</v>
      </c>
      <c r="H222" s="12">
        <f>H220/C220-1</f>
        <v>-0.013986013986013957</v>
      </c>
      <c r="I222" s="35">
        <f>I220/D220-1</f>
        <v>-0.004822495606326971</v>
      </c>
      <c r="J222" s="2"/>
      <c r="K222" s="2"/>
      <c r="L222" s="2"/>
      <c r="M222" s="2"/>
      <c r="N222" s="2"/>
      <c r="O222" s="2"/>
    </row>
    <row r="223">
      <c r="A223" s="14" t="s">
        <v>110</v>
      </c>
      <c r="B223" s="1" t="s">
        <v>37</v>
      </c>
      <c r="C223" s="1">
        <f>IF(AND(ISNUMBER(C220),ISNUMBER(B220)),C220-B220,"n/a")</f>
        <v>47</v>
      </c>
      <c r="D223" s="1">
        <f>IF(AND(ISNUMBER(D220),ISNUMBER(C220)),D220-C220,"n/a")</f>
        <v>-3</v>
      </c>
      <c r="E223" s="1">
        <f>IF(AND(ISNUMBER(E220),ISNUMBER(D220)),E220-D220,"n/a")</f>
        <v>2</v>
      </c>
      <c r="F223" s="1" t="s">
        <v>37</v>
      </c>
      <c r="G223" s="1">
        <f>IF(AND(ISNUMBER(G220),ISNUMBER(E220)),G220-E220,"n/a")</f>
        <v>-12</v>
      </c>
      <c r="H223" s="1">
        <f>IF(AND(ISNUMBER(H220),ISNUMBER(G220)),H220-G220,"n/a")</f>
        <v>5</v>
      </c>
      <c r="I223" s="13">
        <f>IF(AND(ISNUMBER(I220),ISNUMBER(H220)),I220-H220,"n/a")</f>
        <v>2.255999999999972</v>
      </c>
      <c r="J223" s="2"/>
      <c r="K223" s="2"/>
      <c r="L223" s="2"/>
      <c r="M223" s="2"/>
      <c r="N223" s="2"/>
      <c r="O223" s="2"/>
    </row>
    <row r="224">
      <c r="A224" s="36" t="s">
        <v>228</v>
      </c>
      <c r="B224" s="8">
        <v>59</v>
      </c>
      <c r="C224" s="8">
        <v>58</v>
      </c>
      <c r="D224" s="8">
        <v>59</v>
      </c>
      <c r="E224" s="8">
        <v>59</v>
      </c>
      <c r="F224" s="3">
        <f>SUM(B224:E224)</f>
        <v>235</v>
      </c>
      <c r="G224" s="8">
        <v>52</v>
      </c>
      <c r="H224" s="8">
        <v>51</v>
      </c>
      <c r="I224" s="46">
        <f>H224*(1+I225)</f>
        <v>51</v>
      </c>
      <c r="J224" s="2"/>
      <c r="K224" s="2"/>
      <c r="L224" s="2"/>
      <c r="M224" s="2"/>
      <c r="N224" s="2"/>
      <c r="O224" s="2"/>
    </row>
    <row r="225">
      <c r="A225" s="14" t="s">
        <v>95</v>
      </c>
      <c r="B225" s="12" t="s">
        <v>37</v>
      </c>
      <c r="C225" s="12">
        <f>C224/B224-1</f>
        <v>-0.016949152542372836</v>
      </c>
      <c r="D225" s="12">
        <f>D224/C224-1</f>
        <v>0.01724137931034475</v>
      </c>
      <c r="E225" s="12">
        <f>E224/D224-1</f>
        <v>0</v>
      </c>
      <c r="F225" s="12" t="s">
        <v>37</v>
      </c>
      <c r="G225" s="12">
        <f>G224/E224-1</f>
        <v>-0.11864406779661019</v>
      </c>
      <c r="H225" s="12">
        <f>H224/G224-1</f>
        <v>-0.019230769230769273</v>
      </c>
      <c r="I225" s="60">
        <v>0</v>
      </c>
      <c r="J225" s="6" t="s">
        <v>138</v>
      </c>
      <c r="K225" s="2"/>
      <c r="L225" s="2"/>
      <c r="M225" s="2"/>
      <c r="N225" s="2"/>
      <c r="O225" s="2"/>
    </row>
    <row r="226">
      <c r="A226" s="14" t="s">
        <v>122</v>
      </c>
      <c r="B226" s="12" t="s">
        <v>37</v>
      </c>
      <c r="C226" s="12" t="s">
        <v>37</v>
      </c>
      <c r="D226" s="12" t="s">
        <v>37</v>
      </c>
      <c r="E226" s="12" t="s">
        <v>37</v>
      </c>
      <c r="F226" s="12" t="s">
        <v>37</v>
      </c>
      <c r="G226" s="12">
        <f>G224/B224-1</f>
        <v>-0.11864406779661019</v>
      </c>
      <c r="H226" s="12">
        <f>H224/C224-1</f>
        <v>-0.12068965517241381</v>
      </c>
      <c r="I226" s="35">
        <f>I224/D224-1</f>
        <v>-0.13559322033898302</v>
      </c>
      <c r="J226" s="2"/>
      <c r="K226" s="2"/>
      <c r="L226" s="2"/>
      <c r="M226" s="2"/>
      <c r="N226" s="2"/>
      <c r="O226" s="2"/>
    </row>
    <row r="227">
      <c r="A227" s="14" t="s">
        <v>110</v>
      </c>
      <c r="B227" s="1" t="s">
        <v>37</v>
      </c>
      <c r="C227" s="1">
        <f>IF(AND(ISNUMBER(C224),ISNUMBER(B224)),C224-B224,"n/a")</f>
        <v>-1</v>
      </c>
      <c r="D227" s="1">
        <f>IF(AND(ISNUMBER(D224),ISNUMBER(C224)),D224-C224,"n/a")</f>
        <v>1</v>
      </c>
      <c r="E227" s="1">
        <f>IF(AND(ISNUMBER(E224),ISNUMBER(D224)),E224-D224,"n/a")</f>
        <v>0</v>
      </c>
      <c r="F227" s="1" t="s">
        <v>37</v>
      </c>
      <c r="G227" s="1">
        <f>IF(AND(ISNUMBER(G224),ISNUMBER(E224)),G224-E224,"n/a")</f>
        <v>-7</v>
      </c>
      <c r="H227" s="1">
        <f>IF(AND(ISNUMBER(H224),ISNUMBER(G224)),H224-G224,"n/a")</f>
        <v>-1</v>
      </c>
      <c r="I227" s="13">
        <f>IF(AND(ISNUMBER(I224),ISNUMBER(H224)),I224-H224,"n/a")</f>
        <v>0</v>
      </c>
      <c r="J227" s="2"/>
      <c r="K227" s="2"/>
      <c r="L227" s="2"/>
      <c r="M227" s="2"/>
      <c r="N227" s="2"/>
      <c r="O227" s="2"/>
    </row>
    <row r="228">
      <c r="A228" s="36" t="s">
        <v>229</v>
      </c>
      <c r="B228" s="8">
        <v>541</v>
      </c>
      <c r="C228" s="8">
        <v>545</v>
      </c>
      <c r="D228" s="8">
        <v>559</v>
      </c>
      <c r="E228" s="8">
        <v>558</v>
      </c>
      <c r="F228" s="3">
        <f>SUM(B228:E228)</f>
        <v>2203</v>
      </c>
      <c r="G228" s="8">
        <v>539</v>
      </c>
      <c r="H228" s="8">
        <v>550</v>
      </c>
      <c r="I228" s="46">
        <f>H228*(1+I229)</f>
        <v>552.2</v>
      </c>
      <c r="J228" s="2"/>
      <c r="K228" s="2"/>
      <c r="L228" s="2"/>
      <c r="M228" s="2"/>
      <c r="N228" s="2"/>
      <c r="O228" s="2"/>
    </row>
    <row r="229">
      <c r="A229" s="14" t="s">
        <v>95</v>
      </c>
      <c r="B229" s="12" t="s">
        <v>37</v>
      </c>
      <c r="C229" s="12">
        <f>C228/B228-1</f>
        <v>0.007393715341959428</v>
      </c>
      <c r="D229" s="12">
        <f>D228/C228-1</f>
        <v>0.025688073394495303</v>
      </c>
      <c r="E229" s="12">
        <f>E228/D228-1</f>
        <v>-0.0017889087656529634</v>
      </c>
      <c r="F229" s="12" t="s">
        <v>37</v>
      </c>
      <c r="G229" s="12">
        <f>G228/E228-1</f>
        <v>-0.03405017921146958</v>
      </c>
      <c r="H229" s="12">
        <f>H228/G228-1</f>
        <v>0.020408163265306145</v>
      </c>
      <c r="I229" s="60">
        <v>0.004</v>
      </c>
      <c r="J229" s="6" t="s">
        <v>138</v>
      </c>
      <c r="K229" s="2"/>
      <c r="L229" s="2"/>
      <c r="M229" s="2"/>
      <c r="N229" s="2"/>
      <c r="O229" s="2"/>
    </row>
    <row r="230">
      <c r="A230" s="14" t="s">
        <v>122</v>
      </c>
      <c r="B230" s="12" t="s">
        <v>37</v>
      </c>
      <c r="C230" s="12" t="s">
        <v>37</v>
      </c>
      <c r="D230" s="12" t="s">
        <v>37</v>
      </c>
      <c r="E230" s="12" t="s">
        <v>37</v>
      </c>
      <c r="F230" s="12" t="s">
        <v>37</v>
      </c>
      <c r="G230" s="12">
        <f>G228/B228-1</f>
        <v>-0.003696857670979714</v>
      </c>
      <c r="H230" s="12">
        <f>H228/C228-1</f>
        <v>0.00917431192660545</v>
      </c>
      <c r="I230" s="35">
        <f>I228/D228-1</f>
        <v>-0.012164579606440018</v>
      </c>
      <c r="J230" s="2"/>
      <c r="K230" s="2"/>
      <c r="L230" s="2"/>
      <c r="M230" s="2"/>
      <c r="N230" s="2"/>
      <c r="O230" s="2"/>
    </row>
    <row r="231">
      <c r="A231" s="14" t="s">
        <v>110</v>
      </c>
      <c r="B231" s="1" t="s">
        <v>37</v>
      </c>
      <c r="C231" s="1">
        <f>IF(AND(ISNUMBER(C228),ISNUMBER(B228)),C228-B228,"n/a")</f>
        <v>4</v>
      </c>
      <c r="D231" s="1">
        <f>IF(AND(ISNUMBER(D228),ISNUMBER(C228)),D228-C228,"n/a")</f>
        <v>14</v>
      </c>
      <c r="E231" s="1">
        <f>IF(AND(ISNUMBER(E228),ISNUMBER(D228)),E228-D228,"n/a")</f>
        <v>-1</v>
      </c>
      <c r="F231" s="1" t="s">
        <v>37</v>
      </c>
      <c r="G231" s="1">
        <f>IF(AND(ISNUMBER(G228),ISNUMBER(E228)),G228-E228,"n/a")</f>
        <v>-19</v>
      </c>
      <c r="H231" s="1">
        <f>IF(AND(ISNUMBER(H228),ISNUMBER(G228)),H228-G228,"n/a")</f>
        <v>11</v>
      </c>
      <c r="I231" s="13">
        <f>IF(AND(ISNUMBER(I228),ISNUMBER(H228)),I228-H228,"n/a")</f>
        <v>2.2000000000000455</v>
      </c>
      <c r="J231" s="2"/>
      <c r="K231" s="2"/>
      <c r="L231" s="2"/>
      <c r="M231" s="2"/>
      <c r="N231" s="2"/>
      <c r="O231" s="2"/>
    </row>
    <row r="232">
      <c r="A232" s="36" t="s">
        <v>230</v>
      </c>
      <c r="B232" s="8">
        <v>315</v>
      </c>
      <c r="C232" s="8">
        <v>342</v>
      </c>
      <c r="D232" s="8">
        <v>350</v>
      </c>
      <c r="E232" s="8">
        <v>353</v>
      </c>
      <c r="F232" s="3">
        <f>SUM(B232:E232)</f>
        <v>1360</v>
      </c>
      <c r="G232" s="8">
        <v>332</v>
      </c>
      <c r="H232" s="8">
        <v>345</v>
      </c>
      <c r="I232" s="46">
        <f>H232*(1+I233)</f>
        <v>351.90000000000003</v>
      </c>
      <c r="J232" s="2"/>
      <c r="K232" s="2"/>
      <c r="L232" s="2"/>
      <c r="M232" s="2"/>
      <c r="N232" s="2"/>
      <c r="O232" s="2"/>
    </row>
    <row r="233">
      <c r="A233" s="14" t="s">
        <v>95</v>
      </c>
      <c r="B233" s="12" t="s">
        <v>37</v>
      </c>
      <c r="C233" s="12">
        <f>C232/B232-1</f>
        <v>0.08571428571428563</v>
      </c>
      <c r="D233" s="12">
        <f>D232/C232-1</f>
        <v>0.023391812865497075</v>
      </c>
      <c r="E233" s="12">
        <f>E232/D232-1</f>
        <v>0.008571428571428674</v>
      </c>
      <c r="F233" s="12" t="s">
        <v>37</v>
      </c>
      <c r="G233" s="12">
        <f>G232/E232-1</f>
        <v>-0.059490084985835745</v>
      </c>
      <c r="H233" s="12">
        <f>H232/G232-1</f>
        <v>0.03915662650602414</v>
      </c>
      <c r="I233" s="60">
        <v>0.02</v>
      </c>
      <c r="J233" s="6" t="s">
        <v>138</v>
      </c>
      <c r="K233" s="2"/>
      <c r="L233" s="2"/>
      <c r="M233" s="2"/>
      <c r="N233" s="2"/>
      <c r="O233" s="2"/>
    </row>
    <row r="234">
      <c r="A234" s="14" t="s">
        <v>122</v>
      </c>
      <c r="B234" s="12" t="s">
        <v>37</v>
      </c>
      <c r="C234" s="12" t="s">
        <v>37</v>
      </c>
      <c r="D234" s="12" t="s">
        <v>37</v>
      </c>
      <c r="E234" s="12" t="s">
        <v>37</v>
      </c>
      <c r="F234" s="12" t="s">
        <v>37</v>
      </c>
      <c r="G234" s="12">
        <f>G232/B232-1</f>
        <v>0.053968253968254</v>
      </c>
      <c r="H234" s="12">
        <f>H232/C232-1</f>
        <v>0.00877192982456143</v>
      </c>
      <c r="I234" s="35">
        <f>I232/D232-1</f>
        <v>0.00542857142857156</v>
      </c>
      <c r="J234" s="2"/>
      <c r="K234" s="2"/>
      <c r="L234" s="2"/>
      <c r="M234" s="2"/>
      <c r="N234" s="2"/>
      <c r="O234" s="2"/>
    </row>
    <row r="235">
      <c r="A235" s="14" t="s">
        <v>110</v>
      </c>
      <c r="B235" s="1" t="s">
        <v>37</v>
      </c>
      <c r="C235" s="1">
        <f>IF(AND(ISNUMBER(C232),ISNUMBER(B232)),C232-B232,"n/a")</f>
        <v>27</v>
      </c>
      <c r="D235" s="1">
        <f>IF(AND(ISNUMBER(D232),ISNUMBER(C232)),D232-C232,"n/a")</f>
        <v>8</v>
      </c>
      <c r="E235" s="1">
        <f>IF(AND(ISNUMBER(E232),ISNUMBER(D232)),E232-D232,"n/a")</f>
        <v>3</v>
      </c>
      <c r="F235" s="1" t="s">
        <v>37</v>
      </c>
      <c r="G235" s="1">
        <f>IF(AND(ISNUMBER(G232),ISNUMBER(E232)),G232-E232,"n/a")</f>
        <v>-21</v>
      </c>
      <c r="H235" s="1">
        <f>IF(AND(ISNUMBER(H232),ISNUMBER(G232)),H232-G232,"n/a")</f>
        <v>13</v>
      </c>
      <c r="I235" s="13">
        <f>IF(AND(ISNUMBER(I232),ISNUMBER(H232)),I232-H232,"n/a")</f>
        <v>6.900000000000034</v>
      </c>
      <c r="J235" s="2"/>
      <c r="K235" s="2"/>
      <c r="L235" s="2"/>
      <c r="M235" s="2"/>
      <c r="N235" s="2"/>
      <c r="O235" s="2"/>
    </row>
    <row r="236">
      <c r="A236" s="16" t="s">
        <v>231</v>
      </c>
      <c r="B236" s="15">
        <f>B220+B224+B228+B232</f>
        <v>1440</v>
      </c>
      <c r="C236" s="15">
        <f>C220+C224+C228+C232</f>
        <v>1517</v>
      </c>
      <c r="D236" s="15">
        <f>D220+D224+D228+D232</f>
        <v>1537</v>
      </c>
      <c r="E236" s="15">
        <f>E220+E224+E228+E232</f>
        <v>1541</v>
      </c>
      <c r="F236" s="15">
        <f>F220+F224+F228+F232</f>
        <v>6035</v>
      </c>
      <c r="G236" s="15">
        <f>G220+G224+G228+G232</f>
        <v>1482</v>
      </c>
      <c r="H236" s="15">
        <f>H220+H224+H228+H232</f>
        <v>1510</v>
      </c>
      <c r="I236" s="38">
        <f>I220+I224+I228+I232</f>
        <v>1521.3560000000002</v>
      </c>
      <c r="J236" s="2"/>
      <c r="K236" s="2"/>
      <c r="L236" s="2"/>
      <c r="M236" s="2"/>
      <c r="N236" s="2"/>
      <c r="O236" s="2"/>
    </row>
    <row r="237">
      <c r="A237" s="19" t="s">
        <v>122</v>
      </c>
      <c r="B237" s="12" t="s">
        <v>37</v>
      </c>
      <c r="C237" s="12" t="s">
        <v>37</v>
      </c>
      <c r="D237" s="12" t="s">
        <v>37</v>
      </c>
      <c r="E237" s="12" t="s">
        <v>37</v>
      </c>
      <c r="F237" s="12" t="s">
        <v>37</v>
      </c>
      <c r="G237" s="12">
        <f>G236/B236-1</f>
        <v>0.029166666666666563</v>
      </c>
      <c r="H237" s="12">
        <f>H236/C236-1</f>
        <v>-0.004614370468029039</v>
      </c>
      <c r="I237" s="35">
        <f>I236/D236-1</f>
        <v>-0.010178269355887948</v>
      </c>
      <c r="J237" s="2"/>
      <c r="K237" s="2"/>
      <c r="L237" s="2"/>
      <c r="M237" s="2"/>
      <c r="N237" s="2"/>
      <c r="O237" s="2"/>
    </row>
    <row r="238">
      <c r="A238" s="19" t="s">
        <v>110</v>
      </c>
      <c r="B238" s="1" t="s">
        <v>37</v>
      </c>
      <c r="C238" s="1">
        <f>IF(AND(ISNUMBER(C236),ISNUMBER(B236)),C236-B236,"n/a")</f>
        <v>77</v>
      </c>
      <c r="D238" s="1">
        <f>IF(AND(ISNUMBER(D236),ISNUMBER(C236)),D236-C236,"n/a")</f>
        <v>20</v>
      </c>
      <c r="E238" s="1">
        <f>IF(AND(ISNUMBER(E236),ISNUMBER(D236)),E236-D236,"n/a")</f>
        <v>4</v>
      </c>
      <c r="F238" s="1" t="s">
        <v>37</v>
      </c>
      <c r="G238" s="1">
        <f>IF(AND(ISNUMBER(G236),ISNUMBER(E236)),G236-E236,"n/a")</f>
        <v>-59</v>
      </c>
      <c r="H238" s="1">
        <f>IF(AND(ISNUMBER(H236),ISNUMBER(G236)),H236-G236,"n/a")</f>
        <v>28</v>
      </c>
      <c r="I238" s="13">
        <f>IF(AND(ISNUMBER(I236),ISNUMBER(H236)),I236-H236,"n/a")</f>
        <v>11.356000000000222</v>
      </c>
      <c r="J238" s="2"/>
      <c r="K238" s="2"/>
      <c r="L238" s="2"/>
      <c r="M238" s="2"/>
      <c r="N238" s="2"/>
      <c r="O238" s="2"/>
    </row>
    <row r="239">
      <c r="A239" s="26" t="s">
        <v>232</v>
      </c>
      <c r="B239" s="12">
        <f>B236/B211</f>
        <v>0.6266318537859008</v>
      </c>
      <c r="C239" s="12">
        <f>C236/C211</f>
        <v>0.6384680134680135</v>
      </c>
      <c r="D239" s="12">
        <f>D236/D211</f>
        <v>0.637759336099585</v>
      </c>
      <c r="E239" s="12">
        <f>E236/E211</f>
        <v>0.6812555260831122</v>
      </c>
      <c r="F239" s="12">
        <f>F236/F211</f>
        <v>0.6457307939225337</v>
      </c>
      <c r="G239" s="12">
        <f>G236/G211</f>
        <v>0.6404494382022472</v>
      </c>
      <c r="H239" s="12">
        <f>H236/H211</f>
        <v>0.6363253265908133</v>
      </c>
      <c r="I239" s="35">
        <f>I236/I211</f>
        <v>0.6361277677394162</v>
      </c>
      <c r="J239" s="2"/>
      <c r="K239" s="2"/>
      <c r="L239" s="2"/>
      <c r="M239" s="2"/>
      <c r="N239" s="2"/>
      <c r="O239" s="2"/>
    </row>
    <row r="240">
      <c r="A240" s="19" t="s">
        <v>144</v>
      </c>
      <c r="B240" s="5" t="s">
        <v>37</v>
      </c>
      <c r="C240" s="5">
        <f>IF(AND(ISNUMBER(C239),ISNUMBER(B239)),(C239-B239)*10000,"n/a")</f>
        <v>118.36159682112712</v>
      </c>
      <c r="D240" s="5">
        <f>IF(AND(ISNUMBER(D239),ISNUMBER(C239)),(D239-C239)*10000,"n/a")</f>
        <v>-7.086773684285008</v>
      </c>
      <c r="E240" s="5">
        <f>IF(AND(ISNUMBER(E239),ISNUMBER(D239)),(E239-D239)*10000,"n/a")</f>
        <v>434.9618998352722</v>
      </c>
      <c r="F240" s="5" t="s">
        <v>37</v>
      </c>
      <c r="G240" s="5">
        <f>IF(AND(ISNUMBER(G239),ISNUMBER(E239)),(G239-E239)*10000,"n/a")</f>
        <v>-408.0608788086504</v>
      </c>
      <c r="H240" s="5">
        <f>IF(AND(ISNUMBER(H239),ISNUMBER(G239)),(H239-G239)*10000,"n/a")</f>
        <v>-41.241116114338894</v>
      </c>
      <c r="I240" s="45">
        <f>IF(AND(ISNUMBER(I239),ISNUMBER(H239)),(I239-H239)*10000,"n/a")</f>
        <v>-1.9755885139716156</v>
      </c>
      <c r="J240" s="2"/>
      <c r="K240" s="2"/>
      <c r="L240" s="2"/>
      <c r="M240" s="2"/>
      <c r="N240" s="2"/>
      <c r="O240" s="2"/>
    </row>
    <row r="241">
      <c r="A241" s="19" t="s">
        <v>145</v>
      </c>
      <c r="B241" s="5" t="s">
        <v>37</v>
      </c>
      <c r="C241" s="5" t="s">
        <v>37</v>
      </c>
      <c r="D241" s="5" t="s">
        <v>37</v>
      </c>
      <c r="E241" s="5" t="s">
        <v>37</v>
      </c>
      <c r="F241" s="5" t="s">
        <v>37</v>
      </c>
      <c r="G241" s="5">
        <f>IF(AND(ISNUMBER(G239),ISNUMBER(B239)),(G239-B239)*10000,"n/a")</f>
        <v>138.17584416346395</v>
      </c>
      <c r="H241" s="5">
        <f>IF(AND(ISNUMBER(H239),ISNUMBER(C239)),(H239-C239)*10000,"n/a")</f>
        <v>-21.42686877200206</v>
      </c>
      <c r="I241" s="45">
        <f>IF(AND(ISNUMBER(I239),ISNUMBER(D239)),(I239-D239)*10000,"n/a")</f>
        <v>-16.31568360168867</v>
      </c>
      <c r="J241" s="2"/>
      <c r="K241" s="2"/>
      <c r="L241" s="2"/>
      <c r="M241" s="2"/>
      <c r="N241" s="2"/>
      <c r="O241" s="2"/>
    </row>
    <row r="242">
      <c r="A242" s="16" t="s">
        <v>233</v>
      </c>
      <c r="B242" s="15">
        <f>B211-B236</f>
        <v>858</v>
      </c>
      <c r="C242" s="15">
        <f>C211-C236</f>
        <v>859</v>
      </c>
      <c r="D242" s="15">
        <f>D211-D236</f>
        <v>873</v>
      </c>
      <c r="E242" s="15">
        <f>E211-E236</f>
        <v>721</v>
      </c>
      <c r="F242" s="15">
        <f>F211-F236</f>
        <v>3311</v>
      </c>
      <c r="G242" s="15">
        <f>G211-G236</f>
        <v>832</v>
      </c>
      <c r="H242" s="15">
        <f>H211-H236</f>
        <v>863</v>
      </c>
      <c r="I242" s="38">
        <f>I211-I236</f>
        <v>870.2327297396041</v>
      </c>
      <c r="J242" s="2"/>
      <c r="K242" s="2"/>
      <c r="L242" s="2"/>
      <c r="M242" s="2"/>
      <c r="N242" s="2"/>
      <c r="O242" s="2"/>
    </row>
    <row r="243">
      <c r="A243" s="19" t="s">
        <v>122</v>
      </c>
      <c r="B243" s="12" t="s">
        <v>37</v>
      </c>
      <c r="C243" s="12" t="s">
        <v>37</v>
      </c>
      <c r="D243" s="12" t="s">
        <v>37</v>
      </c>
      <c r="E243" s="12" t="s">
        <v>37</v>
      </c>
      <c r="F243" s="12" t="s">
        <v>37</v>
      </c>
      <c r="G243" s="12">
        <f>G242/B242-1</f>
        <v>-0.030303030303030276</v>
      </c>
      <c r="H243" s="12">
        <f>H242/C242-1</f>
        <v>0.00465657741559955</v>
      </c>
      <c r="I243" s="35">
        <f>I242/D242-1</f>
        <v>-0.003169839931724927</v>
      </c>
      <c r="J243" s="2"/>
      <c r="K243" s="2"/>
      <c r="L243" s="2"/>
      <c r="M243" s="2"/>
      <c r="N243" s="2"/>
      <c r="O243" s="2"/>
    </row>
    <row r="244">
      <c r="A244" s="36" t="s">
        <v>234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>
      <c r="A245" s="62" t="s">
        <v>235</v>
      </c>
      <c r="B245" s="8">
        <v>12</v>
      </c>
      <c r="C245" s="8">
        <v>15</v>
      </c>
      <c r="D245" s="8">
        <v>16</v>
      </c>
      <c r="E245" s="8">
        <v>13</v>
      </c>
      <c r="F245" s="3">
        <f>SUM(B245:E245)</f>
        <v>56</v>
      </c>
      <c r="G245" s="8">
        <v>18</v>
      </c>
      <c r="H245" s="8">
        <v>14</v>
      </c>
      <c r="I245" s="46">
        <f>I246*I10*(I$7/365)</f>
        <v>14.416092493150686</v>
      </c>
      <c r="J245" s="2"/>
      <c r="K245" s="2"/>
      <c r="L245" s="2"/>
      <c r="M245" s="2"/>
      <c r="N245" s="2"/>
      <c r="O245" s="2"/>
    </row>
    <row r="246">
      <c r="A246" s="61" t="s">
        <v>236</v>
      </c>
      <c r="B246" s="69">
        <f>IF(B10=0,0,B245/B10/(B$7/365))</f>
        <v>0.012004604505837856</v>
      </c>
      <c r="C246" s="69">
        <f>IF(C10=0,0,C245/C10/(C$7/365))</f>
        <v>0.013296096169024345</v>
      </c>
      <c r="D246" s="69">
        <f>IF(D10=0,0,D245/D10/(D$7/365))</f>
        <v>0.014660106436389195</v>
      </c>
      <c r="E246" s="69">
        <f>IF(E10=0,0,E245/E10/(E$7/365))</f>
        <v>0.011491997984964737</v>
      </c>
      <c r="F246" s="69">
        <f>IF(F10=0,0,F245/F10/(F$7/365))</f>
        <v>0.012872420084250116</v>
      </c>
      <c r="G246" s="69">
        <f>IF(G10=0,0,G245/G10/(G$7/365))</f>
        <v>0.016594680609229372</v>
      </c>
      <c r="H246" s="69">
        <f>IF(H10=0,0,H245/H10/(H$7/365))</f>
        <v>0.011899522389032878</v>
      </c>
      <c r="I246" s="75">
        <v>0.012</v>
      </c>
      <c r="J246" s="6" t="s">
        <v>138</v>
      </c>
      <c r="K246" s="2"/>
      <c r="L246" s="2"/>
      <c r="M246" s="2"/>
      <c r="N246" s="2"/>
      <c r="O246" s="2"/>
    </row>
    <row r="247">
      <c r="A247" s="78" t="s">
        <v>144</v>
      </c>
      <c r="B247" s="5" t="s">
        <v>37</v>
      </c>
      <c r="C247" s="5">
        <f>IF(AND(ISNUMBER(C246),ISNUMBER(B246)),(C246-B246)*10000,"n/a")</f>
        <v>12.91491663186489</v>
      </c>
      <c r="D247" s="5">
        <f>IF(AND(ISNUMBER(D246),ISNUMBER(C246)),(D246-C246)*10000,"n/a")</f>
        <v>13.640102673648496</v>
      </c>
      <c r="E247" s="5">
        <f>IF(AND(ISNUMBER(E246),ISNUMBER(D246)),(E246-D246)*10000,"n/a")</f>
        <v>-31.681084514244578</v>
      </c>
      <c r="F247" s="5" t="s">
        <v>37</v>
      </c>
      <c r="G247" s="5">
        <f>IF(AND(ISNUMBER(G246),ISNUMBER(E246)),(G246-E246)*10000,"n/a")</f>
        <v>51.02682624264636</v>
      </c>
      <c r="H247" s="5">
        <f>IF(AND(ISNUMBER(H246),ISNUMBER(G246)),(H246-G246)*10000,"n/a")</f>
        <v>-46.951582201964946</v>
      </c>
      <c r="I247" s="45">
        <f>IF(AND(ISNUMBER(I246),ISNUMBER(H246)),(I246-H246)*10000,"n/a")</f>
        <v>1.0047761096712224</v>
      </c>
      <c r="J247" s="2"/>
      <c r="K247" s="2"/>
      <c r="L247" s="2"/>
      <c r="M247" s="2"/>
      <c r="N247" s="2"/>
      <c r="O247" s="2"/>
    </row>
    <row r="248">
      <c r="A248" s="78" t="s">
        <v>145</v>
      </c>
      <c r="B248" s="5" t="s">
        <v>37</v>
      </c>
      <c r="C248" s="5" t="s">
        <v>37</v>
      </c>
      <c r="D248" s="5" t="s">
        <v>37</v>
      </c>
      <c r="E248" s="5" t="s">
        <v>37</v>
      </c>
      <c r="F248" s="5" t="s">
        <v>37</v>
      </c>
      <c r="G248" s="5">
        <f>IF(AND(ISNUMBER(G246),ISNUMBER(B246)),(G246-B246)*10000,"n/a")</f>
        <v>45.90076103391516</v>
      </c>
      <c r="H248" s="5">
        <f>IF(AND(ISNUMBER(H246),ISNUMBER(C246)),(H246-C246)*10000,"n/a")</f>
        <v>-13.965737799914672</v>
      </c>
      <c r="I248" s="45">
        <f>IF(AND(ISNUMBER(I246),ISNUMBER(D246)),(I246-D246)*10000,"n/a")</f>
        <v>-26.601064363891943</v>
      </c>
      <c r="J248" s="2"/>
      <c r="K248" s="2"/>
      <c r="L248" s="2"/>
      <c r="M248" s="2"/>
      <c r="N248" s="2"/>
      <c r="O248" s="2"/>
    </row>
    <row r="249">
      <c r="A249" s="62" t="s">
        <v>237</v>
      </c>
      <c r="B249" s="8">
        <v>1</v>
      </c>
      <c r="C249" s="8">
        <v>-1</v>
      </c>
      <c r="D249" s="8">
        <v>1</v>
      </c>
      <c r="E249" s="8">
        <v>1</v>
      </c>
      <c r="F249" s="3">
        <f>SUM(B249:E249)</f>
        <v>2</v>
      </c>
      <c r="G249" s="8">
        <v>3</v>
      </c>
      <c r="H249" s="8">
        <v>2</v>
      </c>
      <c r="I249" s="46">
        <f>I250*I14*(I$7/365)</f>
        <v>2.0927353424657533</v>
      </c>
      <c r="J249" s="2"/>
      <c r="K249" s="2"/>
      <c r="L249" s="2"/>
      <c r="M249" s="2"/>
      <c r="N249" s="2"/>
      <c r="O249" s="2"/>
    </row>
    <row r="250">
      <c r="A250" s="61" t="s">
        <v>236</v>
      </c>
      <c r="B250" s="69">
        <f>IF(B14=0,0,B249/B14/(B$7/365))</f>
        <v>0.0003494361154192276</v>
      </c>
      <c r="C250" s="69">
        <f>IF(C14=0,0,C249/C14/(C$7/365))</f>
        <v>-0.00034011608674544314</v>
      </c>
      <c r="D250" s="69">
        <f>IF(D14=0,0,D249/D14/(D$7/365))</f>
        <v>0.0003342368411413501</v>
      </c>
      <c r="E250" s="69">
        <f>IF(E14=0,0,E249/E14/(E$7/365))</f>
        <v>0.000333478297415132</v>
      </c>
      <c r="F250" s="69">
        <f>IF(F14=0,0,F249/F14/(F$7/365))</f>
        <v>0.0001695991442910024</v>
      </c>
      <c r="G250" s="69">
        <f>IF(G14=0,0,G249/G14/(G$7/365))</f>
        <v>0.0010242164042989028</v>
      </c>
      <c r="H250" s="69">
        <f>IF(H14=0,0,H249/H14/(H$7/365))</f>
        <v>0.0006763323515705271</v>
      </c>
      <c r="I250" s="75">
        <v>0.0007</v>
      </c>
      <c r="J250" s="6" t="s">
        <v>138</v>
      </c>
      <c r="K250" s="2"/>
      <c r="L250" s="2"/>
      <c r="M250" s="2"/>
      <c r="N250" s="2"/>
      <c r="O250" s="2"/>
    </row>
    <row r="251">
      <c r="A251" s="78" t="s">
        <v>144</v>
      </c>
      <c r="B251" s="5" t="s">
        <v>37</v>
      </c>
      <c r="C251" s="5">
        <f>IF(AND(ISNUMBER(C250),ISNUMBER(B250)),(C250-B250)*10000,"n/a")</f>
        <v>-6.895522021646708</v>
      </c>
      <c r="D251" s="5">
        <f>IF(AND(ISNUMBER(D250),ISNUMBER(C250)),(D250-C250)*10000,"n/a")</f>
        <v>6.743529278867933</v>
      </c>
      <c r="E251" s="5">
        <f>IF(AND(ISNUMBER(E250),ISNUMBER(D250)),(E250-D250)*10000,"n/a")</f>
        <v>-0.007585437262180839</v>
      </c>
      <c r="F251" s="5" t="s">
        <v>37</v>
      </c>
      <c r="G251" s="5">
        <f>IF(AND(ISNUMBER(G250),ISNUMBER(E250)),(G250-E250)*10000,"n/a")</f>
        <v>6.907381068837708</v>
      </c>
      <c r="H251" s="5">
        <f>IF(AND(ISNUMBER(H250),ISNUMBER(G250)),(H250-G250)*10000,"n/a")</f>
        <v>-3.478840527283757</v>
      </c>
      <c r="I251" s="45">
        <f>IF(AND(ISNUMBER(I250),ISNUMBER(H250)),(I250-H250)*10000,"n/a")</f>
        <v>0.2366764842947288</v>
      </c>
      <c r="J251" s="2"/>
      <c r="K251" s="2"/>
      <c r="L251" s="2"/>
      <c r="M251" s="2"/>
      <c r="N251" s="2"/>
      <c r="O251" s="2"/>
    </row>
    <row r="252">
      <c r="A252" s="78" t="s">
        <v>145</v>
      </c>
      <c r="B252" s="5" t="s">
        <v>37</v>
      </c>
      <c r="C252" s="5" t="s">
        <v>37</v>
      </c>
      <c r="D252" s="5" t="s">
        <v>37</v>
      </c>
      <c r="E252" s="5" t="s">
        <v>37</v>
      </c>
      <c r="F252" s="5" t="s">
        <v>37</v>
      </c>
      <c r="G252" s="5">
        <f>IF(AND(ISNUMBER(G250),ISNUMBER(B250)),(G250-B250)*10000,"n/a")</f>
        <v>6.747802888796752</v>
      </c>
      <c r="H252" s="5">
        <f>IF(AND(ISNUMBER(H250),ISNUMBER(C250)),(H250-C250)*10000,"n/a")</f>
        <v>10.164484383159701</v>
      </c>
      <c r="I252" s="45">
        <f>IF(AND(ISNUMBER(I250),ISNUMBER(D250)),(I250-D250)*10000,"n/a")</f>
        <v>3.657631588586499</v>
      </c>
      <c r="J252" s="2"/>
      <c r="K252" s="2"/>
      <c r="L252" s="2"/>
      <c r="M252" s="2"/>
      <c r="N252" s="2"/>
      <c r="O252" s="2"/>
    </row>
    <row r="253">
      <c r="A253" s="62" t="s">
        <v>305</v>
      </c>
      <c r="B253" s="8">
        <v>0</v>
      </c>
      <c r="C253" s="8">
        <v>-1</v>
      </c>
      <c r="D253" s="8">
        <v>-1</v>
      </c>
      <c r="E253" s="8">
        <v>-2</v>
      </c>
      <c r="F253" s="3">
        <f>SUM(B253:E253)</f>
        <v>-4</v>
      </c>
      <c r="G253" s="8">
        <v>-1</v>
      </c>
      <c r="H253" s="8">
        <v>0</v>
      </c>
      <c r="I253" s="46">
        <f>I254*I18*(I$7/365)</f>
        <v>0</v>
      </c>
      <c r="J253" s="2"/>
      <c r="K253" s="2"/>
      <c r="L253" s="2"/>
      <c r="M253" s="2"/>
      <c r="N253" s="2"/>
      <c r="O253" s="2"/>
    </row>
    <row r="254">
      <c r="A254" s="61" t="s">
        <v>236</v>
      </c>
      <c r="B254" s="69">
        <f>IF(B18=0,0,B253/B18/(B$7/365))</f>
        <v>0</v>
      </c>
      <c r="C254" s="69">
        <f>IF(C18=0,0,C253/C18/(C$7/365))</f>
        <v>-0.000040904250657661904</v>
      </c>
      <c r="D254" s="69">
        <f>IF(D18=0,0,D253/D18/(D$7/365))</f>
        <v>-0.00004145307920286523</v>
      </c>
      <c r="E254" s="69">
        <f>IF(E18=0,0,E253/E18/(E$7/365))</f>
        <v>-0.00008378773834168226</v>
      </c>
      <c r="F254" s="69">
        <f>IF(F18=0,0,F253/F18/(F$7/365))</f>
        <v>-0.000040961293093033814</v>
      </c>
      <c r="G254" s="69">
        <f>IF(G18=0,0,G253/G18/(G$7/365))</f>
        <v>-0.000042992818432493615</v>
      </c>
      <c r="H254" s="69">
        <f>IF(H18=0,0,H253/H18/(H$7/365))</f>
        <v>0</v>
      </c>
      <c r="I254" s="75">
        <v>0</v>
      </c>
      <c r="J254" s="6" t="s">
        <v>138</v>
      </c>
      <c r="K254" s="2"/>
      <c r="L254" s="2"/>
      <c r="M254" s="2"/>
      <c r="N254" s="2"/>
      <c r="O254" s="2"/>
    </row>
    <row r="255">
      <c r="A255" s="78" t="s">
        <v>144</v>
      </c>
      <c r="B255" s="5" t="s">
        <v>37</v>
      </c>
      <c r="C255" s="5">
        <f>IF(AND(ISNUMBER(C254),ISNUMBER(B254)),(C254-B254)*10000,"n/a")</f>
        <v>-0.40904250657661906</v>
      </c>
      <c r="D255" s="5">
        <f>IF(AND(ISNUMBER(D254),ISNUMBER(C254)),(D254-C254)*10000,"n/a")</f>
        <v>-0.00548828545203328</v>
      </c>
      <c r="E255" s="5">
        <f>IF(AND(ISNUMBER(E254),ISNUMBER(D254)),(E254-D254)*10000,"n/a")</f>
        <v>-0.42334659138817027</v>
      </c>
      <c r="F255" s="5" t="s">
        <v>37</v>
      </c>
      <c r="G255" s="5">
        <f>IF(AND(ISNUMBER(G254),ISNUMBER(E254)),(G254-E254)*10000,"n/a")</f>
        <v>0.4079491990918864</v>
      </c>
      <c r="H255" s="5">
        <f>IF(AND(ISNUMBER(H254),ISNUMBER(G254)),(H254-G254)*10000,"n/a")</f>
        <v>0.4299281843249362</v>
      </c>
      <c r="I255" s="45">
        <f>IF(AND(ISNUMBER(I254),ISNUMBER(H254)),(I254-H254)*10000,"n/a")</f>
        <v>0</v>
      </c>
      <c r="J255" s="2"/>
      <c r="K255" s="2"/>
      <c r="L255" s="2"/>
      <c r="M255" s="2"/>
      <c r="N255" s="2"/>
      <c r="O255" s="2"/>
    </row>
    <row r="256">
      <c r="A256" s="78" t="s">
        <v>145</v>
      </c>
      <c r="B256" s="5" t="s">
        <v>37</v>
      </c>
      <c r="C256" s="5" t="s">
        <v>37</v>
      </c>
      <c r="D256" s="5" t="s">
        <v>37</v>
      </c>
      <c r="E256" s="5" t="s">
        <v>37</v>
      </c>
      <c r="F256" s="5" t="s">
        <v>37</v>
      </c>
      <c r="G256" s="5">
        <f>IF(AND(ISNUMBER(G254),ISNUMBER(B254)),(G254-B254)*10000,"n/a")</f>
        <v>-0.4299281843249362</v>
      </c>
      <c r="H256" s="5">
        <f>IF(AND(ISNUMBER(H254),ISNUMBER(C254)),(H254-C254)*10000,"n/a")</f>
        <v>0.40904250657661906</v>
      </c>
      <c r="I256" s="45">
        <f>IF(AND(ISNUMBER(I254),ISNUMBER(D254)),(I254-D254)*10000,"n/a")</f>
        <v>0.41453079202865234</v>
      </c>
      <c r="J256" s="2"/>
      <c r="K256" s="2"/>
      <c r="L256" s="2"/>
      <c r="M256" s="2"/>
      <c r="N256" s="2"/>
      <c r="O256" s="2"/>
    </row>
    <row r="257">
      <c r="A257" s="62" t="s">
        <v>238</v>
      </c>
      <c r="B257" s="8">
        <v>62</v>
      </c>
      <c r="C257" s="8">
        <v>53</v>
      </c>
      <c r="D257" s="8">
        <v>58</v>
      </c>
      <c r="E257" s="8">
        <v>67</v>
      </c>
      <c r="F257" s="3">
        <f>SUM(B257:E257)</f>
        <v>240</v>
      </c>
      <c r="G257" s="8">
        <v>68</v>
      </c>
      <c r="H257" s="8">
        <v>59</v>
      </c>
      <c r="I257" s="46">
        <f>I258*I36*(I$7/365)</f>
        <v>62.27300436164384</v>
      </c>
      <c r="J257" s="2"/>
      <c r="K257" s="2"/>
      <c r="L257" s="2"/>
      <c r="M257" s="2"/>
      <c r="N257" s="2"/>
      <c r="O257" s="2"/>
    </row>
    <row r="258">
      <c r="A258" s="61" t="s">
        <v>236</v>
      </c>
      <c r="B258" s="69">
        <f>IF(B36=0,0,B257/B36/(B$7/365))</f>
        <v>0.006985344050573521</v>
      </c>
      <c r="C258" s="69">
        <f>IF(C36=0,0,C257/C36/(C$7/365))</f>
        <v>0.006052340780731624</v>
      </c>
      <c r="D258" s="69">
        <f>IF(D36=0,0,D257/D36/(D$7/365))</f>
        <v>0.006768300948649153</v>
      </c>
      <c r="E258" s="69">
        <f>IF(E36=0,0,E257/E36/(E$7/365))</f>
        <v>0.00785668481634216</v>
      </c>
      <c r="F258" s="69">
        <f>IF(F36=0,0,F257/F36/(F$7/365))</f>
        <v>0.006910492399405003</v>
      </c>
      <c r="G258" s="69">
        <f>IF(G36=0,0,G257/G36/(G$7/365))</f>
        <v>0.00821182675096858</v>
      </c>
      <c r="H258" s="69">
        <f>IF(H36=0,0,H257/H36/(H$7/365))</f>
        <v>0.006964342308662497</v>
      </c>
      <c r="I258" s="75">
        <v>0.0072</v>
      </c>
      <c r="J258" s="6" t="s">
        <v>138</v>
      </c>
      <c r="K258" s="2"/>
      <c r="L258" s="2"/>
      <c r="M258" s="2"/>
      <c r="N258" s="2"/>
      <c r="O258" s="2"/>
    </row>
    <row r="259">
      <c r="A259" s="78" t="s">
        <v>144</v>
      </c>
      <c r="B259" s="5" t="s">
        <v>37</v>
      </c>
      <c r="C259" s="5">
        <f>IF(AND(ISNUMBER(C258),ISNUMBER(B258)),(C258-B258)*10000,"n/a")</f>
        <v>-9.33003269841897</v>
      </c>
      <c r="D259" s="5">
        <f>IF(AND(ISNUMBER(D258),ISNUMBER(C258)),(D258-C258)*10000,"n/a")</f>
        <v>7.159601679175287</v>
      </c>
      <c r="E259" s="5">
        <f>IF(AND(ISNUMBER(E258),ISNUMBER(D258)),(E258-D258)*10000,"n/a")</f>
        <v>10.883838676930068</v>
      </c>
      <c r="F259" s="5" t="s">
        <v>37</v>
      </c>
      <c r="G259" s="5">
        <f>IF(AND(ISNUMBER(G258),ISNUMBER(E258)),(G258-E258)*10000,"n/a")</f>
        <v>3.5514193462641943</v>
      </c>
      <c r="H259" s="5">
        <f>IF(AND(ISNUMBER(H258),ISNUMBER(G258)),(H258-G258)*10000,"n/a")</f>
        <v>-12.474844423060825</v>
      </c>
      <c r="I259" s="45">
        <f>IF(AND(ISNUMBER(I258),ISNUMBER(H258)),(I258-H258)*10000,"n/a")</f>
        <v>2.356576913375031</v>
      </c>
      <c r="J259" s="2"/>
      <c r="K259" s="2"/>
      <c r="L259" s="2"/>
      <c r="M259" s="2"/>
      <c r="N259" s="2"/>
      <c r="O259" s="2"/>
    </row>
    <row r="260">
      <c r="A260" s="78" t="s">
        <v>145</v>
      </c>
      <c r="B260" s="5" t="s">
        <v>37</v>
      </c>
      <c r="C260" s="5" t="s">
        <v>37</v>
      </c>
      <c r="D260" s="5" t="s">
        <v>37</v>
      </c>
      <c r="E260" s="5" t="s">
        <v>37</v>
      </c>
      <c r="F260" s="5" t="s">
        <v>37</v>
      </c>
      <c r="G260" s="5">
        <f>IF(AND(ISNUMBER(G258),ISNUMBER(B258)),(G258-B258)*10000,"n/a")</f>
        <v>12.26482700395058</v>
      </c>
      <c r="H260" s="5">
        <f>IF(AND(ISNUMBER(H258),ISNUMBER(C258)),(H258-C258)*10000,"n/a")</f>
        <v>9.120015279308726</v>
      </c>
      <c r="I260" s="45">
        <f>IF(AND(ISNUMBER(I258),ISNUMBER(D258)),(I258-D258)*10000,"n/a")</f>
        <v>4.31699051350847</v>
      </c>
      <c r="J260" s="2"/>
      <c r="K260" s="2"/>
      <c r="L260" s="2"/>
      <c r="M260" s="2"/>
      <c r="N260" s="2"/>
      <c r="O260" s="2"/>
    </row>
    <row r="261">
      <c r="A261" s="68" t="s">
        <v>239</v>
      </c>
      <c r="B261" s="15">
        <f>B245+B249+B253+B257</f>
        <v>75</v>
      </c>
      <c r="C261" s="15">
        <f>C245+C249+C253+C257</f>
        <v>66</v>
      </c>
      <c r="D261" s="15">
        <f>D245+D249+D253+D257</f>
        <v>74</v>
      </c>
      <c r="E261" s="15">
        <f>E245+E249+E253+E257</f>
        <v>79</v>
      </c>
      <c r="F261" s="15">
        <f>F245+F249+F253+F257</f>
        <v>294</v>
      </c>
      <c r="G261" s="15">
        <f>G245+G249+G253+G257</f>
        <v>88</v>
      </c>
      <c r="H261" s="15">
        <f>H245+H249+H253+H257</f>
        <v>75</v>
      </c>
      <c r="I261" s="38">
        <f>I245+I249+I253+I257</f>
        <v>78.78183219726029</v>
      </c>
      <c r="J261" s="2"/>
      <c r="K261" s="2"/>
      <c r="L261" s="2"/>
      <c r="M261" s="2"/>
      <c r="N261" s="2"/>
      <c r="O261" s="2"/>
    </row>
    <row r="262">
      <c r="A262" s="19" t="s">
        <v>240</v>
      </c>
      <c r="B262" s="69">
        <f>B261/B39/(B$7/365)</f>
        <v>0.0019763145469745605</v>
      </c>
      <c r="C262" s="69">
        <f>C261/C39/(C$7/365)</f>
        <v>0.0017707376235804328</v>
      </c>
      <c r="D262" s="69">
        <f>D261/D39/(D$7/365)</f>
        <v>0.002012165068754809</v>
      </c>
      <c r="E262" s="69">
        <f>E261/E39/(E$7/365)</f>
        <v>0.0021627523861155423</v>
      </c>
      <c r="F262" s="69">
        <f>F261/F39/(F$7/365)</f>
        <v>0.0019794532348408854</v>
      </c>
      <c r="G262" s="69">
        <f>G261/G39/(G$7/365)</f>
        <v>0.0024750949351481978</v>
      </c>
      <c r="H262" s="69">
        <f>H261/H39/(H$7/365)</f>
        <v>0.002088940724294316</v>
      </c>
      <c r="I262" s="67">
        <f>I261/I39/(I$7/365)</f>
        <v>0.00217595855843686</v>
      </c>
      <c r="J262" s="2"/>
      <c r="K262" s="2"/>
      <c r="L262" s="2"/>
      <c r="M262" s="2"/>
      <c r="N262" s="2"/>
      <c r="O262" s="2"/>
    </row>
    <row r="263">
      <c r="A263" s="14" t="s">
        <v>144</v>
      </c>
      <c r="B263" s="5" t="s">
        <v>37</v>
      </c>
      <c r="C263" s="5">
        <f>IF(AND(ISNUMBER(C262),ISNUMBER(B262)),(C262-B262)*10000,"n/a")</f>
        <v>-2.055769233941277</v>
      </c>
      <c r="D263" s="5">
        <f>IF(AND(ISNUMBER(D262),ISNUMBER(C262)),(D262-C262)*10000,"n/a")</f>
        <v>2.414274451743761</v>
      </c>
      <c r="E263" s="5">
        <f>IF(AND(ISNUMBER(E262),ISNUMBER(D262)),(E262-D262)*10000,"n/a")</f>
        <v>1.5058731736073339</v>
      </c>
      <c r="F263" s="5" t="s">
        <v>37</v>
      </c>
      <c r="G263" s="5">
        <f>IF(AND(ISNUMBER(G262),ISNUMBER(E262)),(G262-E262)*10000,"n/a")</f>
        <v>3.1234254903265546</v>
      </c>
      <c r="H263" s="5">
        <f>IF(AND(ISNUMBER(H262),ISNUMBER(G262)),(H262-G262)*10000,"n/a")</f>
        <v>-3.8615421085388175</v>
      </c>
      <c r="I263" s="45">
        <f>IF(AND(ISNUMBER(I262),ISNUMBER(H262)),(I262-H262)*10000,"n/a")</f>
        <v>0.8701783414254409</v>
      </c>
      <c r="J263" s="2"/>
      <c r="K263" s="2"/>
      <c r="L263" s="2"/>
      <c r="M263" s="2"/>
      <c r="N263" s="2"/>
      <c r="O263" s="2"/>
    </row>
    <row r="264">
      <c r="A264" s="14" t="s">
        <v>145</v>
      </c>
      <c r="B264" s="5" t="s">
        <v>37</v>
      </c>
      <c r="C264" s="5" t="s">
        <v>37</v>
      </c>
      <c r="D264" s="5" t="s">
        <v>37</v>
      </c>
      <c r="E264" s="5" t="s">
        <v>37</v>
      </c>
      <c r="F264" s="5" t="s">
        <v>37</v>
      </c>
      <c r="G264" s="5">
        <f>IF(AND(ISNUMBER(G262),ISNUMBER(B262)),(G262-B262)*10000,"n/a")</f>
        <v>4.987803881736372</v>
      </c>
      <c r="H264" s="5">
        <f>IF(AND(ISNUMBER(H262),ISNUMBER(C262)),(H262-C262)*10000,"n/a")</f>
        <v>3.1820310071388316</v>
      </c>
      <c r="I264" s="45">
        <f>IF(AND(ISNUMBER(I262),ISNUMBER(D262)),(I262-D262)*10000,"n/a")</f>
        <v>1.6379348968205116</v>
      </c>
      <c r="J264" s="2"/>
      <c r="K264" s="2"/>
      <c r="L264" s="2"/>
      <c r="M264" s="2"/>
      <c r="N264" s="2"/>
      <c r="O264" s="2"/>
    </row>
    <row r="265">
      <c r="A265" s="36" t="s">
        <v>241</v>
      </c>
      <c r="B265" s="3">
        <f>B268-B261</f>
        <v>-13</v>
      </c>
      <c r="C265" s="3">
        <f>C268-C261</f>
        <v>-29</v>
      </c>
      <c r="D265" s="3">
        <f>D268-D261</f>
        <v>-12</v>
      </c>
      <c r="E265" s="3">
        <f>E268-E261</f>
        <v>-3</v>
      </c>
      <c r="F265" s="3">
        <f>F268-F261</f>
        <v>-57</v>
      </c>
      <c r="G265" s="3">
        <f>G268-G261</f>
        <v>-16</v>
      </c>
      <c r="H265" s="3">
        <f>H268-H261</f>
        <v>3</v>
      </c>
      <c r="I265" s="32">
        <v>4</v>
      </c>
      <c r="J265" s="6" t="s">
        <v>138</v>
      </c>
      <c r="K265" s="2"/>
      <c r="L265" s="2"/>
      <c r="M265" s="2"/>
      <c r="N265" s="2"/>
      <c r="O265" s="2"/>
    </row>
    <row r="266">
      <c r="A266" s="14" t="s">
        <v>242</v>
      </c>
      <c r="B266" s="1" t="s">
        <v>37</v>
      </c>
      <c r="C266" s="1" t="s">
        <v>37</v>
      </c>
      <c r="D266" s="1" t="s">
        <v>37</v>
      </c>
      <c r="E266" s="1" t="s">
        <v>37</v>
      </c>
      <c r="F266" s="1" t="s">
        <v>37</v>
      </c>
      <c r="G266" s="1">
        <f>IF(AND(ISNUMBER(G265),ISNUMBER(B265)),G265-B265,"n/a")</f>
        <v>-3</v>
      </c>
      <c r="H266" s="1">
        <f>IF(AND(ISNUMBER(H265),ISNUMBER(C265)),H265-C265,"n/a")</f>
        <v>32</v>
      </c>
      <c r="I266" s="13">
        <f>IF(AND(ISNUMBER(I265),ISNUMBER(D265)),I265-D265,"n/a")</f>
        <v>16</v>
      </c>
      <c r="J266" s="2"/>
      <c r="K266" s="2"/>
      <c r="L266" s="2"/>
      <c r="M266" s="2"/>
      <c r="N266" s="2"/>
      <c r="O266" s="2"/>
    </row>
    <row r="267">
      <c r="A267" s="14" t="s">
        <v>110</v>
      </c>
      <c r="B267" s="1" t="s">
        <v>37</v>
      </c>
      <c r="C267" s="1">
        <f>IF(AND(ISNUMBER(C265),ISNUMBER(B265)),C265-B265,"n/a")</f>
        <v>-16</v>
      </c>
      <c r="D267" s="1">
        <f>IF(AND(ISNUMBER(D265),ISNUMBER(C265)),D265-C265,"n/a")</f>
        <v>17</v>
      </c>
      <c r="E267" s="1">
        <f>IF(AND(ISNUMBER(E265),ISNUMBER(D265)),E265-D265,"n/a")</f>
        <v>9</v>
      </c>
      <c r="F267" s="1" t="s">
        <v>37</v>
      </c>
      <c r="G267" s="1">
        <f>IF(AND(ISNUMBER(G265),ISNUMBER(E265)),G265-E265,"n/a")</f>
        <v>-13</v>
      </c>
      <c r="H267" s="1">
        <f>IF(AND(ISNUMBER(H265),ISNUMBER(G265)),H265-G265,"n/a")</f>
        <v>19</v>
      </c>
      <c r="I267" s="13">
        <f>IF(AND(ISNUMBER(I265),ISNUMBER(H265)),I265-H265,"n/a")</f>
        <v>1</v>
      </c>
      <c r="J267" s="2"/>
      <c r="K267" s="2"/>
      <c r="L267" s="2"/>
      <c r="M267" s="2"/>
      <c r="N267" s="2"/>
      <c r="O267" s="2"/>
    </row>
    <row r="268">
      <c r="A268" s="68" t="s">
        <v>243</v>
      </c>
      <c r="B268" s="25">
        <v>62</v>
      </c>
      <c r="C268" s="25">
        <v>37</v>
      </c>
      <c r="D268" s="25">
        <v>62</v>
      </c>
      <c r="E268" s="25">
        <v>76</v>
      </c>
      <c r="F268" s="15">
        <f>SUM(B268:E268)</f>
        <v>237</v>
      </c>
      <c r="G268" s="25">
        <v>72</v>
      </c>
      <c r="H268" s="25">
        <v>78</v>
      </c>
      <c r="I268" s="38">
        <f>I261+I265</f>
        <v>82.78183219726029</v>
      </c>
      <c r="J268" s="2"/>
      <c r="K268" s="2"/>
      <c r="L268" s="2"/>
      <c r="M268" s="2"/>
      <c r="N268" s="2"/>
      <c r="O268" s="2"/>
    </row>
    <row r="269">
      <c r="A269" s="16" t="s">
        <v>244</v>
      </c>
      <c r="B269" s="15">
        <f>B242-B268</f>
        <v>796</v>
      </c>
      <c r="C269" s="15">
        <f>C242-C268</f>
        <v>822</v>
      </c>
      <c r="D269" s="15">
        <f>D242-D268</f>
        <v>811</v>
      </c>
      <c r="E269" s="15">
        <f>E242-E268</f>
        <v>645</v>
      </c>
      <c r="F269" s="15">
        <f>F242-F268</f>
        <v>3074</v>
      </c>
      <c r="G269" s="15">
        <f>G242-G268</f>
        <v>760</v>
      </c>
      <c r="H269" s="15">
        <f>H242-H268</f>
        <v>785</v>
      </c>
      <c r="I269" s="38">
        <f>I242-I268</f>
        <v>787.4508975423438</v>
      </c>
      <c r="J269" s="2"/>
      <c r="K269" s="2"/>
      <c r="L269" s="2"/>
      <c r="M269" s="2"/>
      <c r="N269" s="2"/>
      <c r="O269" s="2"/>
    </row>
    <row r="270">
      <c r="A270" s="19" t="s">
        <v>245</v>
      </c>
      <c r="B270" s="12">
        <f>B273/B269</f>
        <v>0.25</v>
      </c>
      <c r="C270" s="12">
        <f>C273/C269</f>
        <v>0.25060827250608275</v>
      </c>
      <c r="D270" s="12">
        <f>D273/D269</f>
        <v>0.25030826140567203</v>
      </c>
      <c r="E270" s="12">
        <f>E273/E269</f>
        <v>0.2496124031007752</v>
      </c>
      <c r="F270" s="12">
        <f>F273/F269</f>
        <v>0.2501626545217957</v>
      </c>
      <c r="G270" s="12">
        <f>G273/G269</f>
        <v>0.25</v>
      </c>
      <c r="H270" s="12">
        <f>H273/H269</f>
        <v>0.24968152866242038</v>
      </c>
      <c r="I270" s="60">
        <v>0.25</v>
      </c>
      <c r="J270" s="2"/>
      <c r="K270" s="2"/>
      <c r="L270" s="2"/>
      <c r="M270" s="2"/>
      <c r="N270" s="2"/>
      <c r="O270" s="2"/>
    </row>
    <row r="271">
      <c r="A271" s="14" t="s">
        <v>144</v>
      </c>
      <c r="B271" s="5" t="s">
        <v>37</v>
      </c>
      <c r="C271" s="5">
        <f>IF(AND(ISNUMBER(C270),ISNUMBER(B270)),(C270-B270)*10000,"n/a")</f>
        <v>6.082725060827521</v>
      </c>
      <c r="D271" s="5">
        <f>IF(AND(ISNUMBER(D270),ISNUMBER(C270)),(D270-C270)*10000,"n/a")</f>
        <v>-3.000111004107242</v>
      </c>
      <c r="E271" s="5">
        <f>IF(AND(ISNUMBER(E270),ISNUMBER(D270)),(E270-D270)*10000,"n/a")</f>
        <v>-6.9585830489682365</v>
      </c>
      <c r="F271" s="5" t="s">
        <v>37</v>
      </c>
      <c r="G271" s="5">
        <f>IF(AND(ISNUMBER(G270),ISNUMBER(E270)),(G270-E270)*10000,"n/a")</f>
        <v>3.875968992247958</v>
      </c>
      <c r="H271" s="5">
        <f>IF(AND(ISNUMBER(H270),ISNUMBER(G270)),(H270-G270)*10000,"n/a")</f>
        <v>-3.1847133757961776</v>
      </c>
      <c r="I271" s="45">
        <f>IF(AND(ISNUMBER(I270),ISNUMBER(H270)),(I270-H270)*10000,"n/a")</f>
        <v>3.1847133757961776</v>
      </c>
      <c r="J271" s="2"/>
      <c r="K271" s="2"/>
      <c r="L271" s="2"/>
      <c r="M271" s="2"/>
      <c r="N271" s="2"/>
      <c r="O271" s="2"/>
    </row>
    <row r="272">
      <c r="A272" s="14" t="s">
        <v>145</v>
      </c>
      <c r="B272" s="5" t="s">
        <v>37</v>
      </c>
      <c r="C272" s="5" t="s">
        <v>37</v>
      </c>
      <c r="D272" s="5" t="s">
        <v>37</v>
      </c>
      <c r="E272" s="5" t="s">
        <v>37</v>
      </c>
      <c r="F272" s="5" t="s">
        <v>37</v>
      </c>
      <c r="G272" s="5">
        <f>IF(AND(ISNUMBER(G270),ISNUMBER(B270)),(G270-B270)*10000,"n/a")</f>
        <v>0</v>
      </c>
      <c r="H272" s="5">
        <f>IF(AND(ISNUMBER(H270),ISNUMBER(C270)),(H270-C270)*10000,"n/a")</f>
        <v>-9.2674384366237</v>
      </c>
      <c r="I272" s="45">
        <f>IF(AND(ISNUMBER(I270),ISNUMBER(D270)),(I270-D270)*10000,"n/a")</f>
        <v>-3.0826140567202787</v>
      </c>
      <c r="J272" s="2"/>
      <c r="K272" s="2"/>
      <c r="L272" s="2"/>
      <c r="M272" s="2"/>
      <c r="N272" s="2"/>
      <c r="O272" s="2"/>
    </row>
    <row r="273">
      <c r="A273" s="36" t="s">
        <v>246</v>
      </c>
      <c r="B273" s="8">
        <v>199</v>
      </c>
      <c r="C273" s="8">
        <v>206</v>
      </c>
      <c r="D273" s="8">
        <v>203</v>
      </c>
      <c r="E273" s="8">
        <v>161</v>
      </c>
      <c r="F273" s="3">
        <f>SUM(B273:E273)</f>
        <v>769</v>
      </c>
      <c r="G273" s="8">
        <v>190</v>
      </c>
      <c r="H273" s="8">
        <v>196</v>
      </c>
      <c r="I273" s="46">
        <f>I269*I270</f>
        <v>196.86272438558595</v>
      </c>
      <c r="J273" s="2"/>
      <c r="K273" s="2"/>
      <c r="L273" s="2"/>
      <c r="M273" s="2"/>
      <c r="N273" s="2"/>
      <c r="O273" s="2"/>
    </row>
    <row r="274">
      <c r="A274" s="16" t="s">
        <v>247</v>
      </c>
      <c r="B274" s="15">
        <f>B269-B273</f>
        <v>597</v>
      </c>
      <c r="C274" s="15">
        <f>C269-C273</f>
        <v>616</v>
      </c>
      <c r="D274" s="15">
        <f>D269-D273</f>
        <v>608</v>
      </c>
      <c r="E274" s="15">
        <f>E269-E273</f>
        <v>484</v>
      </c>
      <c r="F274" s="15">
        <f>F269-F273</f>
        <v>2305</v>
      </c>
      <c r="G274" s="15">
        <f>G269-G273</f>
        <v>570</v>
      </c>
      <c r="H274" s="15">
        <f>H269-H273</f>
        <v>589</v>
      </c>
      <c r="I274" s="38">
        <f>I269-I273</f>
        <v>590.5881731567579</v>
      </c>
      <c r="J274" s="2"/>
      <c r="K274" s="2"/>
      <c r="L274" s="2"/>
      <c r="M274" s="2"/>
      <c r="N274" s="2"/>
      <c r="O274" s="2"/>
    </row>
    <row r="275">
      <c r="A275" s="19" t="s">
        <v>122</v>
      </c>
      <c r="B275" s="12" t="s">
        <v>37</v>
      </c>
      <c r="C275" s="12" t="s">
        <v>37</v>
      </c>
      <c r="D275" s="12" t="s">
        <v>37</v>
      </c>
      <c r="E275" s="12" t="s">
        <v>37</v>
      </c>
      <c r="F275" s="12" t="s">
        <v>37</v>
      </c>
      <c r="G275" s="12">
        <f>G274/B274-1</f>
        <v>-0.045226130653266305</v>
      </c>
      <c r="H275" s="12">
        <f>H274/C274-1</f>
        <v>-0.043831168831168776</v>
      </c>
      <c r="I275" s="35">
        <f>I274/D274-1</f>
        <v>-0.028637873097437705</v>
      </c>
      <c r="J275" s="2"/>
      <c r="K275" s="2"/>
      <c r="L275" s="2"/>
      <c r="M275" s="2"/>
      <c r="N275" s="2"/>
      <c r="O275" s="2"/>
    </row>
    <row r="276">
      <c r="A276" s="19" t="s">
        <v>95</v>
      </c>
      <c r="B276" s="12" t="s">
        <v>37</v>
      </c>
      <c r="C276" s="12">
        <f>C274/B274-1</f>
        <v>0.031825795644891075</v>
      </c>
      <c r="D276" s="12">
        <f>D274/C274-1</f>
        <v>-0.012987012987012991</v>
      </c>
      <c r="E276" s="12">
        <f>E274/D274-1</f>
        <v>-0.20394736842105265</v>
      </c>
      <c r="F276" s="12" t="s">
        <v>37</v>
      </c>
      <c r="G276" s="12">
        <f>G274/E274-1</f>
        <v>0.1776859504132231</v>
      </c>
      <c r="H276" s="12">
        <f>H274/G274-1</f>
        <v>0.03333333333333344</v>
      </c>
      <c r="I276" s="35">
        <f>I274/H274-1</f>
        <v>0.0026963890607094587</v>
      </c>
      <c r="J276" s="2"/>
      <c r="K276" s="2"/>
      <c r="L276" s="2"/>
      <c r="M276" s="2"/>
      <c r="N276" s="2"/>
      <c r="O276" s="2"/>
    </row>
    <row r="277">
      <c r="A277" s="26" t="s">
        <v>248</v>
      </c>
      <c r="B277" s="12">
        <f>B269/B211</f>
        <v>0.3463881636205396</v>
      </c>
      <c r="C277" s="12">
        <f>C269/C211</f>
        <v>0.34595959595959597</v>
      </c>
      <c r="D277" s="12">
        <f>D269/D211</f>
        <v>0.3365145228215768</v>
      </c>
      <c r="E277" s="12">
        <f>E269/E211</f>
        <v>0.28514588859416445</v>
      </c>
      <c r="F277" s="12">
        <f>F269/F211</f>
        <v>0.3289107639631928</v>
      </c>
      <c r="G277" s="12">
        <f>G269/G211</f>
        <v>0.32843560933448573</v>
      </c>
      <c r="H277" s="12">
        <f>H269/H211</f>
        <v>0.3308048883270122</v>
      </c>
      <c r="I277" s="35">
        <f>I269/I211</f>
        <v>0.32925849154176323</v>
      </c>
      <c r="J277" s="2"/>
      <c r="K277" s="2"/>
      <c r="L277" s="2"/>
      <c r="M277" s="2"/>
      <c r="N277" s="2"/>
      <c r="O277" s="2"/>
    </row>
    <row r="278">
      <c r="A278" s="19" t="s">
        <v>144</v>
      </c>
      <c r="B278" s="5" t="s">
        <v>37</v>
      </c>
      <c r="C278" s="5">
        <f>IF(AND(ISNUMBER(C277),ISNUMBER(B277)),(C277-B277)*10000,"n/a")</f>
        <v>-4.28567660943624</v>
      </c>
      <c r="D278" s="5">
        <f>IF(AND(ISNUMBER(D277),ISNUMBER(C277)),(D277-C277)*10000,"n/a")</f>
        <v>-94.45073138019178</v>
      </c>
      <c r="E278" s="5">
        <f>IF(AND(ISNUMBER(E277),ISNUMBER(D277)),(E277-D277)*10000,"n/a")</f>
        <v>-513.6863422741234</v>
      </c>
      <c r="F278" s="5" t="s">
        <v>37</v>
      </c>
      <c r="G278" s="5">
        <f>IF(AND(ISNUMBER(G277),ISNUMBER(E277)),(G277-E277)*10000,"n/a")</f>
        <v>432.8972074032128</v>
      </c>
      <c r="H278" s="5">
        <f>IF(AND(ISNUMBER(H277),ISNUMBER(G277)),(H277-G277)*10000,"n/a")</f>
        <v>23.6927899252648</v>
      </c>
      <c r="I278" s="45">
        <f>IF(AND(ISNUMBER(I277),ISNUMBER(H277)),(I277-H277)*10000,"n/a")</f>
        <v>-15.463967852489823</v>
      </c>
      <c r="J278" s="2"/>
      <c r="K278" s="2"/>
      <c r="L278" s="2"/>
      <c r="M278" s="2"/>
      <c r="N278" s="2"/>
      <c r="O278" s="2"/>
    </row>
    <row r="279">
      <c r="A279" s="19" t="s">
        <v>145</v>
      </c>
      <c r="B279" s="5" t="s">
        <v>37</v>
      </c>
      <c r="C279" s="5" t="s">
        <v>37</v>
      </c>
      <c r="D279" s="5" t="s">
        <v>37</v>
      </c>
      <c r="E279" s="5" t="s">
        <v>37</v>
      </c>
      <c r="F279" s="5" t="s">
        <v>37</v>
      </c>
      <c r="G279" s="5">
        <f>IF(AND(ISNUMBER(G277),ISNUMBER(B277)),(G277-B277)*10000,"n/a")</f>
        <v>-179.52554286053856</v>
      </c>
      <c r="H279" s="5">
        <f>IF(AND(ISNUMBER(H277),ISNUMBER(C277)),(H277-C277)*10000,"n/a")</f>
        <v>-151.54707632583754</v>
      </c>
      <c r="I279" s="45">
        <f>IF(AND(ISNUMBER(I277),ISNUMBER(D277)),(I277-D277)*10000,"n/a")</f>
        <v>-72.56031279813557</v>
      </c>
      <c r="J279" s="2"/>
      <c r="K279" s="2"/>
      <c r="L279" s="2"/>
      <c r="M279" s="2"/>
      <c r="N279" s="2"/>
      <c r="O279" s="2"/>
    </row>
    <row r="280">
      <c r="A280" s="36" t="s">
        <v>249</v>
      </c>
      <c r="B280" s="8">
        <v>406</v>
      </c>
      <c r="C280" s="8">
        <v>412</v>
      </c>
      <c r="D280" s="8">
        <v>417</v>
      </c>
      <c r="E280" s="8">
        <v>437</v>
      </c>
      <c r="F280" s="3">
        <f>E280</f>
        <v>437</v>
      </c>
      <c r="G280" s="8">
        <v>442</v>
      </c>
      <c r="H280" s="8">
        <v>453</v>
      </c>
      <c r="I280" s="46" t="s">
        <v>37</v>
      </c>
      <c r="J280" s="6" t="s">
        <v>306</v>
      </c>
      <c r="K280" s="2"/>
      <c r="L280" s="2"/>
      <c r="M280" s="2"/>
      <c r="N280" s="2"/>
      <c r="O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>
      <c r="A282" s="16" t="s">
        <v>251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>
      <c r="A283" s="36" t="s">
        <v>307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>
      <c r="A284" s="62" t="s">
        <v>308</v>
      </c>
      <c r="B284" s="8">
        <v>1141</v>
      </c>
      <c r="C284" s="8">
        <v>1367</v>
      </c>
      <c r="D284" s="8">
        <v>1660</v>
      </c>
      <c r="E284" s="8">
        <v>1435</v>
      </c>
      <c r="F284" s="3">
        <f>SUM(B284:E284)</f>
        <v>5603</v>
      </c>
      <c r="G284" s="8">
        <v>1681</v>
      </c>
      <c r="H284" s="8">
        <v>2203</v>
      </c>
      <c r="I284" s="46" t="s">
        <v>37</v>
      </c>
      <c r="J284" s="2"/>
      <c r="K284" s="2"/>
      <c r="L284" s="2"/>
      <c r="M284" s="2"/>
      <c r="N284" s="2"/>
      <c r="O284" s="2"/>
    </row>
    <row r="285">
      <c r="A285" s="61" t="s">
        <v>122</v>
      </c>
      <c r="B285" s="12" t="s">
        <v>37</v>
      </c>
      <c r="C285" s="12" t="s">
        <v>37</v>
      </c>
      <c r="D285" s="12" t="s">
        <v>37</v>
      </c>
      <c r="E285" s="12" t="s">
        <v>37</v>
      </c>
      <c r="F285" s="12" t="s">
        <v>37</v>
      </c>
      <c r="G285" s="12">
        <f>G284/B284-1</f>
        <v>0.47326906222611753</v>
      </c>
      <c r="H285" s="12">
        <f>H284/C284-1</f>
        <v>0.6115581565471837</v>
      </c>
      <c r="I285" s="35" t="s">
        <v>37</v>
      </c>
      <c r="J285" s="2"/>
      <c r="K285" s="2"/>
      <c r="L285" s="2"/>
      <c r="M285" s="2"/>
      <c r="N285" s="2"/>
      <c r="O285" s="2"/>
    </row>
    <row r="286">
      <c r="A286" s="61" t="s">
        <v>110</v>
      </c>
      <c r="B286" s="1" t="s">
        <v>37</v>
      </c>
      <c r="C286" s="1">
        <f>IF(AND(ISNUMBER(C284),ISNUMBER(B284)),C284-B284,"n/a")</f>
        <v>226</v>
      </c>
      <c r="D286" s="1">
        <f>IF(AND(ISNUMBER(D284),ISNUMBER(C284)),D284-C284,"n/a")</f>
        <v>293</v>
      </c>
      <c r="E286" s="1">
        <f>IF(AND(ISNUMBER(E284),ISNUMBER(D284)),E284-D284,"n/a")</f>
        <v>-225</v>
      </c>
      <c r="F286" s="1" t="s">
        <v>37</v>
      </c>
      <c r="G286" s="1">
        <f>IF(AND(ISNUMBER(G284),ISNUMBER(E284)),G284-E284,"n/a")</f>
        <v>246</v>
      </c>
      <c r="H286" s="1">
        <f>IF(AND(ISNUMBER(H284),ISNUMBER(G284)),H284-G284,"n/a")</f>
        <v>522</v>
      </c>
      <c r="I286" s="13" t="s">
        <v>37</v>
      </c>
      <c r="J286" s="2"/>
      <c r="K286" s="2"/>
      <c r="L286" s="2"/>
      <c r="M286" s="2"/>
      <c r="N286" s="2"/>
      <c r="O286" s="2"/>
    </row>
    <row r="287">
      <c r="A287" s="62" t="s">
        <v>309</v>
      </c>
      <c r="B287" s="8">
        <v>1499</v>
      </c>
      <c r="C287" s="8">
        <v>1935</v>
      </c>
      <c r="D287" s="8">
        <v>1836</v>
      </c>
      <c r="E287" s="8">
        <v>1613</v>
      </c>
      <c r="F287" s="3">
        <f>SUM(B287:E287)</f>
        <v>6883</v>
      </c>
      <c r="G287" s="8">
        <v>1737</v>
      </c>
      <c r="H287" s="8">
        <v>2166</v>
      </c>
      <c r="I287" s="46" t="s">
        <v>37</v>
      </c>
      <c r="J287" s="2"/>
      <c r="K287" s="2"/>
      <c r="L287" s="2"/>
      <c r="M287" s="2"/>
      <c r="N287" s="2"/>
      <c r="O287" s="2"/>
    </row>
    <row r="288">
      <c r="A288" s="61" t="s">
        <v>122</v>
      </c>
      <c r="B288" s="12" t="s">
        <v>37</v>
      </c>
      <c r="C288" s="12" t="s">
        <v>37</v>
      </c>
      <c r="D288" s="12" t="s">
        <v>37</v>
      </c>
      <c r="E288" s="12" t="s">
        <v>37</v>
      </c>
      <c r="F288" s="12" t="s">
        <v>37</v>
      </c>
      <c r="G288" s="12">
        <f>G287/B287-1</f>
        <v>0.15877251501000678</v>
      </c>
      <c r="H288" s="12">
        <f>H287/C287-1</f>
        <v>0.11937984496124021</v>
      </c>
      <c r="I288" s="35" t="s">
        <v>37</v>
      </c>
      <c r="J288" s="2"/>
      <c r="K288" s="2"/>
      <c r="L288" s="2"/>
      <c r="M288" s="2"/>
      <c r="N288" s="2"/>
      <c r="O288" s="2"/>
    </row>
    <row r="289">
      <c r="A289" s="61" t="s">
        <v>110</v>
      </c>
      <c r="B289" s="1" t="s">
        <v>37</v>
      </c>
      <c r="C289" s="1">
        <f>IF(AND(ISNUMBER(C287),ISNUMBER(B287)),C287-B287,"n/a")</f>
        <v>436</v>
      </c>
      <c r="D289" s="1">
        <f>IF(AND(ISNUMBER(D287),ISNUMBER(C287)),D287-C287,"n/a")</f>
        <v>-99</v>
      </c>
      <c r="E289" s="1">
        <f>IF(AND(ISNUMBER(E287),ISNUMBER(D287)),E287-D287,"n/a")</f>
        <v>-223</v>
      </c>
      <c r="F289" s="1" t="s">
        <v>37</v>
      </c>
      <c r="G289" s="1">
        <f>IF(AND(ISNUMBER(G287),ISNUMBER(E287)),G287-E287,"n/a")</f>
        <v>124</v>
      </c>
      <c r="H289" s="1">
        <f>IF(AND(ISNUMBER(H287),ISNUMBER(G287)),H287-G287,"n/a")</f>
        <v>429</v>
      </c>
      <c r="I289" s="13" t="s">
        <v>37</v>
      </c>
      <c r="J289" s="2"/>
      <c r="K289" s="2"/>
      <c r="L289" s="2"/>
      <c r="M289" s="2"/>
      <c r="N289" s="2"/>
      <c r="O289" s="2"/>
    </row>
    <row r="290">
      <c r="A290" s="62" t="s">
        <v>255</v>
      </c>
      <c r="B290" s="8">
        <v>817</v>
      </c>
      <c r="C290" s="8">
        <v>1004</v>
      </c>
      <c r="D290" s="8">
        <v>1133</v>
      </c>
      <c r="E290" s="8">
        <v>1196</v>
      </c>
      <c r="F290" s="3">
        <f>SUM(B290:E290)</f>
        <v>4150</v>
      </c>
      <c r="G290" s="8">
        <v>1595</v>
      </c>
      <c r="H290" s="8">
        <v>1997</v>
      </c>
      <c r="I290" s="46" t="s">
        <v>37</v>
      </c>
      <c r="J290" s="2"/>
      <c r="K290" s="2"/>
      <c r="L290" s="2"/>
      <c r="M290" s="2"/>
      <c r="N290" s="2"/>
      <c r="O290" s="2"/>
    </row>
    <row r="291">
      <c r="A291" s="61" t="s">
        <v>122</v>
      </c>
      <c r="B291" s="12" t="s">
        <v>37</v>
      </c>
      <c r="C291" s="12" t="s">
        <v>37</v>
      </c>
      <c r="D291" s="12" t="s">
        <v>37</v>
      </c>
      <c r="E291" s="12" t="s">
        <v>37</v>
      </c>
      <c r="F291" s="12" t="s">
        <v>37</v>
      </c>
      <c r="G291" s="12">
        <f>G290/B290-1</f>
        <v>0.952264381884945</v>
      </c>
      <c r="H291" s="12">
        <f>H290/C290-1</f>
        <v>0.9890438247011952</v>
      </c>
      <c r="I291" s="35" t="s">
        <v>37</v>
      </c>
      <c r="J291" s="2"/>
      <c r="K291" s="2"/>
      <c r="L291" s="2"/>
      <c r="M291" s="2"/>
      <c r="N291" s="2"/>
      <c r="O291" s="2"/>
    </row>
    <row r="292">
      <c r="A292" s="61" t="s">
        <v>110</v>
      </c>
      <c r="B292" s="1" t="s">
        <v>37</v>
      </c>
      <c r="C292" s="1">
        <f>IF(AND(ISNUMBER(C290),ISNUMBER(B290)),C290-B290,"n/a")</f>
        <v>187</v>
      </c>
      <c r="D292" s="1">
        <f>IF(AND(ISNUMBER(D290),ISNUMBER(C290)),D290-C290,"n/a")</f>
        <v>129</v>
      </c>
      <c r="E292" s="1">
        <f>IF(AND(ISNUMBER(E290),ISNUMBER(D290)),E290-D290,"n/a")</f>
        <v>63</v>
      </c>
      <c r="F292" s="1" t="s">
        <v>37</v>
      </c>
      <c r="G292" s="1">
        <f>IF(AND(ISNUMBER(G290),ISNUMBER(E290)),G290-E290,"n/a")</f>
        <v>399</v>
      </c>
      <c r="H292" s="1">
        <f>IF(AND(ISNUMBER(H290),ISNUMBER(G290)),H290-G290,"n/a")</f>
        <v>402</v>
      </c>
      <c r="I292" s="13" t="s">
        <v>37</v>
      </c>
      <c r="J292" s="2"/>
      <c r="K292" s="2"/>
      <c r="L292" s="2"/>
      <c r="M292" s="2"/>
      <c r="N292" s="2"/>
      <c r="O292" s="2"/>
    </row>
    <row r="293">
      <c r="A293" s="68" t="s">
        <v>310</v>
      </c>
      <c r="B293" s="15">
        <f>B284+B287+B290</f>
        <v>3457</v>
      </c>
      <c r="C293" s="15">
        <f>C284+C287+C290</f>
        <v>4306</v>
      </c>
      <c r="D293" s="15">
        <f>D284+D287+D290</f>
        <v>4629</v>
      </c>
      <c r="E293" s="15">
        <f>E284+E287+E290</f>
        <v>4244</v>
      </c>
      <c r="F293" s="15">
        <f>F284+F287+F290</f>
        <v>16636</v>
      </c>
      <c r="G293" s="15">
        <f>G284+G287+G290</f>
        <v>5013</v>
      </c>
      <c r="H293" s="15">
        <f>H284+H287+H290</f>
        <v>6366</v>
      </c>
      <c r="I293" s="38" t="s">
        <v>37</v>
      </c>
      <c r="J293" s="2"/>
      <c r="K293" s="2"/>
      <c r="L293" s="2"/>
      <c r="M293" s="2"/>
      <c r="N293" s="2"/>
      <c r="O293" s="2"/>
    </row>
    <row r="294">
      <c r="A294" s="36" t="s">
        <v>311</v>
      </c>
      <c r="B294" s="2"/>
      <c r="C294" s="2"/>
      <c r="D294" s="2"/>
      <c r="E294" s="2"/>
      <c r="F294" s="2"/>
      <c r="G294" s="2"/>
      <c r="H294" s="2"/>
      <c r="I294" s="2"/>
      <c r="J294" s="2" t="s">
        <v>154</v>
      </c>
      <c r="K294" s="2"/>
      <c r="L294" s="2"/>
      <c r="M294" s="2"/>
      <c r="N294" s="2"/>
      <c r="O294" s="2"/>
    </row>
    <row r="295">
      <c r="A295" s="62" t="s">
        <v>312</v>
      </c>
      <c r="B295" s="8">
        <v>5296</v>
      </c>
      <c r="C295" s="8">
        <v>5093</v>
      </c>
      <c r="D295" s="8">
        <v>4861</v>
      </c>
      <c r="E295" s="8">
        <v>4662</v>
      </c>
      <c r="F295" s="3">
        <f>SUMPRODUCT(B295:E295,B$7:E$7)/F$7</f>
        <v>4975.942465753425</v>
      </c>
      <c r="G295" s="8">
        <v>4471</v>
      </c>
      <c r="H295" s="8">
        <v>4287</v>
      </c>
      <c r="I295" s="46" t="s">
        <v>37</v>
      </c>
      <c r="J295" s="2"/>
      <c r="K295" s="2"/>
      <c r="L295" s="2"/>
      <c r="M295" s="2"/>
      <c r="N295" s="2"/>
      <c r="O295" s="2"/>
    </row>
    <row r="296">
      <c r="A296" s="61" t="s">
        <v>122</v>
      </c>
      <c r="B296" s="12" t="s">
        <v>37</v>
      </c>
      <c r="C296" s="12" t="s">
        <v>37</v>
      </c>
      <c r="D296" s="12" t="s">
        <v>37</v>
      </c>
      <c r="E296" s="12" t="s">
        <v>37</v>
      </c>
      <c r="F296" s="12" t="s">
        <v>37</v>
      </c>
      <c r="G296" s="12">
        <f>G295/B295-1</f>
        <v>-0.15577794561933533</v>
      </c>
      <c r="H296" s="12">
        <f>H295/C295-1</f>
        <v>-0.1582564303946593</v>
      </c>
      <c r="I296" s="35" t="s">
        <v>37</v>
      </c>
      <c r="J296" s="2"/>
      <c r="K296" s="2"/>
      <c r="L296" s="2"/>
      <c r="M296" s="2"/>
      <c r="N296" s="2"/>
      <c r="O296" s="2"/>
    </row>
    <row r="297">
      <c r="A297" s="61" t="s">
        <v>110</v>
      </c>
      <c r="B297" s="1" t="s">
        <v>37</v>
      </c>
      <c r="C297" s="1">
        <f>IF(AND(ISNUMBER(C295),ISNUMBER(B295)),C295-B295,"n/a")</f>
        <v>-203</v>
      </c>
      <c r="D297" s="1">
        <f>IF(AND(ISNUMBER(D295),ISNUMBER(C295)),D295-C295,"n/a")</f>
        <v>-232</v>
      </c>
      <c r="E297" s="1">
        <f>IF(AND(ISNUMBER(E295),ISNUMBER(D295)),E295-D295,"n/a")</f>
        <v>-199</v>
      </c>
      <c r="F297" s="1" t="s">
        <v>37</v>
      </c>
      <c r="G297" s="1">
        <f>IF(AND(ISNUMBER(G295),ISNUMBER(E295)),G295-E295,"n/a")</f>
        <v>-191</v>
      </c>
      <c r="H297" s="1">
        <f>IF(AND(ISNUMBER(H295),ISNUMBER(G295)),H295-G295,"n/a")</f>
        <v>-184</v>
      </c>
      <c r="I297" s="13" t="s">
        <v>37</v>
      </c>
      <c r="J297" s="2"/>
      <c r="K297" s="2"/>
      <c r="L297" s="2"/>
      <c r="M297" s="2"/>
      <c r="N297" s="2"/>
      <c r="O297" s="2"/>
    </row>
    <row r="298">
      <c r="A298" s="62" t="s">
        <v>313</v>
      </c>
      <c r="B298" s="8">
        <v>2492</v>
      </c>
      <c r="C298" s="8">
        <v>2621</v>
      </c>
      <c r="D298" s="8">
        <v>2712</v>
      </c>
      <c r="E298" s="8">
        <v>2754</v>
      </c>
      <c r="F298" s="3">
        <f>SUMPRODUCT(B298:E298,B$7:E$7)/F$7</f>
        <v>2645.6520547945206</v>
      </c>
      <c r="G298" s="8">
        <v>2787</v>
      </c>
      <c r="H298" s="8">
        <v>2807</v>
      </c>
      <c r="I298" s="46" t="s">
        <v>37</v>
      </c>
      <c r="J298" s="2"/>
      <c r="K298" s="2"/>
      <c r="L298" s="2"/>
      <c r="M298" s="2"/>
      <c r="N298" s="2"/>
      <c r="O298" s="2"/>
    </row>
    <row r="299">
      <c r="A299" s="61" t="s">
        <v>122</v>
      </c>
      <c r="B299" s="12" t="s">
        <v>37</v>
      </c>
      <c r="C299" s="12" t="s">
        <v>37</v>
      </c>
      <c r="D299" s="12" t="s">
        <v>37</v>
      </c>
      <c r="E299" s="12" t="s">
        <v>37</v>
      </c>
      <c r="F299" s="12" t="s">
        <v>37</v>
      </c>
      <c r="G299" s="12">
        <f>G298/B298-1</f>
        <v>0.11837881219903701</v>
      </c>
      <c r="H299" s="12">
        <f>H298/C298-1</f>
        <v>0.07096528042731776</v>
      </c>
      <c r="I299" s="35" t="s">
        <v>37</v>
      </c>
      <c r="J299" s="2"/>
      <c r="K299" s="2"/>
      <c r="L299" s="2"/>
      <c r="M299" s="2"/>
      <c r="N299" s="2"/>
      <c r="O299" s="2"/>
    </row>
    <row r="300">
      <c r="A300" s="61" t="s">
        <v>110</v>
      </c>
      <c r="B300" s="1" t="s">
        <v>37</v>
      </c>
      <c r="C300" s="1">
        <f>IF(AND(ISNUMBER(C298),ISNUMBER(B298)),C298-B298,"n/a")</f>
        <v>129</v>
      </c>
      <c r="D300" s="1">
        <f>IF(AND(ISNUMBER(D298),ISNUMBER(C298)),D298-C298,"n/a")</f>
        <v>91</v>
      </c>
      <c r="E300" s="1">
        <f>IF(AND(ISNUMBER(E298),ISNUMBER(D298)),E298-D298,"n/a")</f>
        <v>42</v>
      </c>
      <c r="F300" s="1" t="s">
        <v>37</v>
      </c>
      <c r="G300" s="1">
        <f>IF(AND(ISNUMBER(G298),ISNUMBER(E298)),G298-E298,"n/a")</f>
        <v>33</v>
      </c>
      <c r="H300" s="1">
        <f>IF(AND(ISNUMBER(H298),ISNUMBER(G298)),H298-G298,"n/a")</f>
        <v>20</v>
      </c>
      <c r="I300" s="13" t="s">
        <v>37</v>
      </c>
      <c r="J300" s="2"/>
      <c r="K300" s="2"/>
      <c r="L300" s="2"/>
      <c r="M300" s="2"/>
      <c r="N300" s="2"/>
      <c r="O300" s="2"/>
    </row>
    <row r="301">
      <c r="A301" s="62" t="s">
        <v>314</v>
      </c>
      <c r="B301" s="8">
        <v>8628</v>
      </c>
      <c r="C301" s="8">
        <v>8625</v>
      </c>
      <c r="D301" s="8">
        <v>8646</v>
      </c>
      <c r="E301" s="8">
        <v>8701</v>
      </c>
      <c r="F301" s="3">
        <f>SUMPRODUCT(B301:E301,B$7:E$7)/F$7</f>
        <v>8650.189041095891</v>
      </c>
      <c r="G301" s="8">
        <v>8694</v>
      </c>
      <c r="H301" s="8">
        <v>8713</v>
      </c>
      <c r="I301" s="46" t="s">
        <v>37</v>
      </c>
      <c r="J301" s="2"/>
      <c r="K301" s="2"/>
      <c r="L301" s="2"/>
      <c r="M301" s="2"/>
      <c r="N301" s="2"/>
      <c r="O301" s="2"/>
    </row>
    <row r="302">
      <c r="A302" s="61" t="s">
        <v>122</v>
      </c>
      <c r="B302" s="12" t="s">
        <v>37</v>
      </c>
      <c r="C302" s="12" t="s">
        <v>37</v>
      </c>
      <c r="D302" s="12" t="s">
        <v>37</v>
      </c>
      <c r="E302" s="12" t="s">
        <v>37</v>
      </c>
      <c r="F302" s="12" t="s">
        <v>37</v>
      </c>
      <c r="G302" s="12">
        <f>G301/B301-1</f>
        <v>0.007649513212795611</v>
      </c>
      <c r="H302" s="12">
        <f>H301/C301-1</f>
        <v>0.010202898550724537</v>
      </c>
      <c r="I302" s="35" t="s">
        <v>37</v>
      </c>
      <c r="J302" s="2"/>
      <c r="K302" s="2"/>
      <c r="L302" s="2"/>
      <c r="M302" s="2"/>
      <c r="N302" s="2"/>
      <c r="O302" s="2"/>
    </row>
    <row r="303">
      <c r="A303" s="61" t="s">
        <v>110</v>
      </c>
      <c r="B303" s="1" t="s">
        <v>37</v>
      </c>
      <c r="C303" s="1">
        <f>IF(AND(ISNUMBER(C301),ISNUMBER(B301)),C301-B301,"n/a")</f>
        <v>-3</v>
      </c>
      <c r="D303" s="1">
        <f>IF(AND(ISNUMBER(D301),ISNUMBER(C301)),D301-C301,"n/a")</f>
        <v>21</v>
      </c>
      <c r="E303" s="1">
        <f>IF(AND(ISNUMBER(E301),ISNUMBER(D301)),E301-D301,"n/a")</f>
        <v>55</v>
      </c>
      <c r="F303" s="1" t="s">
        <v>37</v>
      </c>
      <c r="G303" s="1">
        <f>IF(AND(ISNUMBER(G301),ISNUMBER(E301)),G301-E301,"n/a")</f>
        <v>-7</v>
      </c>
      <c r="H303" s="1">
        <f>IF(AND(ISNUMBER(H301),ISNUMBER(G301)),H301-G301,"n/a")</f>
        <v>19</v>
      </c>
      <c r="I303" s="13" t="s">
        <v>37</v>
      </c>
      <c r="J303" s="2"/>
      <c r="K303" s="2"/>
      <c r="L303" s="2"/>
      <c r="M303" s="2"/>
      <c r="N303" s="2"/>
      <c r="O303" s="2"/>
    </row>
    <row r="304">
      <c r="A304" s="68" t="s">
        <v>315</v>
      </c>
      <c r="B304" s="15">
        <f>B295+B298+B301</f>
        <v>16416</v>
      </c>
      <c r="C304" s="15">
        <f>C295+C298+C301</f>
        <v>16339</v>
      </c>
      <c r="D304" s="15">
        <f>D295+D298+D301</f>
        <v>16219</v>
      </c>
      <c r="E304" s="15">
        <f>E295+E298+E301</f>
        <v>16117</v>
      </c>
      <c r="F304" s="15">
        <f>F295+F298+F301</f>
        <v>16271.783561643837</v>
      </c>
      <c r="G304" s="15">
        <f>G295+G298+G301</f>
        <v>15952</v>
      </c>
      <c r="H304" s="15">
        <f>H295+H298+H301</f>
        <v>15807</v>
      </c>
      <c r="I304" s="38" t="s">
        <v>37</v>
      </c>
      <c r="J304" s="2"/>
      <c r="K304" s="2"/>
      <c r="L304" s="2"/>
      <c r="M304" s="2"/>
      <c r="N304" s="2"/>
      <c r="O304" s="2"/>
    </row>
    <row r="305">
      <c r="A305" s="36" t="s">
        <v>316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>
      <c r="A306" s="62" t="s">
        <v>317</v>
      </c>
      <c r="B306" s="74">
        <v>2117</v>
      </c>
      <c r="C306" s="74">
        <v>2081</v>
      </c>
      <c r="D306" s="74">
        <v>2080</v>
      </c>
      <c r="E306" s="74">
        <v>2075</v>
      </c>
      <c r="F306" s="71">
        <f>E306</f>
        <v>2075</v>
      </c>
      <c r="G306" s="74">
        <v>2066</v>
      </c>
      <c r="H306" s="74">
        <v>2061</v>
      </c>
      <c r="I306" s="89" t="s">
        <v>37</v>
      </c>
      <c r="J306" s="2"/>
      <c r="K306" s="2"/>
      <c r="L306" s="2"/>
      <c r="M306" s="2"/>
      <c r="N306" s="2"/>
      <c r="O306" s="2"/>
    </row>
    <row r="307">
      <c r="A307" s="61" t="s">
        <v>216</v>
      </c>
      <c r="B307" s="5" t="s">
        <v>37</v>
      </c>
      <c r="C307" s="5" t="s">
        <v>37</v>
      </c>
      <c r="D307" s="5" t="s">
        <v>37</v>
      </c>
      <c r="E307" s="5" t="s">
        <v>37</v>
      </c>
      <c r="F307" s="5" t="s">
        <v>37</v>
      </c>
      <c r="G307" s="5">
        <f>IF(AND(ISNUMBER(G306),ISNUMBER(B306)),G306-B306,"n/a")</f>
        <v>-51</v>
      </c>
      <c r="H307" s="5">
        <f>IF(AND(ISNUMBER(H306),ISNUMBER(C306)),H306-C306,"n/a")</f>
        <v>-20</v>
      </c>
      <c r="I307" s="45" t="s">
        <v>37</v>
      </c>
      <c r="J307" s="2"/>
      <c r="K307" s="2"/>
      <c r="L307" s="2"/>
      <c r="M307" s="2"/>
      <c r="N307" s="2"/>
      <c r="O307" s="2"/>
    </row>
    <row r="308">
      <c r="A308" s="61" t="s">
        <v>318</v>
      </c>
      <c r="B308" s="5" t="s">
        <v>37</v>
      </c>
      <c r="C308" s="5">
        <f>IF(AND(ISNUMBER(C306),ISNUMBER(B306)),C306-B306,"n/a")</f>
        <v>-36</v>
      </c>
      <c r="D308" s="5">
        <f>IF(AND(ISNUMBER(D306),ISNUMBER(C306)),D306-C306,"n/a")</f>
        <v>-1</v>
      </c>
      <c r="E308" s="5">
        <f>IF(AND(ISNUMBER(E306),ISNUMBER(D306)),E306-D306,"n/a")</f>
        <v>-5</v>
      </c>
      <c r="F308" s="5" t="s">
        <v>37</v>
      </c>
      <c r="G308" s="5">
        <f>IF(AND(ISNUMBER(G306),ISNUMBER(E306)),G306-E306,"n/a")</f>
        <v>-9</v>
      </c>
      <c r="H308" s="5">
        <f>IF(AND(ISNUMBER(H306),ISNUMBER(G306)),H306-G306,"n/a")</f>
        <v>-5</v>
      </c>
      <c r="I308" s="45" t="s">
        <v>37</v>
      </c>
      <c r="J308" s="2"/>
      <c r="K308" s="2"/>
      <c r="L308" s="2"/>
      <c r="M308" s="2"/>
      <c r="N308" s="2"/>
      <c r="O308" s="2"/>
    </row>
    <row r="309">
      <c r="A309" s="62" t="s">
        <v>319</v>
      </c>
      <c r="B309" s="74">
        <v>4476</v>
      </c>
      <c r="C309" s="74">
        <v>4320</v>
      </c>
      <c r="D309" s="74">
        <v>4374</v>
      </c>
      <c r="E309" s="74">
        <v>4428</v>
      </c>
      <c r="F309" s="71">
        <f>E309</f>
        <v>4428</v>
      </c>
      <c r="G309" s="74">
        <v>4458</v>
      </c>
      <c r="H309" s="74">
        <v>4457</v>
      </c>
      <c r="I309" s="89" t="s">
        <v>37</v>
      </c>
      <c r="J309" s="2"/>
      <c r="K309" s="2"/>
      <c r="L309" s="2"/>
      <c r="M309" s="2"/>
      <c r="N309" s="2"/>
      <c r="O309" s="2"/>
    </row>
    <row r="310">
      <c r="A310" s="61" t="s">
        <v>216</v>
      </c>
      <c r="B310" s="5" t="s">
        <v>37</v>
      </c>
      <c r="C310" s="5" t="s">
        <v>37</v>
      </c>
      <c r="D310" s="5" t="s">
        <v>37</v>
      </c>
      <c r="E310" s="5" t="s">
        <v>37</v>
      </c>
      <c r="F310" s="5" t="s">
        <v>37</v>
      </c>
      <c r="G310" s="5">
        <f>IF(AND(ISNUMBER(G309),ISNUMBER(B309)),G309-B309,"n/a")</f>
        <v>-18</v>
      </c>
      <c r="H310" s="5">
        <f>IF(AND(ISNUMBER(H309),ISNUMBER(C309)),H309-C309,"n/a")</f>
        <v>137</v>
      </c>
      <c r="I310" s="45" t="s">
        <v>37</v>
      </c>
      <c r="J310" s="2"/>
      <c r="K310" s="2"/>
      <c r="L310" s="2"/>
      <c r="M310" s="2"/>
      <c r="N310" s="2"/>
      <c r="O310" s="2"/>
    </row>
    <row r="311">
      <c r="A311" s="61" t="s">
        <v>318</v>
      </c>
      <c r="B311" s="5" t="s">
        <v>37</v>
      </c>
      <c r="C311" s="5">
        <f>IF(AND(ISNUMBER(C309),ISNUMBER(B309)),C309-B309,"n/a")</f>
        <v>-156</v>
      </c>
      <c r="D311" s="5">
        <f>IF(AND(ISNUMBER(D309),ISNUMBER(C309)),D309-C309,"n/a")</f>
        <v>54</v>
      </c>
      <c r="E311" s="5">
        <f>IF(AND(ISNUMBER(E309),ISNUMBER(D309)),E309-D309,"n/a")</f>
        <v>54</v>
      </c>
      <c r="F311" s="5" t="s">
        <v>37</v>
      </c>
      <c r="G311" s="5">
        <f>IF(AND(ISNUMBER(G309),ISNUMBER(E309)),G309-E309,"n/a")</f>
        <v>30</v>
      </c>
      <c r="H311" s="5">
        <f>IF(AND(ISNUMBER(H309),ISNUMBER(G309)),H309-G309,"n/a")</f>
        <v>-1</v>
      </c>
      <c r="I311" s="45" t="s">
        <v>37</v>
      </c>
      <c r="J311" s="2"/>
      <c r="K311" s="2"/>
      <c r="L311" s="2"/>
      <c r="M311" s="2"/>
      <c r="N311" s="2"/>
      <c r="O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33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321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36" t="s">
        <v>322</v>
      </c>
      <c r="B10" s="8">
        <v>34960</v>
      </c>
      <c r="C10" s="8">
        <v>38132</v>
      </c>
      <c r="D10" s="8">
        <v>38581</v>
      </c>
      <c r="E10" s="8">
        <v>39651</v>
      </c>
      <c r="F10" s="3">
        <f>SUM(B10:E10)</f>
        <v>151324</v>
      </c>
      <c r="G10" s="8">
        <v>36999</v>
      </c>
      <c r="H10" s="8">
        <v>41000</v>
      </c>
      <c r="I10" s="46">
        <f>D10*(1+I11)</f>
        <v>41667.48</v>
      </c>
      <c r="J10" s="6" t="s">
        <v>323</v>
      </c>
      <c r="K10" s="2"/>
      <c r="L10" s="2"/>
      <c r="M10" s="2"/>
      <c r="N10" s="2"/>
      <c r="O10" s="2"/>
    </row>
    <row r="11">
      <c r="A11" s="14" t="s">
        <v>122</v>
      </c>
      <c r="B11" s="12" t="s">
        <v>37</v>
      </c>
      <c r="C11" s="12" t="s">
        <v>37</v>
      </c>
      <c r="D11" s="12" t="s">
        <v>37</v>
      </c>
      <c r="E11" s="12" t="s">
        <v>37</v>
      </c>
      <c r="F11" s="12" t="s">
        <v>37</v>
      </c>
      <c r="G11" s="12">
        <f>G10/B10-1</f>
        <v>0.05832379862700221</v>
      </c>
      <c r="H11" s="12">
        <f>H10/C10-1</f>
        <v>0.07521242001468575</v>
      </c>
      <c r="I11" s="60">
        <v>0.08</v>
      </c>
      <c r="J11" s="6" t="s">
        <v>138</v>
      </c>
      <c r="K11" s="2"/>
      <c r="L11" s="2"/>
      <c r="M11" s="2"/>
      <c r="N11" s="2"/>
      <c r="O11" s="2"/>
    </row>
    <row r="12">
      <c r="A12" s="14" t="s">
        <v>110</v>
      </c>
      <c r="B12" s="1" t="s">
        <v>37</v>
      </c>
      <c r="C12" s="1">
        <f>IF(AND(ISNUMBER(C10),ISNUMBER(B10)),C10-B10,"n/a")</f>
        <v>3172</v>
      </c>
      <c r="D12" s="1">
        <f>IF(AND(ISNUMBER(D10),ISNUMBER(C10)),D10-C10,"n/a")</f>
        <v>449</v>
      </c>
      <c r="E12" s="1">
        <f>IF(AND(ISNUMBER(E10),ISNUMBER(D10)),E10-D10,"n/a")</f>
        <v>1070</v>
      </c>
      <c r="F12" s="1" t="s">
        <v>37</v>
      </c>
      <c r="G12" s="1">
        <f>IF(AND(ISNUMBER(G10),ISNUMBER(E10)),G10-E10,"n/a")</f>
        <v>-2652</v>
      </c>
      <c r="H12" s="1">
        <f>IF(AND(ISNUMBER(H10),ISNUMBER(G10)),H10-G10,"n/a")</f>
        <v>4001</v>
      </c>
      <c r="I12" s="13">
        <f>IF(AND(ISNUMBER(I10),ISNUMBER(H10)),I10-H10,"n/a")</f>
        <v>667.4800000000032</v>
      </c>
      <c r="J12" s="2"/>
      <c r="K12" s="2"/>
      <c r="L12" s="2"/>
      <c r="M12" s="2"/>
      <c r="N12" s="2"/>
      <c r="O12" s="2"/>
    </row>
    <row r="13">
      <c r="A13" s="36" t="s">
        <v>324</v>
      </c>
      <c r="B13" s="8">
        <v>24501</v>
      </c>
      <c r="C13" s="8">
        <v>26264</v>
      </c>
      <c r="D13" s="8">
        <v>26327</v>
      </c>
      <c r="E13" s="8">
        <v>26894</v>
      </c>
      <c r="F13" s="3">
        <f>SUM(B13:E13)</f>
        <v>103986</v>
      </c>
      <c r="G13" s="8">
        <v>26072</v>
      </c>
      <c r="H13" s="8">
        <v>28312</v>
      </c>
      <c r="I13" s="46">
        <f>D13*(1+I14)</f>
        <v>27906.620000000003</v>
      </c>
      <c r="J13" s="2"/>
      <c r="K13" s="2"/>
      <c r="L13" s="2"/>
      <c r="M13" s="2"/>
      <c r="N13" s="2"/>
      <c r="O13" s="2"/>
    </row>
    <row r="14">
      <c r="A14" s="14" t="s">
        <v>122</v>
      </c>
      <c r="B14" s="12" t="s">
        <v>37</v>
      </c>
      <c r="C14" s="12" t="s">
        <v>37</v>
      </c>
      <c r="D14" s="12" t="s">
        <v>37</v>
      </c>
      <c r="E14" s="12" t="s">
        <v>37</v>
      </c>
      <c r="F14" s="12" t="s">
        <v>37</v>
      </c>
      <c r="G14" s="12">
        <f>G13/B13-1</f>
        <v>0.06411983184359826</v>
      </c>
      <c r="H14" s="12">
        <f>H13/C13-1</f>
        <v>0.07797745964057268</v>
      </c>
      <c r="I14" s="60">
        <v>0.06</v>
      </c>
      <c r="J14" s="6" t="s">
        <v>138</v>
      </c>
      <c r="K14" s="2"/>
      <c r="L14" s="2"/>
      <c r="M14" s="2"/>
      <c r="N14" s="2"/>
      <c r="O14" s="2"/>
    </row>
    <row r="15">
      <c r="A15" s="14" t="s">
        <v>110</v>
      </c>
      <c r="B15" s="1" t="s">
        <v>37</v>
      </c>
      <c r="C15" s="1">
        <f>IF(AND(ISNUMBER(C13),ISNUMBER(B13)),C13-B13,"n/a")</f>
        <v>1763</v>
      </c>
      <c r="D15" s="1">
        <f>IF(AND(ISNUMBER(D13),ISNUMBER(C13)),D13-C13,"n/a")</f>
        <v>63</v>
      </c>
      <c r="E15" s="1">
        <f>IF(AND(ISNUMBER(E13),ISNUMBER(D13)),E13-D13,"n/a")</f>
        <v>567</v>
      </c>
      <c r="F15" s="1" t="s">
        <v>37</v>
      </c>
      <c r="G15" s="1">
        <f>IF(AND(ISNUMBER(G13),ISNUMBER(E13)),G13-E13,"n/a")</f>
        <v>-822</v>
      </c>
      <c r="H15" s="1">
        <f>IF(AND(ISNUMBER(H13),ISNUMBER(G13)),H13-G13,"n/a")</f>
        <v>2240</v>
      </c>
      <c r="I15" s="13">
        <f>IF(AND(ISNUMBER(I13),ISNUMBER(H13)),I13-H13,"n/a")</f>
        <v>-405.3799999999974</v>
      </c>
      <c r="J15" s="2"/>
      <c r="K15" s="2"/>
      <c r="L15" s="2"/>
      <c r="M15" s="2"/>
      <c r="N15" s="2"/>
      <c r="O15" s="2"/>
    </row>
    <row r="16">
      <c r="A16" s="36" t="s">
        <v>325</v>
      </c>
      <c r="B16" s="8">
        <v>1529</v>
      </c>
      <c r="C16" s="8">
        <v>1556</v>
      </c>
      <c r="D16" s="8">
        <v>1609</v>
      </c>
      <c r="E16" s="8">
        <v>2080</v>
      </c>
      <c r="F16" s="3">
        <f>SUM(B16:E16)</f>
        <v>6774</v>
      </c>
      <c r="G16" s="8">
        <v>1920</v>
      </c>
      <c r="H16" s="8">
        <v>1961</v>
      </c>
      <c r="I16" s="46">
        <f>D16*(1+I17)</f>
        <v>1850.35</v>
      </c>
      <c r="J16" s="2"/>
      <c r="K16" s="2"/>
      <c r="L16" s="2"/>
      <c r="M16" s="2"/>
      <c r="N16" s="2"/>
      <c r="O16" s="2"/>
    </row>
    <row r="17">
      <c r="A17" s="14" t="s">
        <v>122</v>
      </c>
      <c r="B17" s="12" t="s">
        <v>37</v>
      </c>
      <c r="C17" s="12" t="s">
        <v>37</v>
      </c>
      <c r="D17" s="12" t="s">
        <v>37</v>
      </c>
      <c r="E17" s="12" t="s">
        <v>37</v>
      </c>
      <c r="F17" s="12" t="s">
        <v>37</v>
      </c>
      <c r="G17" s="12">
        <f>G16/B16-1</f>
        <v>0.25572269457161534</v>
      </c>
      <c r="H17" s="12">
        <f>H16/C16-1</f>
        <v>0.2602827763496145</v>
      </c>
      <c r="I17" s="60">
        <v>0.15</v>
      </c>
      <c r="J17" s="6" t="s">
        <v>138</v>
      </c>
      <c r="K17" s="2"/>
      <c r="L17" s="2"/>
      <c r="M17" s="2"/>
      <c r="N17" s="2"/>
      <c r="O17" s="2"/>
    </row>
    <row r="18">
      <c r="A18" s="14" t="s">
        <v>110</v>
      </c>
      <c r="B18" s="1" t="s">
        <v>37</v>
      </c>
      <c r="C18" s="1">
        <f>IF(AND(ISNUMBER(C16),ISNUMBER(B16)),C16-B16,"n/a")</f>
        <v>27</v>
      </c>
      <c r="D18" s="1">
        <f>IF(AND(ISNUMBER(D16),ISNUMBER(C16)),D16-C16,"n/a")</f>
        <v>53</v>
      </c>
      <c r="E18" s="1">
        <f>IF(AND(ISNUMBER(E16),ISNUMBER(D16)),E16-D16,"n/a")</f>
        <v>471</v>
      </c>
      <c r="F18" s="1" t="s">
        <v>37</v>
      </c>
      <c r="G18" s="1">
        <f>IF(AND(ISNUMBER(G16),ISNUMBER(E16)),G16-E16,"n/a")</f>
        <v>-160</v>
      </c>
      <c r="H18" s="1">
        <f>IF(AND(ISNUMBER(H16),ISNUMBER(G16)),H16-G16,"n/a")</f>
        <v>41</v>
      </c>
      <c r="I18" s="13">
        <f>IF(AND(ISNUMBER(I16),ISNUMBER(H16)),I16-H16,"n/a")</f>
        <v>-110.65000000000009</v>
      </c>
      <c r="J18" s="2"/>
      <c r="K18" s="2"/>
      <c r="L18" s="2"/>
      <c r="M18" s="2"/>
      <c r="N18" s="2"/>
      <c r="O18" s="2"/>
    </row>
    <row r="19">
      <c r="A19" s="36" t="s">
        <v>326</v>
      </c>
      <c r="B19" s="8">
        <v>21612</v>
      </c>
      <c r="C19" s="8">
        <v>22317</v>
      </c>
      <c r="D19" s="8">
        <v>23312</v>
      </c>
      <c r="E19" s="8">
        <v>21413</v>
      </c>
      <c r="F19" s="3">
        <f>SUM(B19:E19)</f>
        <v>88654</v>
      </c>
      <c r="G19" s="8">
        <v>22688</v>
      </c>
      <c r="H19" s="8">
        <v>25227</v>
      </c>
      <c r="I19" s="46">
        <f>D19*(1+I20)</f>
        <v>25410.08</v>
      </c>
      <c r="J19" s="6" t="s">
        <v>327</v>
      </c>
      <c r="K19" s="2"/>
      <c r="L19" s="2"/>
      <c r="M19" s="2"/>
      <c r="N19" s="2"/>
      <c r="O19" s="2"/>
    </row>
    <row r="20">
      <c r="A20" s="14" t="s">
        <v>122</v>
      </c>
      <c r="B20" s="12" t="s">
        <v>37</v>
      </c>
      <c r="C20" s="12" t="s">
        <v>37</v>
      </c>
      <c r="D20" s="12" t="s">
        <v>37</v>
      </c>
      <c r="E20" s="12" t="s">
        <v>37</v>
      </c>
      <c r="F20" s="12" t="s">
        <v>37</v>
      </c>
      <c r="G20" s="12">
        <f>G19/B19-1</f>
        <v>0.04978715528410138</v>
      </c>
      <c r="H20" s="12">
        <f>H19/C19-1</f>
        <v>0.13039387014383652</v>
      </c>
      <c r="I20" s="60">
        <v>0.09</v>
      </c>
      <c r="J20" s="6" t="s">
        <v>138</v>
      </c>
      <c r="K20" s="2"/>
      <c r="L20" s="2"/>
      <c r="M20" s="2"/>
      <c r="N20" s="2"/>
      <c r="O20" s="2"/>
    </row>
    <row r="21">
      <c r="A21" s="14" t="s">
        <v>110</v>
      </c>
      <c r="B21" s="1" t="s">
        <v>37</v>
      </c>
      <c r="C21" s="1">
        <f>IF(AND(ISNUMBER(C19),ISNUMBER(B19)),C19-B19,"n/a")</f>
        <v>705</v>
      </c>
      <c r="D21" s="1">
        <f>IF(AND(ISNUMBER(D19),ISNUMBER(C19)),D19-C19,"n/a")</f>
        <v>995</v>
      </c>
      <c r="E21" s="1">
        <f>IF(AND(ISNUMBER(E19),ISNUMBER(D19)),E19-D19,"n/a")</f>
        <v>-1899</v>
      </c>
      <c r="F21" s="1" t="s">
        <v>37</v>
      </c>
      <c r="G21" s="1">
        <f>IF(AND(ISNUMBER(G19),ISNUMBER(E19)),G19-E19,"n/a")</f>
        <v>1275</v>
      </c>
      <c r="H21" s="1">
        <f>IF(AND(ISNUMBER(H19),ISNUMBER(G19)),H19-G19,"n/a")</f>
        <v>2539</v>
      </c>
      <c r="I21" s="13">
        <f>IF(AND(ISNUMBER(I19),ISNUMBER(H19)),I19-H19,"n/a")</f>
        <v>183.08000000000175</v>
      </c>
      <c r="J21" s="2"/>
      <c r="K21" s="2"/>
      <c r="L21" s="2"/>
      <c r="M21" s="2"/>
      <c r="N21" s="2"/>
      <c r="O21" s="2"/>
    </row>
    <row r="22">
      <c r="A22" s="36" t="s">
        <v>328</v>
      </c>
      <c r="B22" s="8">
        <v>143505</v>
      </c>
      <c r="C22" s="8">
        <v>155853</v>
      </c>
      <c r="D22" s="8">
        <v>157540</v>
      </c>
      <c r="E22" s="8">
        <v>145144</v>
      </c>
      <c r="F22" s="3">
        <f>SUM(B22:E22)</f>
        <v>602042</v>
      </c>
      <c r="G22" s="8">
        <v>145093</v>
      </c>
      <c r="H22" s="8">
        <v>155934</v>
      </c>
      <c r="I22" s="46">
        <f>D22*(1+I23)</f>
        <v>157540</v>
      </c>
      <c r="J22" s="6" t="s">
        <v>329</v>
      </c>
      <c r="K22" s="2"/>
      <c r="L22" s="2"/>
      <c r="M22" s="2"/>
      <c r="N22" s="2"/>
      <c r="O22" s="2"/>
    </row>
    <row r="23">
      <c r="A23" s="14" t="s">
        <v>122</v>
      </c>
      <c r="B23" s="12" t="s">
        <v>37</v>
      </c>
      <c r="C23" s="12" t="s">
        <v>37</v>
      </c>
      <c r="D23" s="12" t="s">
        <v>37</v>
      </c>
      <c r="E23" s="12" t="s">
        <v>37</v>
      </c>
      <c r="F23" s="12" t="s">
        <v>37</v>
      </c>
      <c r="G23" s="12">
        <f>G22/B22-1</f>
        <v>0.011065816522072502</v>
      </c>
      <c r="H23" s="12">
        <f>H22/C22-1</f>
        <v>0.0005197205058613541</v>
      </c>
      <c r="I23" s="60">
        <v>0</v>
      </c>
      <c r="J23" s="6" t="s">
        <v>138</v>
      </c>
      <c r="K23" s="2"/>
      <c r="L23" s="2"/>
      <c r="M23" s="2"/>
      <c r="N23" s="2"/>
      <c r="O23" s="2"/>
    </row>
    <row r="24">
      <c r="A24" s="14" t="s">
        <v>110</v>
      </c>
      <c r="B24" s="1" t="s">
        <v>37</v>
      </c>
      <c r="C24" s="1">
        <f>IF(AND(ISNUMBER(C22),ISNUMBER(B22)),C22-B22,"n/a")</f>
        <v>12348</v>
      </c>
      <c r="D24" s="1">
        <f>IF(AND(ISNUMBER(D22),ISNUMBER(C22)),D22-C22,"n/a")</f>
        <v>1687</v>
      </c>
      <c r="E24" s="1">
        <f>IF(AND(ISNUMBER(E22),ISNUMBER(D22)),E22-D22,"n/a")</f>
        <v>-12396</v>
      </c>
      <c r="F24" s="1" t="s">
        <v>37</v>
      </c>
      <c r="G24" s="1">
        <f>IF(AND(ISNUMBER(G22),ISNUMBER(E22)),G22-E22,"n/a")</f>
        <v>-51</v>
      </c>
      <c r="H24" s="1">
        <f>IF(AND(ISNUMBER(H22),ISNUMBER(G22)),H22-G22,"n/a")</f>
        <v>10841</v>
      </c>
      <c r="I24" s="13">
        <f>IF(AND(ISNUMBER(I22),ISNUMBER(H22)),I22-H22,"n/a")</f>
        <v>1606</v>
      </c>
      <c r="J24" s="2"/>
      <c r="K24" s="2"/>
      <c r="L24" s="2"/>
      <c r="M24" s="2"/>
      <c r="N24" s="2"/>
      <c r="O24" s="2"/>
    </row>
    <row r="25">
      <c r="A25" s="16" t="s">
        <v>330</v>
      </c>
      <c r="B25" s="15">
        <f>B10+B13+B16+B19+B22</f>
        <v>226107</v>
      </c>
      <c r="C25" s="15">
        <f>C10+C13+C16+C19+C22</f>
        <v>244122</v>
      </c>
      <c r="D25" s="15">
        <f>D10+D13+D16+D19+D22</f>
        <v>247369</v>
      </c>
      <c r="E25" s="15">
        <f>E10+E13+E16+E19+E22</f>
        <v>235182</v>
      </c>
      <c r="F25" s="15">
        <f>F10+F13+F16+F19+F22</f>
        <v>952780</v>
      </c>
      <c r="G25" s="15">
        <f>G10+G13+G16+G19+G22</f>
        <v>232772</v>
      </c>
      <c r="H25" s="15">
        <f>H10+H13+H16+H19+H22</f>
        <v>252434</v>
      </c>
      <c r="I25" s="38">
        <f>I10+I13+I16+I19+I22</f>
        <v>254374.53000000003</v>
      </c>
      <c r="J25" s="2"/>
      <c r="K25" s="2"/>
      <c r="L25" s="2"/>
      <c r="M25" s="2"/>
      <c r="N25" s="2"/>
      <c r="O25" s="2"/>
    </row>
    <row r="26">
      <c r="A26" s="19" t="s">
        <v>122</v>
      </c>
      <c r="B26" s="12" t="s">
        <v>37</v>
      </c>
      <c r="C26" s="12" t="s">
        <v>37</v>
      </c>
      <c r="D26" s="12" t="s">
        <v>37</v>
      </c>
      <c r="E26" s="12" t="s">
        <v>37</v>
      </c>
      <c r="F26" s="12" t="s">
        <v>37</v>
      </c>
      <c r="G26" s="12">
        <f>G25/B25-1</f>
        <v>0.029477194425648</v>
      </c>
      <c r="H26" s="12">
        <f>H25/C25-1</f>
        <v>0.034048549495743874</v>
      </c>
      <c r="I26" s="35">
        <f>I25/D25-1</f>
        <v>0.02832016137834592</v>
      </c>
      <c r="J26" s="2"/>
      <c r="K26" s="2"/>
      <c r="L26" s="2"/>
      <c r="M26" s="2"/>
      <c r="N26" s="2"/>
      <c r="O26" s="2"/>
    </row>
    <row r="27">
      <c r="A27" s="19" t="s">
        <v>110</v>
      </c>
      <c r="B27" s="1" t="s">
        <v>37</v>
      </c>
      <c r="C27" s="1">
        <f>IF(AND(ISNUMBER(C25),ISNUMBER(B25)),C25-B25,"n/a")</f>
        <v>18015</v>
      </c>
      <c r="D27" s="1">
        <f>IF(AND(ISNUMBER(D25),ISNUMBER(C25)),D25-C25,"n/a")</f>
        <v>3247</v>
      </c>
      <c r="E27" s="1">
        <f>IF(AND(ISNUMBER(E25),ISNUMBER(D25)),E25-D25,"n/a")</f>
        <v>-12187</v>
      </c>
      <c r="F27" s="1" t="s">
        <v>37</v>
      </c>
      <c r="G27" s="1">
        <f>IF(AND(ISNUMBER(G25),ISNUMBER(E25)),G25-E25,"n/a")</f>
        <v>-2410</v>
      </c>
      <c r="H27" s="1">
        <f>IF(AND(ISNUMBER(H25),ISNUMBER(G25)),H25-G25,"n/a")</f>
        <v>19662</v>
      </c>
      <c r="I27" s="13">
        <f>IF(AND(ISNUMBER(I25),ISNUMBER(H25)),I25-H25,"n/a")</f>
        <v>1940.530000000028</v>
      </c>
      <c r="J27" s="2"/>
      <c r="K27" s="2"/>
      <c r="L27" s="2"/>
      <c r="M27" s="2"/>
      <c r="N27" s="2"/>
      <c r="O27" s="2"/>
    </row>
    <row r="28">
      <c r="A28" s="36" t="s">
        <v>331</v>
      </c>
      <c r="B28" s="8">
        <v>2015</v>
      </c>
      <c r="C28" s="8">
        <v>2260</v>
      </c>
      <c r="D28" s="8">
        <v>2305</v>
      </c>
      <c r="E28" s="8">
        <v>2195</v>
      </c>
      <c r="F28" s="3">
        <f>SUM(B28:E28)</f>
        <v>8775</v>
      </c>
      <c r="G28" s="8">
        <v>2049</v>
      </c>
      <c r="H28" s="8">
        <v>2259</v>
      </c>
      <c r="I28" s="46">
        <f>D28*(1+I29)</f>
        <v>2305</v>
      </c>
      <c r="J28" s="2"/>
      <c r="K28" s="2"/>
      <c r="L28" s="2"/>
      <c r="M28" s="2"/>
      <c r="N28" s="2"/>
      <c r="O28" s="2"/>
    </row>
    <row r="29">
      <c r="A29" s="14" t="s">
        <v>122</v>
      </c>
      <c r="B29" s="12" t="s">
        <v>37</v>
      </c>
      <c r="C29" s="12" t="s">
        <v>37</v>
      </c>
      <c r="D29" s="12" t="s">
        <v>37</v>
      </c>
      <c r="E29" s="12" t="s">
        <v>37</v>
      </c>
      <c r="F29" s="12" t="s">
        <v>37</v>
      </c>
      <c r="G29" s="12">
        <f>G28/B28-1</f>
        <v>0.016873449131513674</v>
      </c>
      <c r="H29" s="12">
        <f>H28/C28-1</f>
        <v>-0.0004424778761061843</v>
      </c>
      <c r="I29" s="60">
        <v>0</v>
      </c>
      <c r="J29" s="6" t="s">
        <v>138</v>
      </c>
      <c r="K29" s="2"/>
      <c r="L29" s="2"/>
      <c r="M29" s="2"/>
      <c r="N29" s="2"/>
      <c r="O29" s="2"/>
    </row>
    <row r="30">
      <c r="A30" s="14" t="s">
        <v>110</v>
      </c>
      <c r="B30" s="1" t="s">
        <v>37</v>
      </c>
      <c r="C30" s="1">
        <f>IF(AND(ISNUMBER(C28),ISNUMBER(B28)),C28-B28,"n/a")</f>
        <v>245</v>
      </c>
      <c r="D30" s="1">
        <f>IF(AND(ISNUMBER(D28),ISNUMBER(C28)),D28-C28,"n/a")</f>
        <v>45</v>
      </c>
      <c r="E30" s="1">
        <f>IF(AND(ISNUMBER(E28),ISNUMBER(D28)),E28-D28,"n/a")</f>
        <v>-110</v>
      </c>
      <c r="F30" s="1" t="s">
        <v>37</v>
      </c>
      <c r="G30" s="1">
        <f>IF(AND(ISNUMBER(G28),ISNUMBER(E28)),G28-E28,"n/a")</f>
        <v>-146</v>
      </c>
      <c r="H30" s="1">
        <f>IF(AND(ISNUMBER(H28),ISNUMBER(G28)),H28-G28,"n/a")</f>
        <v>210</v>
      </c>
      <c r="I30" s="13">
        <f>IF(AND(ISNUMBER(I28),ISNUMBER(H28)),I28-H28,"n/a")</f>
        <v>46</v>
      </c>
      <c r="J30" s="2"/>
      <c r="K30" s="2"/>
      <c r="L30" s="2"/>
      <c r="M30" s="2"/>
      <c r="N30" s="2"/>
      <c r="O30" s="2"/>
    </row>
    <row r="31">
      <c r="A31" s="36" t="s">
        <v>332</v>
      </c>
      <c r="B31" s="3">
        <f>B22/B28</f>
        <v>71.21836228287842</v>
      </c>
      <c r="C31" s="3">
        <f>C22/C28</f>
        <v>68.96150442477877</v>
      </c>
      <c r="D31" s="3">
        <f>D22/D28</f>
        <v>68.3470715835141</v>
      </c>
      <c r="E31" s="3">
        <f>E22/E28</f>
        <v>66.1248291571754</v>
      </c>
      <c r="F31" s="3">
        <f>F22/F28</f>
        <v>68.60877492877493</v>
      </c>
      <c r="G31" s="3">
        <f>G22/G28</f>
        <v>70.81161542215715</v>
      </c>
      <c r="H31" s="3">
        <f>H22/H28</f>
        <v>69.02788844621514</v>
      </c>
      <c r="I31" s="46">
        <f>I22/I28</f>
        <v>68.3470715835141</v>
      </c>
      <c r="J31" s="6" t="s">
        <v>333</v>
      </c>
      <c r="K31" s="2"/>
      <c r="L31" s="2"/>
      <c r="M31" s="2"/>
      <c r="N31" s="2"/>
      <c r="O31" s="2"/>
    </row>
    <row r="32">
      <c r="A32" s="14" t="s">
        <v>122</v>
      </c>
      <c r="B32" s="12" t="s">
        <v>37</v>
      </c>
      <c r="C32" s="12" t="s">
        <v>37</v>
      </c>
      <c r="D32" s="12" t="s">
        <v>37</v>
      </c>
      <c r="E32" s="12" t="s">
        <v>37</v>
      </c>
      <c r="F32" s="12" t="s">
        <v>37</v>
      </c>
      <c r="G32" s="12">
        <f>G31/B31-1</f>
        <v>-0.005711263888738105</v>
      </c>
      <c r="H32" s="12">
        <f>H31/C31-1</f>
        <v>0.0009626243219329478</v>
      </c>
      <c r="I32" s="35">
        <f>I31/D31-1</f>
        <v>0</v>
      </c>
      <c r="J32" s="2"/>
      <c r="K32" s="2"/>
      <c r="L32" s="2"/>
      <c r="M32" s="2"/>
      <c r="N32" s="2"/>
      <c r="O32" s="2"/>
    </row>
    <row r="33">
      <c r="A33" s="14" t="s">
        <v>334</v>
      </c>
      <c r="B33" s="1" t="s">
        <v>37</v>
      </c>
      <c r="C33" s="1">
        <f>IF(AND(ISNUMBER(C31),ISNUMBER(B31)),C31-B31,"n/a")</f>
        <v>-2.25685785809965</v>
      </c>
      <c r="D33" s="1">
        <f>IF(AND(ISNUMBER(D31),ISNUMBER(C31)),D31-C31,"n/a")</f>
        <v>-0.6144328412646729</v>
      </c>
      <c r="E33" s="1">
        <f>IF(AND(ISNUMBER(E31),ISNUMBER(D31)),E31-D31,"n/a")</f>
        <v>-2.2222424263386955</v>
      </c>
      <c r="F33" s="1" t="s">
        <v>37</v>
      </c>
      <c r="G33" s="1">
        <f>IF(AND(ISNUMBER(G31),ISNUMBER(E31)),G31-E31,"n/a")</f>
        <v>4.686786264981748</v>
      </c>
      <c r="H33" s="1">
        <f>IF(AND(ISNUMBER(H31),ISNUMBER(G31)),H31-G31,"n/a")</f>
        <v>-1.7837269759420025</v>
      </c>
      <c r="I33" s="13">
        <f>IF(AND(ISNUMBER(I31),ISNUMBER(H31)),I31-H31,"n/a")</f>
        <v>-0.6808168627010502</v>
      </c>
      <c r="J33" s="2"/>
      <c r="K33" s="2"/>
      <c r="L33" s="2"/>
      <c r="M33" s="2"/>
      <c r="N33" s="2"/>
      <c r="O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>
      <c r="A35" s="16" t="s">
        <v>153</v>
      </c>
      <c r="B35" s="2"/>
      <c r="C35" s="2"/>
      <c r="D35" s="2"/>
      <c r="E35" s="2"/>
      <c r="F35" s="2"/>
      <c r="G35" s="2"/>
      <c r="H35" s="2"/>
      <c r="I35" s="2"/>
      <c r="J35" s="2" t="s">
        <v>154</v>
      </c>
      <c r="K35" s="2"/>
      <c r="L35" s="2"/>
      <c r="M35" s="2"/>
      <c r="N35" s="2"/>
      <c r="O35" s="2"/>
    </row>
    <row r="36">
      <c r="A36" s="36" t="s">
        <v>335</v>
      </c>
      <c r="B36" s="8">
        <v>6388</v>
      </c>
      <c r="C36" s="8">
        <v>6653</v>
      </c>
      <c r="D36" s="8">
        <v>6750</v>
      </c>
      <c r="E36" s="8">
        <v>6798</v>
      </c>
      <c r="F36" s="3">
        <f>SUMPRODUCT(B36:E36,B$7:E$7)/F$7</f>
        <v>6648.6547945205475</v>
      </c>
      <c r="G36" s="8">
        <v>6541</v>
      </c>
      <c r="H36" s="8">
        <v>7426</v>
      </c>
      <c r="I36" s="46">
        <f>H36*(1+I37)</f>
        <v>7611.65</v>
      </c>
      <c r="J36" s="2"/>
      <c r="K36" s="2"/>
      <c r="L36" s="2"/>
      <c r="M36" s="2"/>
      <c r="N36" s="2"/>
      <c r="O36" s="2"/>
    </row>
    <row r="37">
      <c r="A37" s="14" t="s">
        <v>95</v>
      </c>
      <c r="B37" s="12" t="s">
        <v>37</v>
      </c>
      <c r="C37" s="12">
        <f>C36/B36-1</f>
        <v>0.04148403256105193</v>
      </c>
      <c r="D37" s="12">
        <f>D36/C36-1</f>
        <v>0.014579888771982574</v>
      </c>
      <c r="E37" s="12">
        <f>E36/D36-1</f>
        <v>0.007111111111111068</v>
      </c>
      <c r="F37" s="12" t="s">
        <v>37</v>
      </c>
      <c r="G37" s="12">
        <f>G36/E36-1</f>
        <v>-0.0378052368343631</v>
      </c>
      <c r="H37" s="12">
        <f>H36/G36-1</f>
        <v>0.1353004127809203</v>
      </c>
      <c r="I37" s="60">
        <v>0.025</v>
      </c>
      <c r="J37" s="6" t="s">
        <v>138</v>
      </c>
      <c r="K37" s="2"/>
      <c r="L37" s="2"/>
      <c r="M37" s="2"/>
      <c r="N37" s="2"/>
      <c r="O37" s="2"/>
    </row>
    <row r="38">
      <c r="A38" s="14" t="s">
        <v>122</v>
      </c>
      <c r="B38" s="12" t="s">
        <v>37</v>
      </c>
      <c r="C38" s="12" t="s">
        <v>37</v>
      </c>
      <c r="D38" s="12" t="s">
        <v>37</v>
      </c>
      <c r="E38" s="12" t="s">
        <v>37</v>
      </c>
      <c r="F38" s="12" t="s">
        <v>37</v>
      </c>
      <c r="G38" s="12">
        <f>G36/B36-1</f>
        <v>0.02395115842204132</v>
      </c>
      <c r="H38" s="12">
        <f>H36/C36-1</f>
        <v>0.11618818578085066</v>
      </c>
      <c r="I38" s="35">
        <f>I36/D36-1</f>
        <v>0.1276518518518519</v>
      </c>
      <c r="J38" s="2"/>
      <c r="K38" s="2"/>
      <c r="L38" s="2"/>
      <c r="M38" s="2"/>
      <c r="N38" s="2"/>
      <c r="O38" s="2"/>
    </row>
    <row r="39">
      <c r="A39" s="14" t="s">
        <v>110</v>
      </c>
      <c r="B39" s="1" t="s">
        <v>37</v>
      </c>
      <c r="C39" s="1">
        <f>IF(AND(ISNUMBER(C36),ISNUMBER(B36)),C36-B36,"n/a")</f>
        <v>265</v>
      </c>
      <c r="D39" s="1">
        <f>IF(AND(ISNUMBER(D36),ISNUMBER(C36)),D36-C36,"n/a")</f>
        <v>97</v>
      </c>
      <c r="E39" s="1">
        <f>IF(AND(ISNUMBER(E36),ISNUMBER(D36)),E36-D36,"n/a")</f>
        <v>48</v>
      </c>
      <c r="F39" s="1" t="s">
        <v>37</v>
      </c>
      <c r="G39" s="1">
        <f>IF(AND(ISNUMBER(G36),ISNUMBER(E36)),G36-E36,"n/a")</f>
        <v>-257</v>
      </c>
      <c r="H39" s="1">
        <f>IF(AND(ISNUMBER(H36),ISNUMBER(G36)),H36-G36,"n/a")</f>
        <v>885</v>
      </c>
      <c r="I39" s="13">
        <f>IF(AND(ISNUMBER(I36),ISNUMBER(H36)),I36-H36,"n/a")</f>
        <v>185.64999999999964</v>
      </c>
      <c r="J39" s="2"/>
      <c r="K39" s="2"/>
      <c r="L39" s="2"/>
      <c r="M39" s="2"/>
      <c r="N39" s="2"/>
      <c r="O39" s="2"/>
    </row>
    <row r="40">
      <c r="A40" s="36" t="s">
        <v>336</v>
      </c>
      <c r="B40" s="3" t="s">
        <v>37</v>
      </c>
      <c r="C40" s="3" t="s">
        <v>37</v>
      </c>
      <c r="D40" s="3" t="s">
        <v>37</v>
      </c>
      <c r="E40" s="3" t="s">
        <v>37</v>
      </c>
      <c r="F40" s="3" t="s">
        <v>37</v>
      </c>
      <c r="G40" s="3" t="s">
        <v>37</v>
      </c>
      <c r="H40" s="3" t="s">
        <v>37</v>
      </c>
      <c r="I40" s="32">
        <v>1600</v>
      </c>
      <c r="J40" s="6" t="s">
        <v>337</v>
      </c>
      <c r="K40" s="2"/>
      <c r="L40" s="2"/>
      <c r="M40" s="2"/>
      <c r="N40" s="2"/>
      <c r="O40" s="2"/>
    </row>
    <row r="41">
      <c r="A41" s="36" t="s">
        <v>338</v>
      </c>
      <c r="B41" s="71" t="s">
        <v>37</v>
      </c>
      <c r="C41" s="71" t="s">
        <v>37</v>
      </c>
      <c r="D41" s="71" t="s">
        <v>37</v>
      </c>
      <c r="E41" s="71" t="s">
        <v>37</v>
      </c>
      <c r="F41" s="71" t="s">
        <v>37</v>
      </c>
      <c r="G41" s="71" t="s">
        <v>37</v>
      </c>
      <c r="H41" s="71" t="s">
        <v>37</v>
      </c>
      <c r="I41" s="81">
        <v>48</v>
      </c>
      <c r="J41" s="125" t="s">
        <v>339</v>
      </c>
      <c r="K41" s="2"/>
      <c r="L41" s="2"/>
      <c r="M41" s="2"/>
      <c r="N41" s="2"/>
      <c r="O41" s="2"/>
    </row>
    <row r="42">
      <c r="A42" s="14" t="s">
        <v>340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>
      <c r="A43" s="36" t="s">
        <v>341</v>
      </c>
      <c r="B43" s="8">
        <v>0</v>
      </c>
      <c r="C43" s="8">
        <v>0</v>
      </c>
      <c r="D43" s="8">
        <v>0</v>
      </c>
      <c r="E43" s="8">
        <v>0</v>
      </c>
      <c r="F43" s="3">
        <f>SUMPRODUCT(B43:E43,B$7:E$7)/F$7</f>
        <v>0</v>
      </c>
      <c r="G43" s="8">
        <v>0</v>
      </c>
      <c r="H43" s="8">
        <v>0</v>
      </c>
      <c r="I43" s="46">
        <f>I40*I41/I$7</f>
        <v>834.7826086956521</v>
      </c>
      <c r="J43" s="6" t="s">
        <v>342</v>
      </c>
      <c r="K43" s="2"/>
      <c r="L43" s="2"/>
      <c r="M43" s="2"/>
      <c r="N43" s="2"/>
      <c r="O43" s="2"/>
    </row>
    <row r="44">
      <c r="A44" s="36" t="s">
        <v>159</v>
      </c>
      <c r="B44" s="8">
        <v>35083</v>
      </c>
      <c r="C44" s="8">
        <v>35439</v>
      </c>
      <c r="D44" s="8">
        <v>36079</v>
      </c>
      <c r="E44" s="8">
        <v>37019</v>
      </c>
      <c r="F44" s="3">
        <f>SUMPRODUCT(B44:E44,B$7:E$7)/F$7</f>
        <v>35910.78082191781</v>
      </c>
      <c r="G44" s="8">
        <v>37341</v>
      </c>
      <c r="H44" s="8">
        <v>38403</v>
      </c>
      <c r="I44" s="46">
        <f>H44*(1+I45)+I43</f>
        <v>40197.85760869565</v>
      </c>
      <c r="J44" s="2"/>
      <c r="K44" s="2"/>
      <c r="L44" s="2"/>
      <c r="M44" s="2"/>
      <c r="N44" s="2"/>
      <c r="O44" s="2"/>
    </row>
    <row r="45">
      <c r="A45" s="14" t="s">
        <v>343</v>
      </c>
      <c r="B45" s="12" t="s">
        <v>37</v>
      </c>
      <c r="C45" s="12">
        <f>C44/B44-1</f>
        <v>0.010147364820568328</v>
      </c>
      <c r="D45" s="12">
        <f>D44/C44-1</f>
        <v>0.018059200316036028</v>
      </c>
      <c r="E45" s="12">
        <f>E44/D44-1</f>
        <v>0.026053937193381227</v>
      </c>
      <c r="F45" s="12" t="s">
        <v>37</v>
      </c>
      <c r="G45" s="12">
        <f>G44/E44-1</f>
        <v>0.00869823604095199</v>
      </c>
      <c r="H45" s="12">
        <f>H44/G44-1</f>
        <v>0.028440588093516572</v>
      </c>
      <c r="I45" s="60">
        <v>0.025</v>
      </c>
      <c r="J45" s="2"/>
      <c r="K45" s="2"/>
      <c r="L45" s="2"/>
      <c r="M45" s="2"/>
      <c r="N45" s="2"/>
      <c r="O45" s="2"/>
    </row>
    <row r="46">
      <c r="A46" s="14" t="s">
        <v>122</v>
      </c>
      <c r="B46" s="12" t="s">
        <v>37</v>
      </c>
      <c r="C46" s="12" t="s">
        <v>37</v>
      </c>
      <c r="D46" s="12" t="s">
        <v>37</v>
      </c>
      <c r="E46" s="12" t="s">
        <v>37</v>
      </c>
      <c r="F46" s="12" t="s">
        <v>37</v>
      </c>
      <c r="G46" s="12">
        <f>G44/B44-1</f>
        <v>0.06436165664281845</v>
      </c>
      <c r="H46" s="12">
        <f>H44/C44-1</f>
        <v>0.08363667146364184</v>
      </c>
      <c r="I46" s="35">
        <f>I44/D44-1</f>
        <v>0.11416218877174122</v>
      </c>
      <c r="J46" s="2"/>
      <c r="K46" s="2"/>
      <c r="L46" s="2"/>
      <c r="M46" s="2"/>
      <c r="N46" s="2"/>
      <c r="O46" s="2"/>
    </row>
    <row r="47">
      <c r="A47" s="14" t="s">
        <v>110</v>
      </c>
      <c r="B47" s="1" t="s">
        <v>37</v>
      </c>
      <c r="C47" s="1">
        <f>IF(AND(ISNUMBER(C44),ISNUMBER(B44)),C44-B44,"n/a")</f>
        <v>356</v>
      </c>
      <c r="D47" s="1">
        <f>IF(AND(ISNUMBER(D44),ISNUMBER(C44)),D44-C44,"n/a")</f>
        <v>640</v>
      </c>
      <c r="E47" s="1">
        <f>IF(AND(ISNUMBER(E44),ISNUMBER(D44)),E44-D44,"n/a")</f>
        <v>940</v>
      </c>
      <c r="F47" s="1" t="s">
        <v>37</v>
      </c>
      <c r="G47" s="1">
        <f>IF(AND(ISNUMBER(G44),ISNUMBER(E44)),G44-E44,"n/a")</f>
        <v>322</v>
      </c>
      <c r="H47" s="1">
        <f>IF(AND(ISNUMBER(H44),ISNUMBER(G44)),H44-G44,"n/a")</f>
        <v>1062</v>
      </c>
      <c r="I47" s="13">
        <f>IF(AND(ISNUMBER(I44),ISNUMBER(H44)),I44-H44,"n/a")</f>
        <v>1794.8576086956527</v>
      </c>
      <c r="J47" s="2"/>
      <c r="K47" s="2"/>
      <c r="L47" s="2"/>
      <c r="M47" s="2"/>
      <c r="N47" s="2"/>
      <c r="O47" s="2"/>
    </row>
    <row r="48">
      <c r="A48" s="36" t="s">
        <v>161</v>
      </c>
      <c r="B48" s="8">
        <v>136</v>
      </c>
      <c r="C48" s="8">
        <v>132</v>
      </c>
      <c r="D48" s="8">
        <v>128</v>
      </c>
      <c r="E48" s="8">
        <v>126</v>
      </c>
      <c r="F48" s="3">
        <f>SUMPRODUCT(B48:E48,B$7:E$7)/F$7</f>
        <v>130.46575342465752</v>
      </c>
      <c r="G48" s="8">
        <v>121</v>
      </c>
      <c r="H48" s="8">
        <v>118</v>
      </c>
      <c r="I48" s="46">
        <f>H48*(1+I49)</f>
        <v>118</v>
      </c>
      <c r="J48" s="2"/>
      <c r="K48" s="2"/>
      <c r="L48" s="2"/>
      <c r="M48" s="2"/>
      <c r="N48" s="2"/>
      <c r="O48" s="2"/>
    </row>
    <row r="49">
      <c r="A49" s="14" t="s">
        <v>95</v>
      </c>
      <c r="B49" s="12" t="s">
        <v>37</v>
      </c>
      <c r="C49" s="12">
        <f>C48/B48-1</f>
        <v>-0.02941176470588236</v>
      </c>
      <c r="D49" s="12">
        <f>D48/C48-1</f>
        <v>-0.030303030303030276</v>
      </c>
      <c r="E49" s="12">
        <f>E48/D48-1</f>
        <v>-0.015625</v>
      </c>
      <c r="F49" s="12" t="s">
        <v>37</v>
      </c>
      <c r="G49" s="12">
        <f>G48/E48-1</f>
        <v>-0.03968253968253965</v>
      </c>
      <c r="H49" s="12">
        <f>H48/G48-1</f>
        <v>-0.024793388429752095</v>
      </c>
      <c r="I49" s="60">
        <v>0</v>
      </c>
      <c r="J49" s="6" t="s">
        <v>138</v>
      </c>
      <c r="K49" s="2"/>
      <c r="L49" s="2"/>
      <c r="M49" s="2"/>
      <c r="N49" s="2"/>
      <c r="O49" s="2"/>
    </row>
    <row r="50">
      <c r="A50" s="14" t="s">
        <v>122</v>
      </c>
      <c r="B50" s="12" t="s">
        <v>37</v>
      </c>
      <c r="C50" s="12" t="s">
        <v>37</v>
      </c>
      <c r="D50" s="12" t="s">
        <v>37</v>
      </c>
      <c r="E50" s="12" t="s">
        <v>37</v>
      </c>
      <c r="F50" s="12" t="s">
        <v>37</v>
      </c>
      <c r="G50" s="12">
        <f>G48/B48-1</f>
        <v>-0.11029411764705888</v>
      </c>
      <c r="H50" s="12">
        <f>H48/C48-1</f>
        <v>-0.10606060606060608</v>
      </c>
      <c r="I50" s="35">
        <f>I48/D48-1</f>
        <v>-0.078125</v>
      </c>
      <c r="J50" s="2"/>
      <c r="K50" s="2"/>
      <c r="L50" s="2"/>
      <c r="M50" s="2"/>
      <c r="N50" s="2"/>
      <c r="O50" s="2"/>
    </row>
    <row r="51">
      <c r="A51" s="14" t="s">
        <v>110</v>
      </c>
      <c r="B51" s="1" t="s">
        <v>37</v>
      </c>
      <c r="C51" s="1">
        <f>IF(AND(ISNUMBER(C48),ISNUMBER(B48)),C48-B48,"n/a")</f>
        <v>-4</v>
      </c>
      <c r="D51" s="1">
        <f>IF(AND(ISNUMBER(D48),ISNUMBER(C48)),D48-C48,"n/a")</f>
        <v>-4</v>
      </c>
      <c r="E51" s="1">
        <f>IF(AND(ISNUMBER(E48),ISNUMBER(D48)),E48-D48,"n/a")</f>
        <v>-2</v>
      </c>
      <c r="F51" s="1" t="s">
        <v>37</v>
      </c>
      <c r="G51" s="1">
        <f>IF(AND(ISNUMBER(G48),ISNUMBER(E48)),G48-E48,"n/a")</f>
        <v>-5</v>
      </c>
      <c r="H51" s="1">
        <f>IF(AND(ISNUMBER(H48),ISNUMBER(G48)),H48-G48,"n/a")</f>
        <v>-3</v>
      </c>
      <c r="I51" s="13">
        <f>IF(AND(ISNUMBER(I48),ISNUMBER(H48)),I48-H48,"n/a")</f>
        <v>0</v>
      </c>
      <c r="J51" s="2"/>
      <c r="K51" s="2"/>
      <c r="L51" s="2"/>
      <c r="M51" s="2"/>
      <c r="N51" s="2"/>
      <c r="O51" s="2"/>
    </row>
    <row r="52">
      <c r="A52" s="16" t="s">
        <v>162</v>
      </c>
      <c r="B52" s="15">
        <f>B36+B44+B48</f>
        <v>41607</v>
      </c>
      <c r="C52" s="15">
        <f>C36+C44+C48</f>
        <v>42224</v>
      </c>
      <c r="D52" s="15">
        <f>D36+D44+D48</f>
        <v>42957</v>
      </c>
      <c r="E52" s="15">
        <f>E36+E44+E48</f>
        <v>43943</v>
      </c>
      <c r="F52" s="15">
        <f>F36+F44+F48</f>
        <v>42689.901369863015</v>
      </c>
      <c r="G52" s="15">
        <f>G36+G44+G48</f>
        <v>44003</v>
      </c>
      <c r="H52" s="15">
        <f>H36+H44+H48</f>
        <v>45947</v>
      </c>
      <c r="I52" s="38">
        <f>I36+I44+I48</f>
        <v>47927.507608695654</v>
      </c>
      <c r="J52" s="2"/>
      <c r="K52" s="2"/>
      <c r="L52" s="2"/>
      <c r="M52" s="2"/>
      <c r="N52" s="2"/>
      <c r="O52" s="2"/>
    </row>
    <row r="53">
      <c r="A53" s="19" t="s">
        <v>122</v>
      </c>
      <c r="B53" s="12" t="s">
        <v>37</v>
      </c>
      <c r="C53" s="12" t="s">
        <v>37</v>
      </c>
      <c r="D53" s="12" t="s">
        <v>37</v>
      </c>
      <c r="E53" s="12" t="s">
        <v>37</v>
      </c>
      <c r="F53" s="12" t="s">
        <v>37</v>
      </c>
      <c r="G53" s="12">
        <f>G52/B52-1</f>
        <v>0.05758646381618471</v>
      </c>
      <c r="H53" s="12">
        <f>H52/C52-1</f>
        <v>0.08817260325881016</v>
      </c>
      <c r="I53" s="35">
        <f>I52/D52-1</f>
        <v>0.11570890911133591</v>
      </c>
      <c r="J53" s="2"/>
      <c r="K53" s="2"/>
      <c r="L53" s="2"/>
      <c r="M53" s="2"/>
      <c r="N53" s="2"/>
      <c r="O53" s="2"/>
    </row>
    <row r="54">
      <c r="A54" s="19" t="s">
        <v>110</v>
      </c>
      <c r="B54" s="1" t="s">
        <v>37</v>
      </c>
      <c r="C54" s="1">
        <f>IF(AND(ISNUMBER(C52),ISNUMBER(B52)),C52-B52,"n/a")</f>
        <v>617</v>
      </c>
      <c r="D54" s="1">
        <f>IF(AND(ISNUMBER(D52),ISNUMBER(C52)),D52-C52,"n/a")</f>
        <v>733</v>
      </c>
      <c r="E54" s="1">
        <f>IF(AND(ISNUMBER(E52),ISNUMBER(D52)),E52-D52,"n/a")</f>
        <v>986</v>
      </c>
      <c r="F54" s="1" t="s">
        <v>37</v>
      </c>
      <c r="G54" s="1">
        <f>IF(AND(ISNUMBER(G52),ISNUMBER(E52)),G52-E52,"n/a")</f>
        <v>60</v>
      </c>
      <c r="H54" s="1">
        <f>IF(AND(ISNUMBER(H52),ISNUMBER(G52)),H52-G52,"n/a")</f>
        <v>1944</v>
      </c>
      <c r="I54" s="13">
        <f>IF(AND(ISNUMBER(I52),ISNUMBER(H52)),I52-H52,"n/a")</f>
        <v>1980.5076086956542</v>
      </c>
      <c r="J54" s="2"/>
      <c r="K54" s="2"/>
      <c r="L54" s="2"/>
      <c r="M54" s="2"/>
      <c r="N54" s="2"/>
      <c r="O54" s="2"/>
    </row>
    <row r="55">
      <c r="A55" s="36" t="s">
        <v>163</v>
      </c>
      <c r="B55" s="8">
        <v>57</v>
      </c>
      <c r="C55" s="8">
        <v>5</v>
      </c>
      <c r="D55" s="8">
        <v>5</v>
      </c>
      <c r="E55" s="8">
        <v>5</v>
      </c>
      <c r="F55" s="3">
        <f>SUMPRODUCT(B55:E55,B$7:E$7)/F$7</f>
        <v>17.82191780821918</v>
      </c>
      <c r="G55" s="8">
        <v>5</v>
      </c>
      <c r="H55" s="8">
        <v>7</v>
      </c>
      <c r="I55" s="46">
        <f>H55*(1+I56)</f>
        <v>7</v>
      </c>
      <c r="J55" s="2"/>
      <c r="K55" s="2"/>
      <c r="L55" s="2"/>
      <c r="M55" s="2"/>
      <c r="N55" s="2"/>
      <c r="O55" s="2"/>
    </row>
    <row r="56">
      <c r="A56" s="14" t="s">
        <v>95</v>
      </c>
      <c r="B56" s="12" t="s">
        <v>37</v>
      </c>
      <c r="C56" s="12">
        <f>C55/B55-1</f>
        <v>-0.9122807017543859</v>
      </c>
      <c r="D56" s="12">
        <f>D55/C55-1</f>
        <v>0</v>
      </c>
      <c r="E56" s="12">
        <f>E55/D55-1</f>
        <v>0</v>
      </c>
      <c r="F56" s="12" t="s">
        <v>37</v>
      </c>
      <c r="G56" s="12">
        <f>G55/E55-1</f>
        <v>0</v>
      </c>
      <c r="H56" s="12">
        <f>H55/G55-1</f>
        <v>0.3999999999999999</v>
      </c>
      <c r="I56" s="60">
        <v>0</v>
      </c>
      <c r="J56" s="6" t="s">
        <v>138</v>
      </c>
      <c r="K56" s="2"/>
      <c r="L56" s="2"/>
      <c r="M56" s="2"/>
      <c r="N56" s="2"/>
      <c r="O56" s="2"/>
    </row>
    <row r="57">
      <c r="A57" s="14" t="s">
        <v>122</v>
      </c>
      <c r="B57" s="12" t="s">
        <v>37</v>
      </c>
      <c r="C57" s="12" t="s">
        <v>37</v>
      </c>
      <c r="D57" s="12" t="s">
        <v>37</v>
      </c>
      <c r="E57" s="12" t="s">
        <v>37</v>
      </c>
      <c r="F57" s="12" t="s">
        <v>37</v>
      </c>
      <c r="G57" s="12">
        <f>G55/B55-1</f>
        <v>-0.9122807017543859</v>
      </c>
      <c r="H57" s="12">
        <f>H55/C55-1</f>
        <v>0.3999999999999999</v>
      </c>
      <c r="I57" s="35">
        <f>I55/D55-1</f>
        <v>0.3999999999999999</v>
      </c>
      <c r="J57" s="2"/>
      <c r="K57" s="2"/>
      <c r="L57" s="2"/>
      <c r="M57" s="2"/>
      <c r="N57" s="2"/>
      <c r="O57" s="2"/>
    </row>
    <row r="58">
      <c r="A58" s="14" t="s">
        <v>110</v>
      </c>
      <c r="B58" s="1" t="s">
        <v>37</v>
      </c>
      <c r="C58" s="1">
        <f>IF(AND(ISNUMBER(C55),ISNUMBER(B55)),C55-B55,"n/a")</f>
        <v>-52</v>
      </c>
      <c r="D58" s="1">
        <f>IF(AND(ISNUMBER(D55),ISNUMBER(C55)),D55-C55,"n/a")</f>
        <v>0</v>
      </c>
      <c r="E58" s="1">
        <f>IF(AND(ISNUMBER(E55),ISNUMBER(D55)),E55-D55,"n/a")</f>
        <v>0</v>
      </c>
      <c r="F58" s="1" t="s">
        <v>37</v>
      </c>
      <c r="G58" s="1">
        <f>IF(AND(ISNUMBER(G55),ISNUMBER(E55)),G55-E55,"n/a")</f>
        <v>0</v>
      </c>
      <c r="H58" s="1">
        <f>IF(AND(ISNUMBER(H55),ISNUMBER(G55)),H55-G55,"n/a")</f>
        <v>2</v>
      </c>
      <c r="I58" s="13">
        <f>IF(AND(ISNUMBER(I55),ISNUMBER(H55)),I55-H55,"n/a")</f>
        <v>0</v>
      </c>
      <c r="J58" s="2"/>
      <c r="K58" s="2"/>
      <c r="L58" s="2"/>
      <c r="M58" s="2"/>
      <c r="N58" s="2"/>
      <c r="O58" s="2"/>
    </row>
    <row r="59">
      <c r="A59" s="16" t="s">
        <v>164</v>
      </c>
      <c r="B59" s="15">
        <f>B52+B55</f>
        <v>41664</v>
      </c>
      <c r="C59" s="15">
        <f>C52+C55</f>
        <v>42229</v>
      </c>
      <c r="D59" s="15">
        <f>D52+D55</f>
        <v>42962</v>
      </c>
      <c r="E59" s="15">
        <f>E52+E55</f>
        <v>43948</v>
      </c>
      <c r="F59" s="15">
        <f>F52+F55</f>
        <v>42707.72328767124</v>
      </c>
      <c r="G59" s="15">
        <f>G52+G55</f>
        <v>44008</v>
      </c>
      <c r="H59" s="15">
        <f>H52+H55</f>
        <v>45954</v>
      </c>
      <c r="I59" s="38">
        <f>I52+I55</f>
        <v>47934.507608695654</v>
      </c>
      <c r="J59" s="2"/>
      <c r="K59" s="2"/>
      <c r="L59" s="2"/>
      <c r="M59" s="2"/>
      <c r="N59" s="2"/>
      <c r="O59" s="2"/>
    </row>
    <row r="60">
      <c r="A60" s="19" t="s">
        <v>122</v>
      </c>
      <c r="B60" s="12" t="s">
        <v>37</v>
      </c>
      <c r="C60" s="12" t="s">
        <v>37</v>
      </c>
      <c r="D60" s="12" t="s">
        <v>37</v>
      </c>
      <c r="E60" s="12" t="s">
        <v>37</v>
      </c>
      <c r="F60" s="12" t="s">
        <v>37</v>
      </c>
      <c r="G60" s="12">
        <f>G59/B59-1</f>
        <v>0.05625960061443935</v>
      </c>
      <c r="H60" s="12">
        <f>H59/C59-1</f>
        <v>0.08820952426057915</v>
      </c>
      <c r="I60" s="35">
        <f>I59/D59-1</f>
        <v>0.11574199545402108</v>
      </c>
      <c r="J60" s="2"/>
      <c r="K60" s="2"/>
      <c r="L60" s="2"/>
      <c r="M60" s="2"/>
      <c r="N60" s="2"/>
      <c r="O60" s="2"/>
    </row>
    <row r="61">
      <c r="A61" s="19" t="s">
        <v>110</v>
      </c>
      <c r="B61" s="1" t="s">
        <v>37</v>
      </c>
      <c r="C61" s="1">
        <f>IF(AND(ISNUMBER(C59),ISNUMBER(B59)),C59-B59,"n/a")</f>
        <v>565</v>
      </c>
      <c r="D61" s="1">
        <f>IF(AND(ISNUMBER(D59),ISNUMBER(C59)),D59-C59,"n/a")</f>
        <v>733</v>
      </c>
      <c r="E61" s="1">
        <f>IF(AND(ISNUMBER(E59),ISNUMBER(D59)),E59-D59,"n/a")</f>
        <v>986</v>
      </c>
      <c r="F61" s="1" t="s">
        <v>37</v>
      </c>
      <c r="G61" s="1">
        <f>IF(AND(ISNUMBER(G59),ISNUMBER(E59)),G59-E59,"n/a")</f>
        <v>60</v>
      </c>
      <c r="H61" s="1">
        <f>IF(AND(ISNUMBER(H59),ISNUMBER(G59)),H59-G59,"n/a")</f>
        <v>1946</v>
      </c>
      <c r="I61" s="13">
        <f>IF(AND(ISNUMBER(I59),ISNUMBER(H59)),I59-H59,"n/a")</f>
        <v>1980.5076086956542</v>
      </c>
      <c r="J61" s="2"/>
      <c r="K61" s="2"/>
      <c r="L61" s="2"/>
      <c r="M61" s="2"/>
      <c r="N61" s="2"/>
      <c r="O61" s="2"/>
    </row>
    <row r="62">
      <c r="A62" s="36" t="s">
        <v>165</v>
      </c>
      <c r="B62" s="8">
        <v>2616</v>
      </c>
      <c r="C62" s="8">
        <v>2439</v>
      </c>
      <c r="D62" s="8">
        <v>2370</v>
      </c>
      <c r="E62" s="8">
        <v>2432</v>
      </c>
      <c r="F62" s="3">
        <f>SUMPRODUCT(B62:E62,B$7:E$7)/F$7</f>
        <v>2463.487671232877</v>
      </c>
      <c r="G62" s="8">
        <v>2425</v>
      </c>
      <c r="H62" s="8">
        <v>2390</v>
      </c>
      <c r="I62" s="46">
        <f>H62*(1+I63)</f>
        <v>2390</v>
      </c>
      <c r="J62" s="2"/>
      <c r="K62" s="2"/>
      <c r="L62" s="2"/>
      <c r="M62" s="2"/>
      <c r="N62" s="2"/>
      <c r="O62" s="2"/>
    </row>
    <row r="63">
      <c r="A63" s="14" t="s">
        <v>95</v>
      </c>
      <c r="B63" s="12" t="s">
        <v>37</v>
      </c>
      <c r="C63" s="12">
        <f>C62/B62-1</f>
        <v>-0.06766055045871555</v>
      </c>
      <c r="D63" s="12">
        <f>D62/C62-1</f>
        <v>-0.028290282902828978</v>
      </c>
      <c r="E63" s="12">
        <f>E62/D62-1</f>
        <v>0.026160337552742607</v>
      </c>
      <c r="F63" s="12" t="s">
        <v>37</v>
      </c>
      <c r="G63" s="12">
        <f>G62/E62-1</f>
        <v>-0.0028782894736841813</v>
      </c>
      <c r="H63" s="12">
        <f>H62/G62-1</f>
        <v>-0.014432989690721598</v>
      </c>
      <c r="I63" s="60">
        <v>0</v>
      </c>
      <c r="J63" s="6" t="s">
        <v>138</v>
      </c>
      <c r="K63" s="2"/>
      <c r="L63" s="2"/>
      <c r="M63" s="2"/>
      <c r="N63" s="2"/>
      <c r="O63" s="2"/>
    </row>
    <row r="64">
      <c r="A64" s="14" t="s">
        <v>122</v>
      </c>
      <c r="B64" s="12" t="s">
        <v>37</v>
      </c>
      <c r="C64" s="12" t="s">
        <v>37</v>
      </c>
      <c r="D64" s="12" t="s">
        <v>37</v>
      </c>
      <c r="E64" s="12" t="s">
        <v>37</v>
      </c>
      <c r="F64" s="12" t="s">
        <v>37</v>
      </c>
      <c r="G64" s="12">
        <f>G62/B62-1</f>
        <v>-0.07301223241590216</v>
      </c>
      <c r="H64" s="12">
        <f>H62/C62-1</f>
        <v>-0.02009020090200897</v>
      </c>
      <c r="I64" s="35">
        <f>I62/D62-1</f>
        <v>0.00843881856540074</v>
      </c>
      <c r="J64" s="2"/>
      <c r="K64" s="2"/>
      <c r="L64" s="2"/>
      <c r="M64" s="2"/>
      <c r="N64" s="2"/>
      <c r="O64" s="2"/>
    </row>
    <row r="65">
      <c r="A65" s="14" t="s">
        <v>110</v>
      </c>
      <c r="B65" s="1" t="s">
        <v>37</v>
      </c>
      <c r="C65" s="1">
        <f>IF(AND(ISNUMBER(C62),ISNUMBER(B62)),C62-B62,"n/a")</f>
        <v>-177</v>
      </c>
      <c r="D65" s="1">
        <f>IF(AND(ISNUMBER(D62),ISNUMBER(C62)),D62-C62,"n/a")</f>
        <v>-69</v>
      </c>
      <c r="E65" s="1">
        <f>IF(AND(ISNUMBER(E62),ISNUMBER(D62)),E62-D62,"n/a")</f>
        <v>62</v>
      </c>
      <c r="F65" s="1" t="s">
        <v>37</v>
      </c>
      <c r="G65" s="1">
        <f>IF(AND(ISNUMBER(G62),ISNUMBER(E62)),G62-E62,"n/a")</f>
        <v>-7</v>
      </c>
      <c r="H65" s="1">
        <f>IF(AND(ISNUMBER(H62),ISNUMBER(G62)),H62-G62,"n/a")</f>
        <v>-35</v>
      </c>
      <c r="I65" s="13">
        <f>IF(AND(ISNUMBER(I62),ISNUMBER(H62)),I62-H62,"n/a")</f>
        <v>0</v>
      </c>
      <c r="J65" s="2"/>
      <c r="K65" s="2"/>
      <c r="L65" s="2"/>
      <c r="M65" s="2"/>
      <c r="N65" s="2"/>
      <c r="O65" s="2"/>
    </row>
    <row r="66">
      <c r="A66" s="36" t="s">
        <v>167</v>
      </c>
      <c r="B66" s="8">
        <v>1</v>
      </c>
      <c r="C66" s="8">
        <v>1</v>
      </c>
      <c r="D66" s="8">
        <v>0</v>
      </c>
      <c r="E66" s="8">
        <v>1</v>
      </c>
      <c r="F66" s="3">
        <f>SUMPRODUCT(B66:E66,B$7:E$7)/F$7</f>
        <v>0.7479452054794521</v>
      </c>
      <c r="G66" s="8">
        <v>1</v>
      </c>
      <c r="H66" s="8">
        <v>0</v>
      </c>
      <c r="I66" s="32">
        <v>0</v>
      </c>
      <c r="J66" s="2"/>
      <c r="K66" s="2"/>
      <c r="L66" s="2"/>
      <c r="M66" s="2"/>
      <c r="N66" s="2"/>
      <c r="O66" s="2"/>
    </row>
    <row r="67">
      <c r="A67" s="14" t="s">
        <v>216</v>
      </c>
      <c r="B67" s="1" t="s">
        <v>37</v>
      </c>
      <c r="C67" s="1" t="s">
        <v>37</v>
      </c>
      <c r="D67" s="1" t="s">
        <v>37</v>
      </c>
      <c r="E67" s="1" t="s">
        <v>37</v>
      </c>
      <c r="F67" s="1" t="s">
        <v>37</v>
      </c>
      <c r="G67" s="1">
        <f>IF(AND(ISNUMBER(G66),ISNUMBER(B66)),G66-B66,"n/a")</f>
        <v>0</v>
      </c>
      <c r="H67" s="1">
        <f>IF(AND(ISNUMBER(H66),ISNUMBER(C66)),H66-C66,"n/a")</f>
        <v>-1</v>
      </c>
      <c r="I67" s="13">
        <f>IF(AND(ISNUMBER(I66),ISNUMBER(D66)),I66-D66,"n/a")</f>
        <v>0</v>
      </c>
      <c r="J67" s="2"/>
      <c r="K67" s="2"/>
      <c r="L67" s="2"/>
      <c r="M67" s="2"/>
      <c r="N67" s="2"/>
      <c r="O67" s="2"/>
    </row>
    <row r="68">
      <c r="A68" s="14" t="s">
        <v>110</v>
      </c>
      <c r="B68" s="1" t="s">
        <v>37</v>
      </c>
      <c r="C68" s="1">
        <f>IF(AND(ISNUMBER(C66),ISNUMBER(B66)),C66-B66,"n/a")</f>
        <v>0</v>
      </c>
      <c r="D68" s="1">
        <f>IF(AND(ISNUMBER(D66),ISNUMBER(C66)),D66-C66,"n/a")</f>
        <v>-1</v>
      </c>
      <c r="E68" s="1">
        <f>IF(AND(ISNUMBER(E66),ISNUMBER(D66)),E66-D66,"n/a")</f>
        <v>1</v>
      </c>
      <c r="F68" s="1" t="s">
        <v>37</v>
      </c>
      <c r="G68" s="1">
        <f>IF(AND(ISNUMBER(G66),ISNUMBER(E66)),G66-E66,"n/a")</f>
        <v>0</v>
      </c>
      <c r="H68" s="1">
        <f>IF(AND(ISNUMBER(H66),ISNUMBER(G66)),H66-G66,"n/a")</f>
        <v>-1</v>
      </c>
      <c r="I68" s="13">
        <f>IF(AND(ISNUMBER(I66),ISNUMBER(H66)),I66-H66,"n/a")</f>
        <v>0</v>
      </c>
      <c r="J68" s="2"/>
      <c r="K68" s="2"/>
      <c r="L68" s="2"/>
      <c r="M68" s="2"/>
      <c r="N68" s="2"/>
      <c r="O68" s="2"/>
    </row>
    <row r="69">
      <c r="A69" s="36" t="s">
        <v>168</v>
      </c>
      <c r="B69" s="8">
        <v>92</v>
      </c>
      <c r="C69" s="8">
        <v>93</v>
      </c>
      <c r="D69" s="8">
        <v>94</v>
      </c>
      <c r="E69" s="8">
        <v>93</v>
      </c>
      <c r="F69" s="3">
        <f>SUMPRODUCT(B69:E69,B$7:E$7)/F$7</f>
        <v>93.0054794520548</v>
      </c>
      <c r="G69" s="8">
        <v>92</v>
      </c>
      <c r="H69" s="8">
        <v>92</v>
      </c>
      <c r="I69" s="46">
        <f>H69*(1+I70)</f>
        <v>92</v>
      </c>
      <c r="J69" s="2"/>
      <c r="K69" s="2"/>
      <c r="L69" s="2"/>
      <c r="M69" s="2"/>
      <c r="N69" s="2"/>
      <c r="O69" s="2"/>
    </row>
    <row r="70">
      <c r="A70" s="14" t="s">
        <v>95</v>
      </c>
      <c r="B70" s="12" t="s">
        <v>37</v>
      </c>
      <c r="C70" s="12">
        <f>C69/B69-1</f>
        <v>0.010869565217391353</v>
      </c>
      <c r="D70" s="12">
        <f>D69/C69-1</f>
        <v>0.010752688172043001</v>
      </c>
      <c r="E70" s="12">
        <f>E69/D69-1</f>
        <v>-0.010638297872340385</v>
      </c>
      <c r="F70" s="12" t="s">
        <v>37</v>
      </c>
      <c r="G70" s="12">
        <f>G69/E69-1</f>
        <v>-0.010752688172043001</v>
      </c>
      <c r="H70" s="12">
        <f>H69/G69-1</f>
        <v>0</v>
      </c>
      <c r="I70" s="60">
        <v>0</v>
      </c>
      <c r="J70" s="6" t="s">
        <v>138</v>
      </c>
      <c r="K70" s="2"/>
      <c r="L70" s="2"/>
      <c r="M70" s="2"/>
      <c r="N70" s="2"/>
      <c r="O70" s="2"/>
    </row>
    <row r="71">
      <c r="A71" s="14" t="s">
        <v>122</v>
      </c>
      <c r="B71" s="12" t="s">
        <v>37</v>
      </c>
      <c r="C71" s="12" t="s">
        <v>37</v>
      </c>
      <c r="D71" s="12" t="s">
        <v>37</v>
      </c>
      <c r="E71" s="12" t="s">
        <v>37</v>
      </c>
      <c r="F71" s="12" t="s">
        <v>37</v>
      </c>
      <c r="G71" s="12">
        <f>G69/B69-1</f>
        <v>0</v>
      </c>
      <c r="H71" s="12">
        <f>H69/C69-1</f>
        <v>-0.010752688172043001</v>
      </c>
      <c r="I71" s="35">
        <f>I69/D69-1</f>
        <v>-0.021276595744680882</v>
      </c>
      <c r="J71" s="2"/>
      <c r="K71" s="2"/>
      <c r="L71" s="2"/>
      <c r="M71" s="2"/>
      <c r="N71" s="2"/>
      <c r="O71" s="2"/>
    </row>
    <row r="72">
      <c r="A72" s="14" t="s">
        <v>110</v>
      </c>
      <c r="B72" s="1" t="s">
        <v>37</v>
      </c>
      <c r="C72" s="1">
        <f>IF(AND(ISNUMBER(C69),ISNUMBER(B69)),C69-B69,"n/a")</f>
        <v>1</v>
      </c>
      <c r="D72" s="1">
        <f>IF(AND(ISNUMBER(D69),ISNUMBER(C69)),D69-C69,"n/a")</f>
        <v>1</v>
      </c>
      <c r="E72" s="1">
        <f>IF(AND(ISNUMBER(E69),ISNUMBER(D69)),E69-D69,"n/a")</f>
        <v>-1</v>
      </c>
      <c r="F72" s="1" t="s">
        <v>37</v>
      </c>
      <c r="G72" s="1">
        <f>IF(AND(ISNUMBER(G69),ISNUMBER(E69)),G69-E69,"n/a")</f>
        <v>-1</v>
      </c>
      <c r="H72" s="1">
        <f>IF(AND(ISNUMBER(H69),ISNUMBER(G69)),H69-G69,"n/a")</f>
        <v>0</v>
      </c>
      <c r="I72" s="13">
        <f>IF(AND(ISNUMBER(I69),ISNUMBER(H69)),I69-H69,"n/a")</f>
        <v>0</v>
      </c>
      <c r="J72" s="2"/>
      <c r="K72" s="2"/>
      <c r="L72" s="2"/>
      <c r="M72" s="2"/>
      <c r="N72" s="2"/>
      <c r="O72" s="2"/>
    </row>
    <row r="73">
      <c r="A73" s="36" t="s">
        <v>169</v>
      </c>
      <c r="B73" s="8">
        <v>1</v>
      </c>
      <c r="C73" s="8">
        <v>1</v>
      </c>
      <c r="D73" s="8">
        <v>1</v>
      </c>
      <c r="E73" s="8">
        <v>1</v>
      </c>
      <c r="F73" s="3">
        <f>SUMPRODUCT(B73:E73,B$7:E$7)/F$7</f>
        <v>1</v>
      </c>
      <c r="G73" s="8">
        <v>1</v>
      </c>
      <c r="H73" s="8">
        <v>1</v>
      </c>
      <c r="I73" s="46">
        <f>H73*(1+I74)</f>
        <v>1</v>
      </c>
      <c r="J73" s="2"/>
      <c r="K73" s="2"/>
      <c r="L73" s="2"/>
      <c r="M73" s="2"/>
      <c r="N73" s="2"/>
      <c r="O73" s="2"/>
    </row>
    <row r="74">
      <c r="A74" s="14" t="s">
        <v>95</v>
      </c>
      <c r="B74" s="12" t="s">
        <v>37</v>
      </c>
      <c r="C74" s="12">
        <f>C73/B73-1</f>
        <v>0</v>
      </c>
      <c r="D74" s="12">
        <f>D73/C73-1</f>
        <v>0</v>
      </c>
      <c r="E74" s="12">
        <f>E73/D73-1</f>
        <v>0</v>
      </c>
      <c r="F74" s="12" t="s">
        <v>37</v>
      </c>
      <c r="G74" s="12">
        <f>G73/E73-1</f>
        <v>0</v>
      </c>
      <c r="H74" s="12">
        <f>H73/G73-1</f>
        <v>0</v>
      </c>
      <c r="I74" s="60">
        <v>0</v>
      </c>
      <c r="J74" s="6" t="s">
        <v>138</v>
      </c>
      <c r="K74" s="2"/>
      <c r="L74" s="2"/>
      <c r="M74" s="2"/>
      <c r="N74" s="2"/>
      <c r="O74" s="2"/>
    </row>
    <row r="75">
      <c r="A75" s="14" t="s">
        <v>122</v>
      </c>
      <c r="B75" s="12" t="s">
        <v>37</v>
      </c>
      <c r="C75" s="12" t="s">
        <v>37</v>
      </c>
      <c r="D75" s="12" t="s">
        <v>37</v>
      </c>
      <c r="E75" s="12" t="s">
        <v>37</v>
      </c>
      <c r="F75" s="12" t="s">
        <v>37</v>
      </c>
      <c r="G75" s="12">
        <f>G73/B73-1</f>
        <v>0</v>
      </c>
      <c r="H75" s="12">
        <f>H73/C73-1</f>
        <v>0</v>
      </c>
      <c r="I75" s="35">
        <f>I73/D73-1</f>
        <v>0</v>
      </c>
      <c r="J75" s="2"/>
      <c r="K75" s="2"/>
      <c r="L75" s="2"/>
      <c r="M75" s="2"/>
      <c r="N75" s="2"/>
      <c r="O75" s="2"/>
    </row>
    <row r="76">
      <c r="A76" s="14" t="s">
        <v>110</v>
      </c>
      <c r="B76" s="1" t="s">
        <v>37</v>
      </c>
      <c r="C76" s="1">
        <f>IF(AND(ISNUMBER(C73),ISNUMBER(B73)),C73-B73,"n/a")</f>
        <v>0</v>
      </c>
      <c r="D76" s="1">
        <f>IF(AND(ISNUMBER(D73),ISNUMBER(C73)),D73-C73,"n/a")</f>
        <v>0</v>
      </c>
      <c r="E76" s="1">
        <f>IF(AND(ISNUMBER(E73),ISNUMBER(D73)),E73-D73,"n/a")</f>
        <v>0</v>
      </c>
      <c r="F76" s="1" t="s">
        <v>37</v>
      </c>
      <c r="G76" s="1">
        <f>IF(AND(ISNUMBER(G73),ISNUMBER(E73)),G73-E73,"n/a")</f>
        <v>0</v>
      </c>
      <c r="H76" s="1">
        <f>IF(AND(ISNUMBER(H73),ISNUMBER(G73)),H73-G73,"n/a")</f>
        <v>0</v>
      </c>
      <c r="I76" s="13">
        <f>IF(AND(ISNUMBER(I73),ISNUMBER(H73)),I73-H73,"n/a")</f>
        <v>0</v>
      </c>
      <c r="J76" s="2"/>
      <c r="K76" s="2"/>
      <c r="L76" s="2"/>
      <c r="M76" s="2"/>
      <c r="N76" s="2"/>
      <c r="O76" s="2"/>
    </row>
    <row r="77">
      <c r="A77" s="16" t="s">
        <v>170</v>
      </c>
      <c r="B77" s="15">
        <f>B62+B66+B69+B73</f>
        <v>2710</v>
      </c>
      <c r="C77" s="15">
        <f>C62+C66+C69+C73</f>
        <v>2534</v>
      </c>
      <c r="D77" s="15">
        <f>D62+D66+D69+D73</f>
        <v>2465</v>
      </c>
      <c r="E77" s="15">
        <f>E62+E66+E69+E73</f>
        <v>2527</v>
      </c>
      <c r="F77" s="15">
        <f>F62+F66+F69+F73</f>
        <v>2558.241095890411</v>
      </c>
      <c r="G77" s="15">
        <f>G62+G66+G69+G73</f>
        <v>2519</v>
      </c>
      <c r="H77" s="15">
        <f>H62+H66+H69+H73</f>
        <v>2483</v>
      </c>
      <c r="I77" s="38">
        <f>I62+I66+I69+I73</f>
        <v>2483</v>
      </c>
      <c r="J77" s="2"/>
      <c r="K77" s="2"/>
      <c r="L77" s="2"/>
      <c r="M77" s="2"/>
      <c r="N77" s="2"/>
      <c r="O77" s="2"/>
    </row>
    <row r="78">
      <c r="A78" s="19" t="s">
        <v>122</v>
      </c>
      <c r="B78" s="12" t="s">
        <v>37</v>
      </c>
      <c r="C78" s="12" t="s">
        <v>37</v>
      </c>
      <c r="D78" s="12" t="s">
        <v>37</v>
      </c>
      <c r="E78" s="12" t="s">
        <v>37</v>
      </c>
      <c r="F78" s="12" t="s">
        <v>37</v>
      </c>
      <c r="G78" s="12">
        <f>G77/B77-1</f>
        <v>-0.07047970479704802</v>
      </c>
      <c r="H78" s="12">
        <f>H77/C77-1</f>
        <v>-0.02012628255722182</v>
      </c>
      <c r="I78" s="35">
        <f>I77/D77-1</f>
        <v>0.007302231237322543</v>
      </c>
      <c r="J78" s="2"/>
      <c r="K78" s="2"/>
      <c r="L78" s="2"/>
      <c r="M78" s="2"/>
      <c r="N78" s="2"/>
      <c r="O78" s="2"/>
    </row>
    <row r="79">
      <c r="A79" s="19" t="s">
        <v>110</v>
      </c>
      <c r="B79" s="1" t="s">
        <v>37</v>
      </c>
      <c r="C79" s="1">
        <f>IF(AND(ISNUMBER(C77),ISNUMBER(B77)),C77-B77,"n/a")</f>
        <v>-176</v>
      </c>
      <c r="D79" s="1">
        <f>IF(AND(ISNUMBER(D77),ISNUMBER(C77)),D77-C77,"n/a")</f>
        <v>-69</v>
      </c>
      <c r="E79" s="1">
        <f>IF(AND(ISNUMBER(E77),ISNUMBER(D77)),E77-D77,"n/a")</f>
        <v>62</v>
      </c>
      <c r="F79" s="1" t="s">
        <v>37</v>
      </c>
      <c r="G79" s="1">
        <f>IF(AND(ISNUMBER(G77),ISNUMBER(E77)),G77-E77,"n/a")</f>
        <v>-8</v>
      </c>
      <c r="H79" s="1">
        <f>IF(AND(ISNUMBER(H77),ISNUMBER(G77)),H77-G77,"n/a")</f>
        <v>-36</v>
      </c>
      <c r="I79" s="13">
        <f>IF(AND(ISNUMBER(I77),ISNUMBER(H77)),I77-H77,"n/a")</f>
        <v>0</v>
      </c>
      <c r="J79" s="2"/>
      <c r="K79" s="2"/>
      <c r="L79" s="2"/>
      <c r="M79" s="2"/>
      <c r="N79" s="2"/>
      <c r="O79" s="2"/>
    </row>
    <row r="80">
      <c r="A80" s="36" t="s">
        <v>171</v>
      </c>
      <c r="B80" s="3">
        <f>B66+B69+B73</f>
        <v>94</v>
      </c>
      <c r="C80" s="3">
        <f>C66+C69+C73</f>
        <v>95</v>
      </c>
      <c r="D80" s="3">
        <f>D66+D69+D73</f>
        <v>95</v>
      </c>
      <c r="E80" s="3">
        <f>E66+E69+E73</f>
        <v>95</v>
      </c>
      <c r="F80" s="3">
        <f>F66+F69+F73</f>
        <v>94.75342465753425</v>
      </c>
      <c r="G80" s="3">
        <f>G66+G69+G73</f>
        <v>94</v>
      </c>
      <c r="H80" s="3">
        <f>H66+H69+H73</f>
        <v>93</v>
      </c>
      <c r="I80" s="46">
        <f>I66+I69+I73</f>
        <v>93</v>
      </c>
      <c r="J80" s="2"/>
      <c r="K80" s="2"/>
      <c r="L80" s="2"/>
      <c r="M80" s="2"/>
      <c r="N80" s="2"/>
      <c r="O80" s="2"/>
    </row>
    <row r="81">
      <c r="A81" s="36" t="s">
        <v>172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>
      <c r="A82" s="62" t="s">
        <v>173</v>
      </c>
      <c r="B82" s="3" t="s">
        <v>37</v>
      </c>
      <c r="C82" s="3">
        <f>B52</f>
        <v>41607</v>
      </c>
      <c r="D82" s="3">
        <f>C52</f>
        <v>42224</v>
      </c>
      <c r="E82" s="3">
        <f>D52</f>
        <v>42957</v>
      </c>
      <c r="F82" s="3" t="s">
        <v>37</v>
      </c>
      <c r="G82" s="3">
        <f>E52</f>
        <v>43943</v>
      </c>
      <c r="H82" s="3">
        <f>G52</f>
        <v>44003</v>
      </c>
      <c r="I82" s="46">
        <f>H52</f>
        <v>45947</v>
      </c>
      <c r="J82" s="2"/>
      <c r="K82" s="2"/>
      <c r="L82" s="2"/>
      <c r="M82" s="2"/>
      <c r="N82" s="2"/>
      <c r="O82" s="2"/>
    </row>
    <row r="83">
      <c r="A83" s="62" t="s">
        <v>174</v>
      </c>
      <c r="B83" s="3" t="s">
        <v>37</v>
      </c>
      <c r="C83" s="3">
        <f>C43-B43</f>
        <v>0</v>
      </c>
      <c r="D83" s="3">
        <f>D43-C43</f>
        <v>0</v>
      </c>
      <c r="E83" s="3">
        <f>E43-D43</f>
        <v>0</v>
      </c>
      <c r="F83" s="3" t="s">
        <v>37</v>
      </c>
      <c r="G83" s="3">
        <f>G43-E43</f>
        <v>0</v>
      </c>
      <c r="H83" s="3">
        <f>H43-G43</f>
        <v>0</v>
      </c>
      <c r="I83" s="46">
        <f>I43-H43</f>
        <v>834.7826086956521</v>
      </c>
      <c r="J83" s="6" t="s">
        <v>344</v>
      </c>
      <c r="K83" s="2"/>
      <c r="L83" s="2"/>
      <c r="M83" s="2"/>
      <c r="N83" s="2"/>
      <c r="O83" s="2"/>
    </row>
    <row r="84">
      <c r="A84" s="62" t="s">
        <v>176</v>
      </c>
      <c r="B84" s="3" t="s">
        <v>37</v>
      </c>
      <c r="C84" s="3">
        <f>-C211</f>
        <v>-381</v>
      </c>
      <c r="D84" s="3">
        <f>-D211</f>
        <v>-347</v>
      </c>
      <c r="E84" s="3">
        <f>-E211</f>
        <v>-360</v>
      </c>
      <c r="F84" s="3" t="s">
        <v>37</v>
      </c>
      <c r="G84" s="3">
        <f>-G211</f>
        <v>-367</v>
      </c>
      <c r="H84" s="3">
        <f>-H211</f>
        <v>-368</v>
      </c>
      <c r="I84" s="46">
        <f>-I211</f>
        <v>-386.98890438356165</v>
      </c>
      <c r="J84" s="2"/>
      <c r="K84" s="2"/>
      <c r="L84" s="2"/>
      <c r="M84" s="2"/>
      <c r="N84" s="2"/>
      <c r="O84" s="2"/>
    </row>
    <row r="85">
      <c r="A85" s="79" t="s">
        <v>177</v>
      </c>
      <c r="B85" s="3" t="s">
        <v>37</v>
      </c>
      <c r="C85" s="3" t="s">
        <v>37</v>
      </c>
      <c r="D85" s="3" t="s">
        <v>37</v>
      </c>
      <c r="E85" s="3" t="s">
        <v>37</v>
      </c>
      <c r="F85" s="3" t="s">
        <v>37</v>
      </c>
      <c r="G85" s="3" t="s">
        <v>37</v>
      </c>
      <c r="H85" s="3" t="s">
        <v>37</v>
      </c>
      <c r="I85" s="46" t="s">
        <v>37</v>
      </c>
      <c r="J85" s="6" t="s">
        <v>178</v>
      </c>
      <c r="K85" s="2"/>
      <c r="L85" s="2"/>
      <c r="M85" s="2"/>
      <c r="N85" s="2"/>
      <c r="O85" s="2"/>
    </row>
    <row r="86">
      <c r="A86" s="79" t="s">
        <v>179</v>
      </c>
      <c r="B86" s="3" t="s">
        <v>37</v>
      </c>
      <c r="C86" s="3" t="s">
        <v>37</v>
      </c>
      <c r="D86" s="3" t="s">
        <v>37</v>
      </c>
      <c r="E86" s="3" t="s">
        <v>37</v>
      </c>
      <c r="F86" s="3" t="s">
        <v>37</v>
      </c>
      <c r="G86" s="3" t="s">
        <v>37</v>
      </c>
      <c r="H86" s="3" t="s">
        <v>37</v>
      </c>
      <c r="I86" s="46" t="s">
        <v>37</v>
      </c>
      <c r="J86" s="6" t="s">
        <v>180</v>
      </c>
      <c r="K86" s="2"/>
      <c r="L86" s="2"/>
      <c r="M86" s="2"/>
      <c r="N86" s="2"/>
      <c r="O86" s="2"/>
    </row>
    <row r="87">
      <c r="A87" s="62" t="s">
        <v>181</v>
      </c>
      <c r="B87" s="3" t="s">
        <v>37</v>
      </c>
      <c r="C87" s="3">
        <f>C88-C82-C83-C84</f>
        <v>998</v>
      </c>
      <c r="D87" s="3">
        <f>D88-D82-D83-D84</f>
        <v>1080</v>
      </c>
      <c r="E87" s="3">
        <f>E88-E82-E83-E84</f>
        <v>1346</v>
      </c>
      <c r="F87" s="3" t="s">
        <v>37</v>
      </c>
      <c r="G87" s="3">
        <f>G88-G82-G83-G84</f>
        <v>427</v>
      </c>
      <c r="H87" s="3">
        <f>H88-H82-H83-H84</f>
        <v>2312</v>
      </c>
      <c r="I87" s="46">
        <f>I88-I82-I83-I84</f>
        <v>1532.7139043835639</v>
      </c>
      <c r="J87" s="6" t="s">
        <v>182</v>
      </c>
      <c r="K87" s="2"/>
      <c r="L87" s="2"/>
      <c r="M87" s="2"/>
      <c r="N87" s="2"/>
      <c r="O87" s="2"/>
    </row>
    <row r="88">
      <c r="A88" s="73" t="s">
        <v>183</v>
      </c>
      <c r="B88" s="15" t="s">
        <v>37</v>
      </c>
      <c r="C88" s="15">
        <f>C52</f>
        <v>42224</v>
      </c>
      <c r="D88" s="15">
        <f>D52</f>
        <v>42957</v>
      </c>
      <c r="E88" s="15">
        <f>E52</f>
        <v>43943</v>
      </c>
      <c r="F88" s="15" t="s">
        <v>37</v>
      </c>
      <c r="G88" s="15">
        <f>G52</f>
        <v>44003</v>
      </c>
      <c r="H88" s="15">
        <f>H52</f>
        <v>45947</v>
      </c>
      <c r="I88" s="38">
        <f>I52</f>
        <v>47927.507608695654</v>
      </c>
      <c r="J88" s="2"/>
      <c r="K88" s="2"/>
      <c r="L88" s="2"/>
      <c r="M88" s="2"/>
      <c r="N88" s="2"/>
      <c r="O88" s="2"/>
    </row>
    <row r="89">
      <c r="A89" s="61" t="s">
        <v>184</v>
      </c>
      <c r="B89" s="12" t="s">
        <v>37</v>
      </c>
      <c r="C89" s="12">
        <f>C87/C82</f>
        <v>0.023986348450981805</v>
      </c>
      <c r="D89" s="12">
        <f>D87/D82</f>
        <v>0.025577870405456612</v>
      </c>
      <c r="E89" s="12">
        <f>E87/E82</f>
        <v>0.03133365924063598</v>
      </c>
      <c r="F89" s="12" t="s">
        <v>37</v>
      </c>
      <c r="G89" s="12">
        <f>G87/G82</f>
        <v>0.009717133559383747</v>
      </c>
      <c r="H89" s="12">
        <f>H87/H82</f>
        <v>0.05254187214508102</v>
      </c>
      <c r="I89" s="35">
        <f>I87/I82</f>
        <v>0.03335830205200696</v>
      </c>
      <c r="J89" s="2"/>
      <c r="K89" s="2"/>
      <c r="L89" s="2"/>
      <c r="M89" s="2"/>
      <c r="N89" s="2"/>
      <c r="O89" s="2"/>
    </row>
    <row r="90">
      <c r="A90" s="61" t="s">
        <v>185</v>
      </c>
      <c r="B90" s="69" t="s">
        <v>37</v>
      </c>
      <c r="C90" s="69">
        <f>-C84/C82/(C$7/365)</f>
        <v>0.036729079558411155</v>
      </c>
      <c r="D90" s="69">
        <f>-D84/D82/(D$7/365)</f>
        <v>0.03260431940623095</v>
      </c>
      <c r="E90" s="69">
        <f>-E84/E82/(E$7/365)</f>
        <v>0.03324861767733355</v>
      </c>
      <c r="F90" s="69" t="s">
        <v>37</v>
      </c>
      <c r="G90" s="69">
        <f>-G84/G82/(G$7/365)</f>
        <v>0.03387089841132578</v>
      </c>
      <c r="H90" s="69">
        <f>-H84/H82/(H$7/365)</f>
        <v>0.033544166444195986</v>
      </c>
      <c r="I90" s="67">
        <f>-I84/I82/(I$7/365)</f>
        <v>0.03341537889591126</v>
      </c>
      <c r="J90" s="2"/>
      <c r="K90" s="2"/>
      <c r="L90" s="2"/>
      <c r="M90" s="2"/>
      <c r="N90" s="2"/>
      <c r="O90" s="2"/>
    </row>
    <row r="91">
      <c r="A91" s="36" t="s">
        <v>186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>
      <c r="A92" s="62" t="s">
        <v>187</v>
      </c>
      <c r="B92" s="3" t="s">
        <v>37</v>
      </c>
      <c r="C92" s="3">
        <f>B77</f>
        <v>2710</v>
      </c>
      <c r="D92" s="3">
        <f>C77</f>
        <v>2534</v>
      </c>
      <c r="E92" s="3">
        <f>D77</f>
        <v>2465</v>
      </c>
      <c r="F92" s="3" t="s">
        <v>37</v>
      </c>
      <c r="G92" s="3">
        <f>E77</f>
        <v>2527</v>
      </c>
      <c r="H92" s="3">
        <f>G77</f>
        <v>2519</v>
      </c>
      <c r="I92" s="46">
        <f>H77</f>
        <v>2483</v>
      </c>
      <c r="J92" s="2"/>
      <c r="K92" s="2"/>
      <c r="L92" s="2"/>
      <c r="M92" s="2"/>
      <c r="N92" s="2"/>
      <c r="O92" s="2"/>
    </row>
    <row r="93">
      <c r="A93" s="79" t="s">
        <v>188</v>
      </c>
      <c r="B93" s="3" t="s">
        <v>37</v>
      </c>
      <c r="C93" s="3">
        <f>C62-B62</f>
        <v>-177</v>
      </c>
      <c r="D93" s="3">
        <f>D62-C62</f>
        <v>-69</v>
      </c>
      <c r="E93" s="3">
        <f>E62-D62</f>
        <v>62</v>
      </c>
      <c r="F93" s="3" t="s">
        <v>37</v>
      </c>
      <c r="G93" s="3">
        <f>G62-E62</f>
        <v>-7</v>
      </c>
      <c r="H93" s="3">
        <f>H62-G62</f>
        <v>-35</v>
      </c>
      <c r="I93" s="46">
        <f>I62-H62</f>
        <v>0</v>
      </c>
      <c r="J93" s="2"/>
      <c r="K93" s="2"/>
      <c r="L93" s="2"/>
      <c r="M93" s="2"/>
      <c r="N93" s="2"/>
      <c r="O93" s="2"/>
    </row>
    <row r="94">
      <c r="A94" s="79" t="s">
        <v>189</v>
      </c>
      <c r="B94" s="3" t="s">
        <v>37</v>
      </c>
      <c r="C94" s="3">
        <f>C66-B66</f>
        <v>0</v>
      </c>
      <c r="D94" s="3">
        <f>D66-C66</f>
        <v>-1</v>
      </c>
      <c r="E94" s="3">
        <f>E66-D66</f>
        <v>1</v>
      </c>
      <c r="F94" s="3" t="s">
        <v>37</v>
      </c>
      <c r="G94" s="3">
        <f>G66-E66</f>
        <v>0</v>
      </c>
      <c r="H94" s="3">
        <f>H66-G66</f>
        <v>-1</v>
      </c>
      <c r="I94" s="46">
        <f>I66-H66</f>
        <v>0</v>
      </c>
      <c r="J94" s="2"/>
      <c r="K94" s="2"/>
      <c r="L94" s="2"/>
      <c r="M94" s="2"/>
      <c r="N94" s="2"/>
      <c r="O94" s="2"/>
    </row>
    <row r="95">
      <c r="A95" s="79" t="s">
        <v>190</v>
      </c>
      <c r="B95" s="3" t="s">
        <v>37</v>
      </c>
      <c r="C95" s="3">
        <f>C69-B69</f>
        <v>1</v>
      </c>
      <c r="D95" s="3">
        <f>D69-C69</f>
        <v>1</v>
      </c>
      <c r="E95" s="3">
        <f>E69-D69</f>
        <v>-1</v>
      </c>
      <c r="F95" s="3" t="s">
        <v>37</v>
      </c>
      <c r="G95" s="3">
        <f>G69-E69</f>
        <v>-1</v>
      </c>
      <c r="H95" s="3">
        <f>H69-G69</f>
        <v>0</v>
      </c>
      <c r="I95" s="46">
        <f>I69-H69</f>
        <v>0</v>
      </c>
      <c r="J95" s="2"/>
      <c r="K95" s="2"/>
      <c r="L95" s="2"/>
      <c r="M95" s="2"/>
      <c r="N95" s="2"/>
      <c r="O95" s="2"/>
    </row>
    <row r="96">
      <c r="A96" s="79" t="s">
        <v>191</v>
      </c>
      <c r="B96" s="3" t="s">
        <v>37</v>
      </c>
      <c r="C96" s="3">
        <f>C73-B73</f>
        <v>0</v>
      </c>
      <c r="D96" s="3">
        <f>D73-C73</f>
        <v>0</v>
      </c>
      <c r="E96" s="3">
        <f>E73-D73</f>
        <v>0</v>
      </c>
      <c r="F96" s="3" t="s">
        <v>37</v>
      </c>
      <c r="G96" s="3">
        <f>G73-E73</f>
        <v>0</v>
      </c>
      <c r="H96" s="3">
        <f>H73-G73</f>
        <v>0</v>
      </c>
      <c r="I96" s="46">
        <f>I73-H73</f>
        <v>0</v>
      </c>
      <c r="J96" s="2"/>
      <c r="K96" s="2"/>
      <c r="L96" s="2"/>
      <c r="M96" s="2"/>
      <c r="N96" s="2"/>
      <c r="O96" s="2"/>
    </row>
    <row r="97">
      <c r="A97" s="73" t="s">
        <v>192</v>
      </c>
      <c r="B97" s="15" t="s">
        <v>37</v>
      </c>
      <c r="C97" s="15">
        <f>C93+C94+C95+C96</f>
        <v>-176</v>
      </c>
      <c r="D97" s="15">
        <f>D93+D94+D95+D96</f>
        <v>-69</v>
      </c>
      <c r="E97" s="15">
        <f>E93+E94+E95+E96</f>
        <v>62</v>
      </c>
      <c r="F97" s="15" t="s">
        <v>37</v>
      </c>
      <c r="G97" s="15">
        <f>G93+G94+G95+G96</f>
        <v>-8</v>
      </c>
      <c r="H97" s="15">
        <f>H93+H94+H95+H96</f>
        <v>-36</v>
      </c>
      <c r="I97" s="38">
        <f>I93+I94+I95+I96</f>
        <v>0</v>
      </c>
      <c r="J97" s="2"/>
      <c r="K97" s="2"/>
      <c r="L97" s="2"/>
      <c r="M97" s="2"/>
      <c r="N97" s="2"/>
      <c r="O97" s="2"/>
    </row>
    <row r="98">
      <c r="A98" s="73" t="s">
        <v>193</v>
      </c>
      <c r="B98" s="15" t="s">
        <v>37</v>
      </c>
      <c r="C98" s="15">
        <f>C92+C97</f>
        <v>2534</v>
      </c>
      <c r="D98" s="15">
        <f>D92+D97</f>
        <v>2465</v>
      </c>
      <c r="E98" s="15">
        <f>E92+E97</f>
        <v>2527</v>
      </c>
      <c r="F98" s="15" t="s">
        <v>37</v>
      </c>
      <c r="G98" s="15">
        <f>G92+G97</f>
        <v>2519</v>
      </c>
      <c r="H98" s="15">
        <f>H92+H97</f>
        <v>2483</v>
      </c>
      <c r="I98" s="38">
        <f>I92+I97</f>
        <v>2483</v>
      </c>
      <c r="J98" s="2"/>
      <c r="K98" s="2"/>
      <c r="L98" s="2"/>
      <c r="M98" s="2"/>
      <c r="N98" s="2"/>
      <c r="O98" s="2"/>
    </row>
    <row r="99">
      <c r="A99" s="62" t="s">
        <v>194</v>
      </c>
      <c r="B99" s="3" t="s">
        <v>37</v>
      </c>
      <c r="C99" s="3">
        <f>(C92+C98)/2</f>
        <v>2622</v>
      </c>
      <c r="D99" s="3">
        <f>(D92+D98)/2</f>
        <v>2499.5</v>
      </c>
      <c r="E99" s="3">
        <f>(E92+E98)/2</f>
        <v>2496</v>
      </c>
      <c r="F99" s="3" t="s">
        <v>37</v>
      </c>
      <c r="G99" s="3">
        <f>(G92+G98)/2</f>
        <v>2523</v>
      </c>
      <c r="H99" s="3">
        <f>(H92+H98)/2</f>
        <v>2501</v>
      </c>
      <c r="I99" s="46">
        <f>(I92+I98)/2</f>
        <v>2483</v>
      </c>
      <c r="J99" s="2"/>
      <c r="K99" s="2"/>
      <c r="L99" s="2"/>
      <c r="M99" s="2"/>
      <c r="N99" s="2"/>
      <c r="O99" s="2"/>
    </row>
    <row r="100">
      <c r="A100" s="61" t="s">
        <v>195</v>
      </c>
      <c r="B100" s="12" t="s">
        <v>37</v>
      </c>
      <c r="C100" s="12">
        <f>C97/C92</f>
        <v>-0.06494464944649446</v>
      </c>
      <c r="D100" s="12">
        <f>D97/D92</f>
        <v>-0.02722967640094712</v>
      </c>
      <c r="E100" s="12">
        <f>E97/E92</f>
        <v>0.02515212981744422</v>
      </c>
      <c r="F100" s="12" t="s">
        <v>37</v>
      </c>
      <c r="G100" s="12">
        <f>G97/G92</f>
        <v>-0.0031658092599920855</v>
      </c>
      <c r="H100" s="12">
        <f>H97/H92</f>
        <v>-0.014291385470424772</v>
      </c>
      <c r="I100" s="35">
        <f>I97/I92</f>
        <v>0</v>
      </c>
      <c r="J100" s="2"/>
      <c r="K100" s="2"/>
      <c r="L100" s="2"/>
      <c r="M100" s="2"/>
      <c r="N100" s="2"/>
      <c r="O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>
      <c r="A102" s="16" t="s">
        <v>197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>
      <c r="A103" s="26" t="s">
        <v>198</v>
      </c>
      <c r="B103" s="58">
        <v>0.0722</v>
      </c>
      <c r="C103" s="58">
        <v>0.0693</v>
      </c>
      <c r="D103" s="58">
        <v>0.0721</v>
      </c>
      <c r="E103" s="58">
        <v>0.0717</v>
      </c>
      <c r="F103" s="69">
        <f>F106/F59/(F$7/365)</f>
        <v>0.07134540934144341</v>
      </c>
      <c r="G103" s="58">
        <v>0.0732</v>
      </c>
      <c r="H103" s="58">
        <v>0.0676</v>
      </c>
      <c r="I103" s="75">
        <v>0.07</v>
      </c>
      <c r="J103" s="6" t="s">
        <v>345</v>
      </c>
      <c r="K103" s="2"/>
      <c r="L103" s="2"/>
      <c r="M103" s="2"/>
      <c r="N103" s="2"/>
      <c r="O103" s="2"/>
    </row>
    <row r="104">
      <c r="A104" s="19" t="s">
        <v>144</v>
      </c>
      <c r="B104" s="5" t="s">
        <v>37</v>
      </c>
      <c r="C104" s="5">
        <f>IF(AND(ISNUMBER(C103),ISNUMBER(B103)),(C103-B103)*10000,"n/a")</f>
        <v>-28.999999999999996</v>
      </c>
      <c r="D104" s="5">
        <f>IF(AND(ISNUMBER(D103),ISNUMBER(C103)),(D103-C103)*10000,"n/a")</f>
        <v>27.999999999999968</v>
      </c>
      <c r="E104" s="5">
        <f>IF(AND(ISNUMBER(E103),ISNUMBER(D103)),(E103-D103)*10000,"n/a")</f>
        <v>-3.999999999999976</v>
      </c>
      <c r="F104" s="5" t="s">
        <v>37</v>
      </c>
      <c r="G104" s="5">
        <f>IF(AND(ISNUMBER(G103),ISNUMBER(E103)),(G103-E103)*10000,"n/a")</f>
        <v>15.000000000000014</v>
      </c>
      <c r="H104" s="5">
        <f>IF(AND(ISNUMBER(H103),ISNUMBER(G103)),(H103-G103)*10000,"n/a")</f>
        <v>-56.00000000000008</v>
      </c>
      <c r="I104" s="45">
        <f>IF(AND(ISNUMBER(I103),ISNUMBER(H103)),(I103-H103)*10000,"n/a")</f>
        <v>24.00000000000013</v>
      </c>
      <c r="J104" s="2"/>
      <c r="K104" s="2"/>
      <c r="L104" s="2"/>
      <c r="M104" s="2"/>
      <c r="N104" s="2"/>
      <c r="O104" s="2"/>
    </row>
    <row r="105">
      <c r="A105" s="19" t="s">
        <v>145</v>
      </c>
      <c r="B105" s="5" t="s">
        <v>37</v>
      </c>
      <c r="C105" s="5" t="s">
        <v>37</v>
      </c>
      <c r="D105" s="5" t="s">
        <v>37</v>
      </c>
      <c r="E105" s="5" t="s">
        <v>37</v>
      </c>
      <c r="F105" s="5" t="s">
        <v>37</v>
      </c>
      <c r="G105" s="5">
        <f>IF(AND(ISNUMBER(G103),ISNUMBER(B103)),(G103-B103)*10000,"n/a")</f>
        <v>10.000000000000009</v>
      </c>
      <c r="H105" s="5">
        <f>IF(AND(ISNUMBER(H103),ISNUMBER(C103)),(H103-C103)*10000,"n/a")</f>
        <v>-17.00000000000007</v>
      </c>
      <c r="I105" s="45">
        <f>IF(AND(ISNUMBER(I103),ISNUMBER(D103)),(I103-D103)*10000,"n/a")</f>
        <v>-20.999999999999908</v>
      </c>
      <c r="J105" s="2"/>
      <c r="K105" s="2"/>
      <c r="L105" s="2"/>
      <c r="M105" s="2"/>
      <c r="N105" s="2"/>
      <c r="O105" s="2"/>
    </row>
    <row r="106">
      <c r="A106" s="16" t="s">
        <v>121</v>
      </c>
      <c r="B106" s="20">
        <v>742</v>
      </c>
      <c r="C106" s="20">
        <v>730</v>
      </c>
      <c r="D106" s="20">
        <v>781</v>
      </c>
      <c r="E106" s="20">
        <v>794</v>
      </c>
      <c r="F106" s="9">
        <f>SUM(B106:E106)</f>
        <v>3047</v>
      </c>
      <c r="G106" s="20">
        <v>794</v>
      </c>
      <c r="H106" s="20">
        <v>774</v>
      </c>
      <c r="I106" s="31">
        <f>I59*I103*(I$7/365)</f>
        <v>845.74857260274</v>
      </c>
      <c r="J106" s="2"/>
      <c r="K106" s="2"/>
      <c r="L106" s="2"/>
      <c r="M106" s="2"/>
      <c r="N106" s="2"/>
      <c r="O106" s="2"/>
    </row>
    <row r="107">
      <c r="A107" s="19" t="s">
        <v>97</v>
      </c>
      <c r="B107" s="12" t="s">
        <v>37</v>
      </c>
      <c r="C107" s="12" t="s">
        <v>37</v>
      </c>
      <c r="D107" s="12" t="s">
        <v>37</v>
      </c>
      <c r="E107" s="12" t="s">
        <v>37</v>
      </c>
      <c r="F107" s="12" t="s">
        <v>37</v>
      </c>
      <c r="G107" s="12">
        <f>G106/B106-1</f>
        <v>0.07008086253369261</v>
      </c>
      <c r="H107" s="12">
        <f>H106/C106-1</f>
        <v>0.0602739726027397</v>
      </c>
      <c r="I107" s="35">
        <f>I106/D106-1</f>
        <v>0.08290470243628678</v>
      </c>
      <c r="J107" s="2"/>
      <c r="K107" s="2"/>
      <c r="L107" s="2"/>
      <c r="M107" s="2"/>
      <c r="N107" s="2"/>
      <c r="O107" s="2"/>
    </row>
    <row r="108">
      <c r="A108" s="19" t="s">
        <v>98</v>
      </c>
      <c r="B108" s="12" t="s">
        <v>37</v>
      </c>
      <c r="C108" s="12" t="s">
        <v>37</v>
      </c>
      <c r="D108" s="12" t="s">
        <v>37</v>
      </c>
      <c r="E108" s="12" t="s">
        <v>37</v>
      </c>
      <c r="F108" s="12" t="s">
        <v>37</v>
      </c>
      <c r="G108" s="12">
        <f>G168/B106</f>
        <v>0</v>
      </c>
      <c r="H108" s="12">
        <f>H168/C106</f>
        <v>0</v>
      </c>
      <c r="I108" s="35">
        <f>I168/D106</f>
        <v>0.040973111395646605</v>
      </c>
      <c r="J108" s="6" t="s">
        <v>99</v>
      </c>
      <c r="K108" s="2"/>
      <c r="L108" s="2"/>
      <c r="M108" s="2"/>
      <c r="N108" s="2"/>
      <c r="O108" s="2"/>
    </row>
    <row r="109">
      <c r="A109" s="19" t="s">
        <v>100</v>
      </c>
      <c r="B109" s="12" t="s">
        <v>37</v>
      </c>
      <c r="C109" s="12" t="s">
        <v>37</v>
      </c>
      <c r="D109" s="12" t="s">
        <v>37</v>
      </c>
      <c r="E109" s="12" t="s">
        <v>37</v>
      </c>
      <c r="F109" s="12" t="s">
        <v>37</v>
      </c>
      <c r="G109" s="12" t="s">
        <v>37</v>
      </c>
      <c r="H109" s="12" t="s">
        <v>37</v>
      </c>
      <c r="I109" s="35" t="s">
        <v>37</v>
      </c>
      <c r="J109" s="6" t="s">
        <v>101</v>
      </c>
      <c r="K109" s="2"/>
      <c r="L109" s="2"/>
      <c r="M109" s="2"/>
      <c r="N109" s="2"/>
      <c r="O109" s="2"/>
    </row>
    <row r="110">
      <c r="A110" s="19" t="s">
        <v>102</v>
      </c>
      <c r="B110" s="12" t="s">
        <v>37</v>
      </c>
      <c r="C110" s="12" t="s">
        <v>37</v>
      </c>
      <c r="D110" s="12" t="s">
        <v>37</v>
      </c>
      <c r="E110" s="12" t="s">
        <v>37</v>
      </c>
      <c r="F110" s="12" t="s">
        <v>37</v>
      </c>
      <c r="G110" s="12" t="str">
        <f>IF(ISNUMBER(G109),(1+G107)/((1+G108)*(1+G109))-1,"n/a")</f>
        <v>n/a</v>
      </c>
      <c r="H110" s="12" t="str">
        <f>IF(ISNUMBER(H109),(1+H107)/((1+H108)*(1+H109))-1,"n/a")</f>
        <v>n/a</v>
      </c>
      <c r="I110" s="35" t="str">
        <f>IF(ISNUMBER(I109),(1+I107)/((1+I108)*(1+I109))-1,"n/a")</f>
        <v>n/a</v>
      </c>
      <c r="J110" s="6" t="s">
        <v>103</v>
      </c>
      <c r="K110" s="2"/>
      <c r="L110" s="2"/>
      <c r="M110" s="2"/>
      <c r="N110" s="2"/>
      <c r="O110" s="2"/>
    </row>
    <row r="111">
      <c r="A111" s="19" t="s">
        <v>104</v>
      </c>
      <c r="B111" s="12" t="s">
        <v>37</v>
      </c>
      <c r="C111" s="12" t="s">
        <v>37</v>
      </c>
      <c r="D111" s="12" t="s">
        <v>37</v>
      </c>
      <c r="E111" s="12" t="s">
        <v>37</v>
      </c>
      <c r="F111" s="12" t="s">
        <v>37</v>
      </c>
      <c r="G111" s="12">
        <f>IF(ISNUMBER(G108),G107-G108,"n/a")</f>
        <v>0.07008086253369261</v>
      </c>
      <c r="H111" s="12">
        <f>IF(ISNUMBER(H108),H107-H108,"n/a")</f>
        <v>0.0602739726027397</v>
      </c>
      <c r="I111" s="35">
        <f>IF(ISNUMBER(I108),I107-I108,"n/a")</f>
        <v>0.041931591040640176</v>
      </c>
      <c r="J111" s="2"/>
      <c r="K111" s="2"/>
      <c r="L111" s="2"/>
      <c r="M111" s="2"/>
      <c r="N111" s="2"/>
      <c r="O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>
      <c r="A113" s="16" t="s">
        <v>201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>
      <c r="A114" s="36" t="s">
        <v>346</v>
      </c>
      <c r="B114" s="8">
        <v>249</v>
      </c>
      <c r="C114" s="8">
        <v>278</v>
      </c>
      <c r="D114" s="8">
        <v>279</v>
      </c>
      <c r="E114" s="8">
        <v>291</v>
      </c>
      <c r="F114" s="3">
        <f>SUM(B114:E114)</f>
        <v>1097</v>
      </c>
      <c r="G114" s="8">
        <v>263</v>
      </c>
      <c r="H114" s="8">
        <v>295</v>
      </c>
      <c r="I114" s="46">
        <f>I10*I115+I169</f>
        <v>308.005856</v>
      </c>
      <c r="J114" s="6" t="s">
        <v>347</v>
      </c>
      <c r="K114" s="2"/>
      <c r="L114" s="2"/>
      <c r="M114" s="2"/>
      <c r="N114" s="2"/>
      <c r="O114" s="2"/>
    </row>
    <row r="115">
      <c r="A115" s="14" t="s">
        <v>348</v>
      </c>
      <c r="B115" s="69">
        <f>B114/B10</f>
        <v>0.007122425629290618</v>
      </c>
      <c r="C115" s="69">
        <f>C114/C10</f>
        <v>0.007290464701562992</v>
      </c>
      <c r="D115" s="69">
        <f>D114/D10</f>
        <v>0.007231538840361837</v>
      </c>
      <c r="E115" s="69">
        <f>E114/E10</f>
        <v>0.007339033063478853</v>
      </c>
      <c r="F115" s="69">
        <f>F114/F10</f>
        <v>0.007249345774629272</v>
      </c>
      <c r="G115" s="69">
        <f>G114/G10</f>
        <v>0.007108300224330387</v>
      </c>
      <c r="H115" s="69">
        <f>H114/H10</f>
        <v>0.0071951219512195125</v>
      </c>
      <c r="I115" s="75">
        <v>0.0072</v>
      </c>
      <c r="J115" s="6" t="s">
        <v>138</v>
      </c>
      <c r="K115" s="2"/>
      <c r="L115" s="2"/>
      <c r="M115" s="2"/>
      <c r="N115" s="2"/>
      <c r="O115" s="2"/>
    </row>
    <row r="116">
      <c r="A116" s="61" t="s">
        <v>144</v>
      </c>
      <c r="B116" s="5" t="s">
        <v>37</v>
      </c>
      <c r="C116" s="5">
        <f>IF(AND(ISNUMBER(C115),ISNUMBER(B115)),(C115-B115)*10000,"n/a")</f>
        <v>1.680390722723739</v>
      </c>
      <c r="D116" s="5">
        <f>IF(AND(ISNUMBER(D115),ISNUMBER(C115)),(D115-C115)*10000,"n/a")</f>
        <v>-0.5892586120115513</v>
      </c>
      <c r="E116" s="5">
        <f>IF(AND(ISNUMBER(E115),ISNUMBER(D115)),(E115-D115)*10000,"n/a")</f>
        <v>1.0749422311701669</v>
      </c>
      <c r="F116" s="5" t="s">
        <v>37</v>
      </c>
      <c r="G116" s="5">
        <f>IF(AND(ISNUMBER(G115),ISNUMBER(E115)),(G115-E115)*10000,"n/a")</f>
        <v>-2.30732839148466</v>
      </c>
      <c r="H116" s="5">
        <f>IF(AND(ISNUMBER(H115),ISNUMBER(G115)),(H115-G115)*10000,"n/a")</f>
        <v>0.8682172688912523</v>
      </c>
      <c r="I116" s="45">
        <f>IF(AND(ISNUMBER(I115),ISNUMBER(H115)),(I115-H115)*10000,"n/a")</f>
        <v>0.04878048780487289</v>
      </c>
      <c r="J116" s="2"/>
      <c r="K116" s="2"/>
      <c r="L116" s="2"/>
      <c r="M116" s="2"/>
      <c r="N116" s="2"/>
      <c r="O116" s="2"/>
    </row>
    <row r="117">
      <c r="A117" s="61" t="s">
        <v>145</v>
      </c>
      <c r="B117" s="5" t="s">
        <v>37</v>
      </c>
      <c r="C117" s="5" t="s">
        <v>37</v>
      </c>
      <c r="D117" s="5" t="s">
        <v>37</v>
      </c>
      <c r="E117" s="5" t="s">
        <v>37</v>
      </c>
      <c r="F117" s="5" t="s">
        <v>37</v>
      </c>
      <c r="G117" s="5">
        <f>IF(AND(ISNUMBER(G115),ISNUMBER(B115)),(G115-B115)*10000,"n/a")</f>
        <v>-0.14125404960230528</v>
      </c>
      <c r="H117" s="5">
        <f>IF(AND(ISNUMBER(H115),ISNUMBER(C115)),(H115-C115)*10000,"n/a")</f>
        <v>-0.9534275034347919</v>
      </c>
      <c r="I117" s="45">
        <f>IF(AND(ISNUMBER(I115),ISNUMBER(D115)),(I115-D115)*10000,"n/a")</f>
        <v>-0.3153884036183677</v>
      </c>
      <c r="J117" s="2"/>
      <c r="K117" s="2"/>
      <c r="L117" s="2"/>
      <c r="M117" s="2"/>
      <c r="N117" s="2"/>
      <c r="O117" s="2"/>
    </row>
    <row r="118">
      <c r="A118" s="14" t="s">
        <v>122</v>
      </c>
      <c r="B118" s="12" t="s">
        <v>37</v>
      </c>
      <c r="C118" s="12" t="s">
        <v>37</v>
      </c>
      <c r="D118" s="12" t="s">
        <v>37</v>
      </c>
      <c r="E118" s="12" t="s">
        <v>37</v>
      </c>
      <c r="F118" s="12" t="s">
        <v>37</v>
      </c>
      <c r="G118" s="12">
        <f>G114/B114-1</f>
        <v>0.05622489959839361</v>
      </c>
      <c r="H118" s="12">
        <f>H114/C114-1</f>
        <v>0.06115107913669071</v>
      </c>
      <c r="I118" s="35">
        <f>I114/D114-1</f>
        <v>0.10396364157706084</v>
      </c>
      <c r="J118" s="2"/>
      <c r="K118" s="2"/>
      <c r="L118" s="2"/>
      <c r="M118" s="2"/>
      <c r="N118" s="2"/>
      <c r="O118" s="2"/>
    </row>
    <row r="119">
      <c r="A119" s="14" t="s">
        <v>110</v>
      </c>
      <c r="B119" s="1" t="s">
        <v>37</v>
      </c>
      <c r="C119" s="1">
        <f>IF(AND(ISNUMBER(C114),ISNUMBER(B114)),C114-B114,"n/a")</f>
        <v>29</v>
      </c>
      <c r="D119" s="1">
        <f>IF(AND(ISNUMBER(D114),ISNUMBER(C114)),D114-C114,"n/a")</f>
        <v>1</v>
      </c>
      <c r="E119" s="1">
        <f>IF(AND(ISNUMBER(E114),ISNUMBER(D114)),E114-D114,"n/a")</f>
        <v>12</v>
      </c>
      <c r="F119" s="1" t="s">
        <v>37</v>
      </c>
      <c r="G119" s="1">
        <f>IF(AND(ISNUMBER(G114),ISNUMBER(E114)),G114-E114,"n/a")</f>
        <v>-28</v>
      </c>
      <c r="H119" s="1">
        <f>IF(AND(ISNUMBER(H114),ISNUMBER(G114)),H114-G114,"n/a")</f>
        <v>32</v>
      </c>
      <c r="I119" s="13">
        <f>IF(AND(ISNUMBER(I114),ISNUMBER(H114)),I114-H114,"n/a")</f>
        <v>13.005855999999994</v>
      </c>
      <c r="J119" s="2"/>
      <c r="K119" s="2"/>
      <c r="L119" s="2"/>
      <c r="M119" s="2"/>
      <c r="N119" s="2"/>
      <c r="O119" s="2"/>
    </row>
    <row r="120">
      <c r="A120" s="14" t="s">
        <v>98</v>
      </c>
      <c r="B120" s="12" t="s">
        <v>37</v>
      </c>
      <c r="C120" s="12" t="s">
        <v>37</v>
      </c>
      <c r="D120" s="12" t="s">
        <v>37</v>
      </c>
      <c r="E120" s="12" t="s">
        <v>37</v>
      </c>
      <c r="F120" s="12" t="s">
        <v>37</v>
      </c>
      <c r="G120" s="12">
        <f>G169/B114</f>
        <v>0</v>
      </c>
      <c r="H120" s="12">
        <f>H169/C114</f>
        <v>0</v>
      </c>
      <c r="I120" s="35">
        <f>I169/D114</f>
        <v>0.02867383512544803</v>
      </c>
      <c r="J120" s="6" t="s">
        <v>99</v>
      </c>
      <c r="K120" s="2"/>
      <c r="L120" s="2"/>
      <c r="M120" s="2"/>
      <c r="N120" s="2"/>
      <c r="O120" s="2"/>
    </row>
    <row r="121">
      <c r="A121" s="14" t="s">
        <v>100</v>
      </c>
      <c r="B121" s="12" t="s">
        <v>37</v>
      </c>
      <c r="C121" s="12" t="s">
        <v>37</v>
      </c>
      <c r="D121" s="12" t="s">
        <v>37</v>
      </c>
      <c r="E121" s="12" t="s">
        <v>37</v>
      </c>
      <c r="F121" s="12" t="s">
        <v>37</v>
      </c>
      <c r="G121" s="12" t="s">
        <v>37</v>
      </c>
      <c r="H121" s="12" t="s">
        <v>37</v>
      </c>
      <c r="I121" s="35" t="s">
        <v>37</v>
      </c>
      <c r="J121" s="6" t="s">
        <v>101</v>
      </c>
      <c r="K121" s="2"/>
      <c r="L121" s="2"/>
      <c r="M121" s="2"/>
      <c r="N121" s="2"/>
      <c r="O121" s="2"/>
    </row>
    <row r="122">
      <c r="A122" s="14" t="s">
        <v>102</v>
      </c>
      <c r="B122" s="12" t="s">
        <v>37</v>
      </c>
      <c r="C122" s="12" t="s">
        <v>37</v>
      </c>
      <c r="D122" s="12" t="s">
        <v>37</v>
      </c>
      <c r="E122" s="12" t="s">
        <v>37</v>
      </c>
      <c r="F122" s="12" t="s">
        <v>37</v>
      </c>
      <c r="G122" s="12" t="str">
        <f>IF(ISNUMBER(G121),(1+G118)/((1+G120)*(1+G121))-1,"n/a")</f>
        <v>n/a</v>
      </c>
      <c r="H122" s="12" t="str">
        <f>IF(ISNUMBER(H121),(1+H118)/((1+H120)*(1+H121))-1,"n/a")</f>
        <v>n/a</v>
      </c>
      <c r="I122" s="35" t="str">
        <f>IF(ISNUMBER(I121),(1+I118)/((1+I120)*(1+I121))-1,"n/a")</f>
        <v>n/a</v>
      </c>
      <c r="J122" s="6" t="s">
        <v>103</v>
      </c>
      <c r="K122" s="2"/>
      <c r="L122" s="2"/>
      <c r="M122" s="2"/>
      <c r="N122" s="2"/>
      <c r="O122" s="2"/>
    </row>
    <row r="123">
      <c r="A123" s="14" t="s">
        <v>104</v>
      </c>
      <c r="B123" s="12" t="s">
        <v>37</v>
      </c>
      <c r="C123" s="12" t="s">
        <v>37</v>
      </c>
      <c r="D123" s="12" t="s">
        <v>37</v>
      </c>
      <c r="E123" s="12" t="s">
        <v>37</v>
      </c>
      <c r="F123" s="12" t="s">
        <v>37</v>
      </c>
      <c r="G123" s="12">
        <f>IF(ISNUMBER(G120),G118-G120,"n/a")</f>
        <v>0.05622489959839361</v>
      </c>
      <c r="H123" s="12">
        <f>IF(ISNUMBER(H120),H118-H120,"n/a")</f>
        <v>0.06115107913669071</v>
      </c>
      <c r="I123" s="35">
        <f>IF(ISNUMBER(I120),I118-I120,"n/a")</f>
        <v>0.07528980645161282</v>
      </c>
      <c r="J123" s="2"/>
      <c r="K123" s="2"/>
      <c r="L123" s="2"/>
      <c r="M123" s="2"/>
      <c r="N123" s="2"/>
      <c r="O123" s="2"/>
    </row>
    <row r="124">
      <c r="A124" s="36" t="s">
        <v>349</v>
      </c>
      <c r="B124" s="8">
        <v>213</v>
      </c>
      <c r="C124" s="8">
        <v>221</v>
      </c>
      <c r="D124" s="8">
        <v>220</v>
      </c>
      <c r="E124" s="8">
        <v>217</v>
      </c>
      <c r="F124" s="3">
        <f>SUM(B124:E124)</f>
        <v>871</v>
      </c>
      <c r="G124" s="8">
        <v>217</v>
      </c>
      <c r="H124" s="8">
        <v>247</v>
      </c>
      <c r="I124" s="46">
        <f>(I19+I16)*I125</f>
        <v>245.34386999999998</v>
      </c>
      <c r="J124" s="2"/>
      <c r="K124" s="2"/>
      <c r="L124" s="2"/>
      <c r="M124" s="2"/>
      <c r="N124" s="2"/>
      <c r="O124" s="2"/>
    </row>
    <row r="125">
      <c r="A125" s="14" t="s">
        <v>350</v>
      </c>
      <c r="B125" s="69">
        <f>B124/(B19+B16)</f>
        <v>0.009204442331792058</v>
      </c>
      <c r="C125" s="69">
        <f>C124/(C19+C16)</f>
        <v>0.009257319984920203</v>
      </c>
      <c r="D125" s="69">
        <f>D124/(D19+D16)</f>
        <v>0.008827896151839813</v>
      </c>
      <c r="E125" s="69">
        <f>E124/(E19+E16)</f>
        <v>0.009236793938620015</v>
      </c>
      <c r="F125" s="69">
        <f>F124/(F19+F16)</f>
        <v>0.009127300163474033</v>
      </c>
      <c r="G125" s="69">
        <f>G124/(G19+G16)</f>
        <v>0.008818270481144343</v>
      </c>
      <c r="H125" s="69">
        <f>H124/(H19+H16)</f>
        <v>0.009084890392820361</v>
      </c>
      <c r="I125" s="75">
        <v>0.009</v>
      </c>
      <c r="J125" s="6" t="s">
        <v>138</v>
      </c>
      <c r="K125" s="2"/>
      <c r="L125" s="2"/>
      <c r="M125" s="2"/>
      <c r="N125" s="2"/>
      <c r="O125" s="2"/>
    </row>
    <row r="126">
      <c r="A126" s="61" t="s">
        <v>144</v>
      </c>
      <c r="B126" s="5" t="s">
        <v>37</v>
      </c>
      <c r="C126" s="5">
        <f>IF(AND(ISNUMBER(C125),ISNUMBER(B125)),(C125-B125)*10000,"n/a")</f>
        <v>0.528776531281451</v>
      </c>
      <c r="D126" s="5">
        <f>IF(AND(ISNUMBER(D125),ISNUMBER(C125)),(D125-C125)*10000,"n/a")</f>
        <v>-4.294238330803894</v>
      </c>
      <c r="E126" s="5">
        <f>IF(AND(ISNUMBER(E125),ISNUMBER(D125)),(E125-D125)*10000,"n/a")</f>
        <v>4.0889778678020186</v>
      </c>
      <c r="F126" s="5" t="s">
        <v>37</v>
      </c>
      <c r="G126" s="5">
        <f>IF(AND(ISNUMBER(G125),ISNUMBER(E125)),(G125-E125)*10000,"n/a")</f>
        <v>-4.185234574756724</v>
      </c>
      <c r="H126" s="5">
        <f>IF(AND(ISNUMBER(H125),ISNUMBER(G125)),(H125-G125)*10000,"n/a")</f>
        <v>2.6661991167601857</v>
      </c>
      <c r="I126" s="45">
        <f>IF(AND(ISNUMBER(I125),ISNUMBER(H125)),(I125-H125)*10000,"n/a")</f>
        <v>-0.8489039282036197</v>
      </c>
      <c r="J126" s="2"/>
      <c r="K126" s="2"/>
      <c r="L126" s="2"/>
      <c r="M126" s="2"/>
      <c r="N126" s="2"/>
      <c r="O126" s="2"/>
    </row>
    <row r="127">
      <c r="A127" s="61" t="s">
        <v>145</v>
      </c>
      <c r="B127" s="5" t="s">
        <v>37</v>
      </c>
      <c r="C127" s="5" t="s">
        <v>37</v>
      </c>
      <c r="D127" s="5" t="s">
        <v>37</v>
      </c>
      <c r="E127" s="5" t="s">
        <v>37</v>
      </c>
      <c r="F127" s="5" t="s">
        <v>37</v>
      </c>
      <c r="G127" s="5">
        <f>IF(AND(ISNUMBER(G125),ISNUMBER(B125)),(G125-B125)*10000,"n/a")</f>
        <v>-3.8617185064771484</v>
      </c>
      <c r="H127" s="5">
        <f>IF(AND(ISNUMBER(H125),ISNUMBER(C125)),(H125-C125)*10000,"n/a")</f>
        <v>-1.7242959209984137</v>
      </c>
      <c r="I127" s="45">
        <f>IF(AND(ISNUMBER(I125),ISNUMBER(D125)),(I125-D125)*10000,"n/a")</f>
        <v>1.7210384816018602</v>
      </c>
      <c r="J127" s="2"/>
      <c r="K127" s="2"/>
      <c r="L127" s="2"/>
      <c r="M127" s="2"/>
      <c r="N127" s="2"/>
      <c r="O127" s="2"/>
    </row>
    <row r="128">
      <c r="A128" s="14" t="s">
        <v>122</v>
      </c>
      <c r="B128" s="12" t="s">
        <v>37</v>
      </c>
      <c r="C128" s="12" t="s">
        <v>37</v>
      </c>
      <c r="D128" s="12" t="s">
        <v>37</v>
      </c>
      <c r="E128" s="12" t="s">
        <v>37</v>
      </c>
      <c r="F128" s="12" t="s">
        <v>37</v>
      </c>
      <c r="G128" s="12">
        <f>G124/B124-1</f>
        <v>0.018779342723004744</v>
      </c>
      <c r="H128" s="12">
        <f>H124/C124-1</f>
        <v>0.11764705882352944</v>
      </c>
      <c r="I128" s="35">
        <f>I124/D124-1</f>
        <v>0.11519940909090898</v>
      </c>
      <c r="J128" s="2"/>
      <c r="K128" s="2"/>
      <c r="L128" s="2"/>
      <c r="M128" s="2"/>
      <c r="N128" s="2"/>
      <c r="O128" s="2"/>
    </row>
    <row r="129">
      <c r="A129" s="14" t="s">
        <v>110</v>
      </c>
      <c r="B129" s="1" t="s">
        <v>37</v>
      </c>
      <c r="C129" s="1">
        <f>IF(AND(ISNUMBER(C124),ISNUMBER(B124)),C124-B124,"n/a")</f>
        <v>8</v>
      </c>
      <c r="D129" s="1">
        <f>IF(AND(ISNUMBER(D124),ISNUMBER(C124)),D124-C124,"n/a")</f>
        <v>-1</v>
      </c>
      <c r="E129" s="1">
        <f>IF(AND(ISNUMBER(E124),ISNUMBER(D124)),E124-D124,"n/a")</f>
        <v>-3</v>
      </c>
      <c r="F129" s="1" t="s">
        <v>37</v>
      </c>
      <c r="G129" s="1">
        <f>IF(AND(ISNUMBER(G124),ISNUMBER(E124)),G124-E124,"n/a")</f>
        <v>0</v>
      </c>
      <c r="H129" s="1">
        <f>IF(AND(ISNUMBER(H124),ISNUMBER(G124)),H124-G124,"n/a")</f>
        <v>30</v>
      </c>
      <c r="I129" s="13">
        <f>IF(AND(ISNUMBER(I124),ISNUMBER(H124)),I124-H124,"n/a")</f>
        <v>-1.6561300000000188</v>
      </c>
      <c r="J129" s="2"/>
      <c r="K129" s="2"/>
      <c r="L129" s="2"/>
      <c r="M129" s="2"/>
      <c r="N129" s="2"/>
      <c r="O129" s="2"/>
    </row>
    <row r="130">
      <c r="A130" s="14" t="s">
        <v>98</v>
      </c>
      <c r="B130" s="12" t="s">
        <v>37</v>
      </c>
      <c r="C130" s="12" t="s">
        <v>37</v>
      </c>
      <c r="D130" s="12" t="s">
        <v>37</v>
      </c>
      <c r="E130" s="12" t="s">
        <v>37</v>
      </c>
      <c r="F130" s="12" t="s">
        <v>37</v>
      </c>
      <c r="G130" s="65">
        <v>0</v>
      </c>
      <c r="H130" s="65">
        <v>0</v>
      </c>
      <c r="I130" s="60">
        <v>0</v>
      </c>
      <c r="J130" s="6" t="s">
        <v>106</v>
      </c>
      <c r="K130" s="2"/>
      <c r="L130" s="2"/>
      <c r="M130" s="2"/>
      <c r="N130" s="2"/>
      <c r="O130" s="2"/>
    </row>
    <row r="131">
      <c r="A131" s="14" t="s">
        <v>100</v>
      </c>
      <c r="B131" s="12" t="s">
        <v>37</v>
      </c>
      <c r="C131" s="12" t="s">
        <v>37</v>
      </c>
      <c r="D131" s="12" t="s">
        <v>37</v>
      </c>
      <c r="E131" s="12" t="s">
        <v>37</v>
      </c>
      <c r="F131" s="12" t="s">
        <v>37</v>
      </c>
      <c r="G131" s="12" t="s">
        <v>37</v>
      </c>
      <c r="H131" s="12" t="s">
        <v>37</v>
      </c>
      <c r="I131" s="35" t="s">
        <v>37</v>
      </c>
      <c r="J131" s="6" t="s">
        <v>101</v>
      </c>
      <c r="K131" s="2"/>
      <c r="L131" s="2"/>
      <c r="M131" s="2"/>
      <c r="N131" s="2"/>
      <c r="O131" s="2"/>
    </row>
    <row r="132">
      <c r="A132" s="14" t="s">
        <v>102</v>
      </c>
      <c r="B132" s="12" t="s">
        <v>37</v>
      </c>
      <c r="C132" s="12" t="s">
        <v>37</v>
      </c>
      <c r="D132" s="12" t="s">
        <v>37</v>
      </c>
      <c r="E132" s="12" t="s">
        <v>37</v>
      </c>
      <c r="F132" s="12" t="s">
        <v>37</v>
      </c>
      <c r="G132" s="12" t="str">
        <f>IF(ISNUMBER(G131),(1+G128)/((1+G130)*(1+G131))-1,"n/a")</f>
        <v>n/a</v>
      </c>
      <c r="H132" s="12" t="str">
        <f>IF(ISNUMBER(H131),(1+H128)/((1+H130)*(1+H131))-1,"n/a")</f>
        <v>n/a</v>
      </c>
      <c r="I132" s="35" t="str">
        <f>IF(ISNUMBER(I131),(1+I128)/((1+I130)*(1+I131))-1,"n/a")</f>
        <v>n/a</v>
      </c>
      <c r="J132" s="6" t="s">
        <v>103</v>
      </c>
      <c r="K132" s="2"/>
      <c r="L132" s="2"/>
      <c r="M132" s="2"/>
      <c r="N132" s="2"/>
      <c r="O132" s="2"/>
    </row>
    <row r="133">
      <c r="A133" s="14" t="s">
        <v>104</v>
      </c>
      <c r="B133" s="12" t="s">
        <v>37</v>
      </c>
      <c r="C133" s="12" t="s">
        <v>37</v>
      </c>
      <c r="D133" s="12" t="s">
        <v>37</v>
      </c>
      <c r="E133" s="12" t="s">
        <v>37</v>
      </c>
      <c r="F133" s="12" t="s">
        <v>37</v>
      </c>
      <c r="G133" s="12">
        <f>IF(ISNUMBER(G130),G128-G130,"n/a")</f>
        <v>0.018779342723004744</v>
      </c>
      <c r="H133" s="12">
        <f>IF(ISNUMBER(H130),H128-H130,"n/a")</f>
        <v>0.11764705882352944</v>
      </c>
      <c r="I133" s="35">
        <f>IF(ISNUMBER(I130),I128-I130,"n/a")</f>
        <v>0.11519940909090898</v>
      </c>
      <c r="J133" s="2"/>
      <c r="K133" s="2"/>
      <c r="L133" s="2"/>
      <c r="M133" s="2"/>
      <c r="N133" s="2"/>
      <c r="O133" s="2"/>
    </row>
    <row r="134">
      <c r="A134" s="36" t="s">
        <v>351</v>
      </c>
      <c r="B134" s="8">
        <v>415</v>
      </c>
      <c r="C134" s="8">
        <v>474</v>
      </c>
      <c r="D134" s="8">
        <v>463</v>
      </c>
      <c r="E134" s="8">
        <v>440</v>
      </c>
      <c r="F134" s="3">
        <f>SUM(B134:E134)</f>
        <v>1792</v>
      </c>
      <c r="G134" s="8">
        <v>436</v>
      </c>
      <c r="H134" s="8">
        <v>485</v>
      </c>
      <c r="I134" s="46">
        <f>I22*I135</f>
        <v>463.1676</v>
      </c>
      <c r="J134" s="2"/>
      <c r="K134" s="2"/>
      <c r="L134" s="2"/>
      <c r="M134" s="2"/>
      <c r="N134" s="2"/>
      <c r="O134" s="2"/>
    </row>
    <row r="135">
      <c r="A135" s="14" t="s">
        <v>352</v>
      </c>
      <c r="B135" s="69">
        <f>B134/B22</f>
        <v>0.0028918853001637574</v>
      </c>
      <c r="C135" s="69">
        <f>C134/C22</f>
        <v>0.003041327404669785</v>
      </c>
      <c r="D135" s="69">
        <f>D134/D22</f>
        <v>0.0029389361432017266</v>
      </c>
      <c r="E135" s="69">
        <f>E134/E22</f>
        <v>0.0030314721931323377</v>
      </c>
      <c r="F135" s="69">
        <f>F134/F22</f>
        <v>0.0029765365207078576</v>
      </c>
      <c r="G135" s="69">
        <f>G134/G22</f>
        <v>0.003004969226633952</v>
      </c>
      <c r="H135" s="69">
        <f>H134/H22</f>
        <v>0.0031102902510036297</v>
      </c>
      <c r="I135" s="75">
        <v>0.00294</v>
      </c>
      <c r="J135" s="6" t="s">
        <v>138</v>
      </c>
      <c r="K135" s="2"/>
      <c r="L135" s="2"/>
      <c r="M135" s="2"/>
      <c r="N135" s="2"/>
      <c r="O135" s="2"/>
    </row>
    <row r="136">
      <c r="A136" s="61" t="s">
        <v>144</v>
      </c>
      <c r="B136" s="5" t="s">
        <v>37</v>
      </c>
      <c r="C136" s="5">
        <f>IF(AND(ISNUMBER(C135),ISNUMBER(B135)),(C135-B135)*10000,"n/a")</f>
        <v>1.494421045060276</v>
      </c>
      <c r="D136" s="5">
        <f>IF(AND(ISNUMBER(D135),ISNUMBER(C135)),(D135-C135)*10000,"n/a")</f>
        <v>-1.0239126146805844</v>
      </c>
      <c r="E136" s="5">
        <f>IF(AND(ISNUMBER(E135),ISNUMBER(D135)),(E135-D135)*10000,"n/a")</f>
        <v>0.9253604993061113</v>
      </c>
      <c r="F136" s="5" t="s">
        <v>37</v>
      </c>
      <c r="G136" s="5">
        <f>IF(AND(ISNUMBER(G135),ISNUMBER(E135)),(G135-E135)*10000,"n/a")</f>
        <v>-0.2650296649838553</v>
      </c>
      <c r="H136" s="5">
        <f>IF(AND(ISNUMBER(H135),ISNUMBER(G135)),(H135-G135)*10000,"n/a")</f>
        <v>1.0532102436967752</v>
      </c>
      <c r="I136" s="45">
        <f>IF(AND(ISNUMBER(I135),ISNUMBER(H135)),(I135-H135)*10000,"n/a")</f>
        <v>-1.702902510036298</v>
      </c>
      <c r="J136" s="2"/>
      <c r="K136" s="2"/>
      <c r="L136" s="2"/>
      <c r="M136" s="2"/>
      <c r="N136" s="2"/>
      <c r="O136" s="2"/>
    </row>
    <row r="137">
      <c r="A137" s="61" t="s">
        <v>145</v>
      </c>
      <c r="B137" s="5" t="s">
        <v>37</v>
      </c>
      <c r="C137" s="5" t="s">
        <v>37</v>
      </c>
      <c r="D137" s="5" t="s">
        <v>37</v>
      </c>
      <c r="E137" s="5" t="s">
        <v>37</v>
      </c>
      <c r="F137" s="5" t="s">
        <v>37</v>
      </c>
      <c r="G137" s="5">
        <f>IF(AND(ISNUMBER(G135),ISNUMBER(B135)),(G135-B135)*10000,"n/a")</f>
        <v>1.1308392647019476</v>
      </c>
      <c r="H137" s="5">
        <f>IF(AND(ISNUMBER(H135),ISNUMBER(C135)),(H135-C135)*10000,"n/a")</f>
        <v>0.6896284633384469</v>
      </c>
      <c r="I137" s="45">
        <f>IF(AND(ISNUMBER(I135),ISNUMBER(D135)),(I135-D135)*10000,"n/a")</f>
        <v>0.010638567982733209</v>
      </c>
      <c r="J137" s="2"/>
      <c r="K137" s="2"/>
      <c r="L137" s="2"/>
      <c r="M137" s="2"/>
      <c r="N137" s="2"/>
      <c r="O137" s="2"/>
    </row>
    <row r="138">
      <c r="A138" s="14" t="s">
        <v>122</v>
      </c>
      <c r="B138" s="12" t="s">
        <v>37</v>
      </c>
      <c r="C138" s="12" t="s">
        <v>37</v>
      </c>
      <c r="D138" s="12" t="s">
        <v>37</v>
      </c>
      <c r="E138" s="12" t="s">
        <v>37</v>
      </c>
      <c r="F138" s="12" t="s">
        <v>37</v>
      </c>
      <c r="G138" s="12">
        <f>G134/B134-1</f>
        <v>0.050602409638554224</v>
      </c>
      <c r="H138" s="12">
        <f>H134/C134-1</f>
        <v>0.02320675105485237</v>
      </c>
      <c r="I138" s="35">
        <f>I134/D134-1</f>
        <v>0.0003619870410367376</v>
      </c>
      <c r="J138" s="2"/>
      <c r="K138" s="2"/>
      <c r="L138" s="2"/>
      <c r="M138" s="2"/>
      <c r="N138" s="2"/>
      <c r="O138" s="2"/>
    </row>
    <row r="139">
      <c r="A139" s="14" t="s">
        <v>110</v>
      </c>
      <c r="B139" s="1" t="s">
        <v>37</v>
      </c>
      <c r="C139" s="1">
        <f>IF(AND(ISNUMBER(C134),ISNUMBER(B134)),C134-B134,"n/a")</f>
        <v>59</v>
      </c>
      <c r="D139" s="1">
        <f>IF(AND(ISNUMBER(D134),ISNUMBER(C134)),D134-C134,"n/a")</f>
        <v>-11</v>
      </c>
      <c r="E139" s="1">
        <f>IF(AND(ISNUMBER(E134),ISNUMBER(D134)),E134-D134,"n/a")</f>
        <v>-23</v>
      </c>
      <c r="F139" s="1" t="s">
        <v>37</v>
      </c>
      <c r="G139" s="1">
        <f>IF(AND(ISNUMBER(G134),ISNUMBER(E134)),G134-E134,"n/a")</f>
        <v>-4</v>
      </c>
      <c r="H139" s="1">
        <f>IF(AND(ISNUMBER(H134),ISNUMBER(G134)),H134-G134,"n/a")</f>
        <v>49</v>
      </c>
      <c r="I139" s="13">
        <f>IF(AND(ISNUMBER(I134),ISNUMBER(H134)),I134-H134,"n/a")</f>
        <v>-21.832400000000007</v>
      </c>
      <c r="J139" s="2"/>
      <c r="K139" s="2"/>
      <c r="L139" s="2"/>
      <c r="M139" s="2"/>
      <c r="N139" s="2"/>
      <c r="O139" s="2"/>
    </row>
    <row r="140">
      <c r="A140" s="14" t="s">
        <v>98</v>
      </c>
      <c r="B140" s="12" t="s">
        <v>37</v>
      </c>
      <c r="C140" s="12" t="s">
        <v>37</v>
      </c>
      <c r="D140" s="12" t="s">
        <v>37</v>
      </c>
      <c r="E140" s="12" t="s">
        <v>37</v>
      </c>
      <c r="F140" s="12" t="s">
        <v>37</v>
      </c>
      <c r="G140" s="65">
        <v>0</v>
      </c>
      <c r="H140" s="65">
        <v>0</v>
      </c>
      <c r="I140" s="60">
        <v>0</v>
      </c>
      <c r="J140" s="6" t="s">
        <v>106</v>
      </c>
      <c r="K140" s="2"/>
      <c r="L140" s="2"/>
      <c r="M140" s="2"/>
      <c r="N140" s="2"/>
      <c r="O140" s="2"/>
    </row>
    <row r="141">
      <c r="A141" s="14" t="s">
        <v>100</v>
      </c>
      <c r="B141" s="12" t="s">
        <v>37</v>
      </c>
      <c r="C141" s="12" t="s">
        <v>37</v>
      </c>
      <c r="D141" s="12" t="s">
        <v>37</v>
      </c>
      <c r="E141" s="12" t="s">
        <v>37</v>
      </c>
      <c r="F141" s="12" t="s">
        <v>37</v>
      </c>
      <c r="G141" s="12" t="s">
        <v>37</v>
      </c>
      <c r="H141" s="12" t="s">
        <v>37</v>
      </c>
      <c r="I141" s="35" t="s">
        <v>37</v>
      </c>
      <c r="J141" s="6" t="s">
        <v>101</v>
      </c>
      <c r="K141" s="2"/>
      <c r="L141" s="2"/>
      <c r="M141" s="2"/>
      <c r="N141" s="2"/>
      <c r="O141" s="2"/>
    </row>
    <row r="142">
      <c r="A142" s="14" t="s">
        <v>102</v>
      </c>
      <c r="B142" s="12" t="s">
        <v>37</v>
      </c>
      <c r="C142" s="12" t="s">
        <v>37</v>
      </c>
      <c r="D142" s="12" t="s">
        <v>37</v>
      </c>
      <c r="E142" s="12" t="s">
        <v>37</v>
      </c>
      <c r="F142" s="12" t="s">
        <v>37</v>
      </c>
      <c r="G142" s="12" t="str">
        <f>IF(ISNUMBER(G141),(1+G138)/((1+G140)*(1+G141))-1,"n/a")</f>
        <v>n/a</v>
      </c>
      <c r="H142" s="12" t="str">
        <f>IF(ISNUMBER(H141),(1+H138)/((1+H140)*(1+H141))-1,"n/a")</f>
        <v>n/a</v>
      </c>
      <c r="I142" s="35" t="str">
        <f>IF(ISNUMBER(I141),(1+I138)/((1+I140)*(1+I141))-1,"n/a")</f>
        <v>n/a</v>
      </c>
      <c r="J142" s="6" t="s">
        <v>103</v>
      </c>
      <c r="K142" s="2"/>
      <c r="L142" s="2"/>
      <c r="M142" s="2"/>
      <c r="N142" s="2"/>
      <c r="O142" s="2"/>
    </row>
    <row r="143">
      <c r="A143" s="14" t="s">
        <v>104</v>
      </c>
      <c r="B143" s="12" t="s">
        <v>37</v>
      </c>
      <c r="C143" s="12" t="s">
        <v>37</v>
      </c>
      <c r="D143" s="12" t="s">
        <v>37</v>
      </c>
      <c r="E143" s="12" t="s">
        <v>37</v>
      </c>
      <c r="F143" s="12" t="s">
        <v>37</v>
      </c>
      <c r="G143" s="12">
        <f>IF(ISNUMBER(G140),G138-G140,"n/a")</f>
        <v>0.050602409638554224</v>
      </c>
      <c r="H143" s="12">
        <f>IF(ISNUMBER(H140),H138-H140,"n/a")</f>
        <v>0.02320675105485237</v>
      </c>
      <c r="I143" s="35">
        <f>IF(ISNUMBER(I140),I138-I140,"n/a")</f>
        <v>0.0003619870410367376</v>
      </c>
      <c r="J143" s="2"/>
      <c r="K143" s="2"/>
      <c r="L143" s="2"/>
      <c r="M143" s="2"/>
      <c r="N143" s="2"/>
      <c r="O143" s="2"/>
    </row>
    <row r="144">
      <c r="A144" s="36" t="s">
        <v>221</v>
      </c>
      <c r="B144" s="8">
        <v>35</v>
      </c>
      <c r="C144" s="8">
        <v>11</v>
      </c>
      <c r="D144" s="8">
        <v>11</v>
      </c>
      <c r="E144" s="8">
        <v>21</v>
      </c>
      <c r="F144" s="3">
        <f>SUM(B144:E144)</f>
        <v>78</v>
      </c>
      <c r="G144" s="8">
        <v>9</v>
      </c>
      <c r="H144" s="8">
        <v>11</v>
      </c>
      <c r="I144" s="46">
        <f>D144*(1+I145)</f>
        <v>12.100000000000001</v>
      </c>
      <c r="J144" s="2"/>
      <c r="K144" s="2"/>
      <c r="L144" s="2"/>
      <c r="M144" s="2"/>
      <c r="N144" s="2"/>
      <c r="O144" s="2"/>
    </row>
    <row r="145">
      <c r="A145" s="14" t="s">
        <v>122</v>
      </c>
      <c r="B145" s="12" t="s">
        <v>37</v>
      </c>
      <c r="C145" s="12" t="s">
        <v>37</v>
      </c>
      <c r="D145" s="12" t="s">
        <v>37</v>
      </c>
      <c r="E145" s="12" t="s">
        <v>37</v>
      </c>
      <c r="F145" s="12" t="s">
        <v>37</v>
      </c>
      <c r="G145" s="12">
        <f>G144/B144-1</f>
        <v>-0.7428571428571429</v>
      </c>
      <c r="H145" s="12">
        <f>H144/C144-1</f>
        <v>0</v>
      </c>
      <c r="I145" s="60">
        <v>0.1</v>
      </c>
      <c r="J145" s="6" t="s">
        <v>138</v>
      </c>
      <c r="K145" s="2"/>
      <c r="L145" s="2"/>
      <c r="M145" s="2"/>
      <c r="N145" s="2"/>
      <c r="O145" s="2"/>
    </row>
    <row r="146">
      <c r="A146" s="14" t="s">
        <v>110</v>
      </c>
      <c r="B146" s="1" t="s">
        <v>37</v>
      </c>
      <c r="C146" s="1">
        <f>IF(AND(ISNUMBER(C144),ISNUMBER(B144)),C144-B144,"n/a")</f>
        <v>-24</v>
      </c>
      <c r="D146" s="1">
        <f>IF(AND(ISNUMBER(D144),ISNUMBER(C144)),D144-C144,"n/a")</f>
        <v>0</v>
      </c>
      <c r="E146" s="1">
        <f>IF(AND(ISNUMBER(E144),ISNUMBER(D144)),E144-D144,"n/a")</f>
        <v>10</v>
      </c>
      <c r="F146" s="1" t="s">
        <v>37</v>
      </c>
      <c r="G146" s="1">
        <f>IF(AND(ISNUMBER(G144),ISNUMBER(E144)),G144-E144,"n/a")</f>
        <v>-12</v>
      </c>
      <c r="H146" s="1">
        <f>IF(AND(ISNUMBER(H144),ISNUMBER(G144)),H144-G144,"n/a")</f>
        <v>2</v>
      </c>
      <c r="I146" s="13">
        <f>IF(AND(ISNUMBER(I144),ISNUMBER(H144)),I144-H144,"n/a")</f>
        <v>1.1000000000000014</v>
      </c>
      <c r="J146" s="2"/>
      <c r="K146" s="2"/>
      <c r="L146" s="2"/>
      <c r="M146" s="2"/>
      <c r="N146" s="2"/>
      <c r="O146" s="2"/>
    </row>
    <row r="147">
      <c r="A147" s="14" t="s">
        <v>98</v>
      </c>
      <c r="B147" s="12" t="s">
        <v>37</v>
      </c>
      <c r="C147" s="12" t="s">
        <v>37</v>
      </c>
      <c r="D147" s="12" t="s">
        <v>37</v>
      </c>
      <c r="E147" s="12" t="s">
        <v>37</v>
      </c>
      <c r="F147" s="12" t="s">
        <v>37</v>
      </c>
      <c r="G147" s="65">
        <v>0</v>
      </c>
      <c r="H147" s="65">
        <v>0</v>
      </c>
      <c r="I147" s="60">
        <v>0</v>
      </c>
      <c r="J147" s="6" t="s">
        <v>106</v>
      </c>
      <c r="K147" s="2"/>
      <c r="L147" s="2"/>
      <c r="M147" s="2"/>
      <c r="N147" s="2"/>
      <c r="O147" s="2"/>
    </row>
    <row r="148">
      <c r="A148" s="14" t="s">
        <v>100</v>
      </c>
      <c r="B148" s="12" t="s">
        <v>37</v>
      </c>
      <c r="C148" s="12" t="s">
        <v>37</v>
      </c>
      <c r="D148" s="12" t="s">
        <v>37</v>
      </c>
      <c r="E148" s="12" t="s">
        <v>37</v>
      </c>
      <c r="F148" s="12" t="s">
        <v>37</v>
      </c>
      <c r="G148" s="12" t="s">
        <v>37</v>
      </c>
      <c r="H148" s="12" t="s">
        <v>37</v>
      </c>
      <c r="I148" s="35" t="s">
        <v>37</v>
      </c>
      <c r="J148" s="6" t="s">
        <v>101</v>
      </c>
      <c r="K148" s="2"/>
      <c r="L148" s="2"/>
      <c r="M148" s="2"/>
      <c r="N148" s="2"/>
      <c r="O148" s="2"/>
    </row>
    <row r="149">
      <c r="A149" s="14" t="s">
        <v>102</v>
      </c>
      <c r="B149" s="12" t="s">
        <v>37</v>
      </c>
      <c r="C149" s="12" t="s">
        <v>37</v>
      </c>
      <c r="D149" s="12" t="s">
        <v>37</v>
      </c>
      <c r="E149" s="12" t="s">
        <v>37</v>
      </c>
      <c r="F149" s="12" t="s">
        <v>37</v>
      </c>
      <c r="G149" s="12" t="str">
        <f>IF(ISNUMBER(G148),(1+G145)/((1+G147)*(1+G148))-1,"n/a")</f>
        <v>n/a</v>
      </c>
      <c r="H149" s="12" t="str">
        <f>IF(ISNUMBER(H148),(1+H145)/((1+H147)*(1+H148))-1,"n/a")</f>
        <v>n/a</v>
      </c>
      <c r="I149" s="35" t="str">
        <f>IF(ISNUMBER(I148),(1+I145)/((1+I147)*(1+I148))-1,"n/a")</f>
        <v>n/a</v>
      </c>
      <c r="J149" s="6" t="s">
        <v>103</v>
      </c>
      <c r="K149" s="2"/>
      <c r="L149" s="2"/>
      <c r="M149" s="2"/>
      <c r="N149" s="2"/>
      <c r="O149" s="2"/>
    </row>
    <row r="150">
      <c r="A150" s="14" t="s">
        <v>104</v>
      </c>
      <c r="B150" s="12" t="s">
        <v>37</v>
      </c>
      <c r="C150" s="12" t="s">
        <v>37</v>
      </c>
      <c r="D150" s="12" t="s">
        <v>37</v>
      </c>
      <c r="E150" s="12" t="s">
        <v>37</v>
      </c>
      <c r="F150" s="12" t="s">
        <v>37</v>
      </c>
      <c r="G150" s="12">
        <f>IF(ISNUMBER(G147),G145-G147,"n/a")</f>
        <v>-0.7428571428571429</v>
      </c>
      <c r="H150" s="12">
        <f>IF(ISNUMBER(H147),H145-H147,"n/a")</f>
        <v>0</v>
      </c>
      <c r="I150" s="35">
        <f>IF(ISNUMBER(I147),I145-I147,"n/a")</f>
        <v>0.1</v>
      </c>
      <c r="J150" s="2"/>
      <c r="K150" s="2"/>
      <c r="L150" s="2"/>
      <c r="M150" s="2"/>
      <c r="N150" s="2"/>
      <c r="O150" s="2"/>
    </row>
    <row r="151">
      <c r="A151" s="16" t="s">
        <v>222</v>
      </c>
      <c r="B151" s="15">
        <f>B114+B124+B134+B144</f>
        <v>912</v>
      </c>
      <c r="C151" s="15">
        <f>C114+C124+C134+C144</f>
        <v>984</v>
      </c>
      <c r="D151" s="15">
        <f>D114+D124+D134+D144</f>
        <v>973</v>
      </c>
      <c r="E151" s="15">
        <f>E114+E124+E134+E144</f>
        <v>969</v>
      </c>
      <c r="F151" s="15">
        <f>F114+F124+F134+F144</f>
        <v>3838</v>
      </c>
      <c r="G151" s="15">
        <f>G114+G124+G134+G144</f>
        <v>925</v>
      </c>
      <c r="H151" s="15">
        <f>H114+H124+H134+H144</f>
        <v>1038</v>
      </c>
      <c r="I151" s="38">
        <f>I114+I124+I134+I144</f>
        <v>1028.6173259999998</v>
      </c>
      <c r="J151" s="2"/>
      <c r="K151" s="2"/>
      <c r="L151" s="2"/>
      <c r="M151" s="2"/>
      <c r="N151" s="2"/>
      <c r="O151" s="2"/>
    </row>
    <row r="152">
      <c r="A152" s="19" t="s">
        <v>97</v>
      </c>
      <c r="B152" s="12" t="s">
        <v>37</v>
      </c>
      <c r="C152" s="12" t="s">
        <v>37</v>
      </c>
      <c r="D152" s="12" t="s">
        <v>37</v>
      </c>
      <c r="E152" s="12" t="s">
        <v>37</v>
      </c>
      <c r="F152" s="12" t="s">
        <v>37</v>
      </c>
      <c r="G152" s="12">
        <f>G151/B151-1</f>
        <v>0.014254385964912242</v>
      </c>
      <c r="H152" s="12">
        <f>H151/C151-1</f>
        <v>0.054878048780487854</v>
      </c>
      <c r="I152" s="35">
        <f>I151/D151-1</f>
        <v>0.05716066392600183</v>
      </c>
      <c r="J152" s="2"/>
      <c r="K152" s="2"/>
      <c r="L152" s="2"/>
      <c r="M152" s="2"/>
      <c r="N152" s="2"/>
      <c r="O152" s="2"/>
    </row>
    <row r="153">
      <c r="A153" s="19" t="s">
        <v>98</v>
      </c>
      <c r="B153" s="12" t="s">
        <v>37</v>
      </c>
      <c r="C153" s="12" t="s">
        <v>37</v>
      </c>
      <c r="D153" s="12" t="s">
        <v>37</v>
      </c>
      <c r="E153" s="12" t="s">
        <v>37</v>
      </c>
      <c r="F153" s="12" t="s">
        <v>37</v>
      </c>
      <c r="G153" s="12">
        <f>G169/B151</f>
        <v>0</v>
      </c>
      <c r="H153" s="12">
        <f>H169/C151</f>
        <v>0</v>
      </c>
      <c r="I153" s="35">
        <f>I169/D151</f>
        <v>0.008221993833504625</v>
      </c>
      <c r="J153" s="6" t="s">
        <v>99</v>
      </c>
      <c r="K153" s="2"/>
      <c r="L153" s="2"/>
      <c r="M153" s="2"/>
      <c r="N153" s="2"/>
      <c r="O153" s="2"/>
    </row>
    <row r="154">
      <c r="A154" s="19" t="s">
        <v>100</v>
      </c>
      <c r="B154" s="12" t="s">
        <v>37</v>
      </c>
      <c r="C154" s="12" t="s">
        <v>37</v>
      </c>
      <c r="D154" s="12" t="s">
        <v>37</v>
      </c>
      <c r="E154" s="12" t="s">
        <v>37</v>
      </c>
      <c r="F154" s="12" t="s">
        <v>37</v>
      </c>
      <c r="G154" s="12" t="s">
        <v>37</v>
      </c>
      <c r="H154" s="12" t="s">
        <v>37</v>
      </c>
      <c r="I154" s="35" t="s">
        <v>37</v>
      </c>
      <c r="J154" s="6" t="s">
        <v>101</v>
      </c>
      <c r="K154" s="2"/>
      <c r="L154" s="2"/>
      <c r="M154" s="2"/>
      <c r="N154" s="2"/>
      <c r="O154" s="2"/>
    </row>
    <row r="155">
      <c r="A155" s="19" t="s">
        <v>102</v>
      </c>
      <c r="B155" s="12" t="s">
        <v>37</v>
      </c>
      <c r="C155" s="12" t="s">
        <v>37</v>
      </c>
      <c r="D155" s="12" t="s">
        <v>37</v>
      </c>
      <c r="E155" s="12" t="s">
        <v>37</v>
      </c>
      <c r="F155" s="12" t="s">
        <v>37</v>
      </c>
      <c r="G155" s="12" t="str">
        <f>IF(ISNUMBER(G154),(1+G152)/((1+G153)*(1+G154))-1,"n/a")</f>
        <v>n/a</v>
      </c>
      <c r="H155" s="12" t="str">
        <f>IF(ISNUMBER(H154),(1+H152)/((1+H153)*(1+H154))-1,"n/a")</f>
        <v>n/a</v>
      </c>
      <c r="I155" s="35" t="str">
        <f>IF(ISNUMBER(I154),(1+I152)/((1+I153)*(1+I154))-1,"n/a")</f>
        <v>n/a</v>
      </c>
      <c r="J155" s="6" t="s">
        <v>103</v>
      </c>
      <c r="K155" s="2"/>
      <c r="L155" s="2"/>
      <c r="M155" s="2"/>
      <c r="N155" s="2"/>
      <c r="O155" s="2"/>
    </row>
    <row r="156">
      <c r="A156" s="19" t="s">
        <v>104</v>
      </c>
      <c r="B156" s="12" t="s">
        <v>37</v>
      </c>
      <c r="C156" s="12" t="s">
        <v>37</v>
      </c>
      <c r="D156" s="12" t="s">
        <v>37</v>
      </c>
      <c r="E156" s="12" t="s">
        <v>37</v>
      </c>
      <c r="F156" s="12" t="s">
        <v>37</v>
      </c>
      <c r="G156" s="12">
        <f>IF(ISNUMBER(G153),G152-G153,"n/a")</f>
        <v>0.014254385964912242</v>
      </c>
      <c r="H156" s="12">
        <f>IF(ISNUMBER(H153),H152-H153,"n/a")</f>
        <v>0.054878048780487854</v>
      </c>
      <c r="I156" s="35">
        <f>IF(ISNUMBER(I153),I152-I153,"n/a")</f>
        <v>0.04893867009249721</v>
      </c>
      <c r="J156" s="2"/>
      <c r="K156" s="2"/>
      <c r="L156" s="2"/>
      <c r="M156" s="2"/>
      <c r="N156" s="2"/>
      <c r="O156" s="2"/>
    </row>
    <row r="157">
      <c r="A157" s="19" t="s">
        <v>223</v>
      </c>
      <c r="B157" s="10">
        <v>912</v>
      </c>
      <c r="C157" s="10">
        <v>984</v>
      </c>
      <c r="D157" s="10">
        <v>973</v>
      </c>
      <c r="E157" s="10">
        <v>969</v>
      </c>
      <c r="F157" s="1">
        <f>SUM(B157:E157)</f>
        <v>3838</v>
      </c>
      <c r="G157" s="10">
        <v>925</v>
      </c>
      <c r="H157" s="10">
        <v>1038</v>
      </c>
      <c r="I157" s="13" t="s">
        <v>37</v>
      </c>
      <c r="J157" s="2"/>
      <c r="K157" s="2"/>
      <c r="L157" s="2"/>
      <c r="M157" s="2"/>
      <c r="N157" s="2"/>
      <c r="O157" s="2"/>
    </row>
    <row r="158">
      <c r="A158" s="26" t="s">
        <v>224</v>
      </c>
      <c r="B158" s="1">
        <f>B151-B157</f>
        <v>0</v>
      </c>
      <c r="C158" s="1">
        <f>C151-C157</f>
        <v>0</v>
      </c>
      <c r="D158" s="1">
        <f>D151-D157</f>
        <v>0</v>
      </c>
      <c r="E158" s="1">
        <f>E151-E157</f>
        <v>0</v>
      </c>
      <c r="F158" s="1">
        <f>F151-F157</f>
        <v>0</v>
      </c>
      <c r="G158" s="1">
        <f>G151-G157</f>
        <v>0</v>
      </c>
      <c r="H158" s="1">
        <f>H151-H157</f>
        <v>0</v>
      </c>
      <c r="I158" s="2"/>
      <c r="J158" s="2"/>
      <c r="K158" s="2"/>
      <c r="L158" s="2"/>
      <c r="M158" s="2"/>
      <c r="N158" s="2"/>
      <c r="O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>
      <c r="A160" s="16" t="s">
        <v>34</v>
      </c>
      <c r="B160" s="15">
        <f>B106+B151</f>
        <v>1654</v>
      </c>
      <c r="C160" s="15">
        <f>C106+C151</f>
        <v>1714</v>
      </c>
      <c r="D160" s="15">
        <f>D106+D151</f>
        <v>1754</v>
      </c>
      <c r="E160" s="15">
        <f>E106+E151</f>
        <v>1763</v>
      </c>
      <c r="F160" s="15">
        <f>F106+F151</f>
        <v>6885</v>
      </c>
      <c r="G160" s="15">
        <f>G106+G151</f>
        <v>1719</v>
      </c>
      <c r="H160" s="15">
        <f>H106+H151</f>
        <v>1812</v>
      </c>
      <c r="I160" s="38">
        <f>I106+I151</f>
        <v>1874.36589860274</v>
      </c>
      <c r="J160" s="2"/>
      <c r="K160" s="2"/>
      <c r="L160" s="2"/>
      <c r="M160" s="2"/>
      <c r="N160" s="2"/>
      <c r="O160" s="2"/>
    </row>
    <row r="161">
      <c r="A161" s="19" t="s">
        <v>97</v>
      </c>
      <c r="B161" s="12" t="s">
        <v>37</v>
      </c>
      <c r="C161" s="12" t="s">
        <v>37</v>
      </c>
      <c r="D161" s="12" t="s">
        <v>37</v>
      </c>
      <c r="E161" s="12" t="s">
        <v>37</v>
      </c>
      <c r="F161" s="12" t="s">
        <v>37</v>
      </c>
      <c r="G161" s="12">
        <f>G160/B160-1</f>
        <v>0.03929866989117281</v>
      </c>
      <c r="H161" s="12">
        <f>H160/C160-1</f>
        <v>0.05717619603267221</v>
      </c>
      <c r="I161" s="35">
        <f>I160/D160-1</f>
        <v>0.06862365940863158</v>
      </c>
      <c r="J161" s="2"/>
      <c r="K161" s="2"/>
      <c r="L161" s="2"/>
      <c r="M161" s="2"/>
      <c r="N161" s="2"/>
      <c r="O161" s="2"/>
    </row>
    <row r="162">
      <c r="A162" s="19" t="s">
        <v>98</v>
      </c>
      <c r="B162" s="12" t="s">
        <v>37</v>
      </c>
      <c r="C162" s="12" t="s">
        <v>37</v>
      </c>
      <c r="D162" s="12" t="s">
        <v>37</v>
      </c>
      <c r="E162" s="12" t="s">
        <v>37</v>
      </c>
      <c r="F162" s="12" t="s">
        <v>37</v>
      </c>
      <c r="G162" s="12">
        <f>G170/B160</f>
        <v>0</v>
      </c>
      <c r="H162" s="12">
        <f>H170/C160</f>
        <v>0</v>
      </c>
      <c r="I162" s="35">
        <f>I170/D160</f>
        <v>0.02280501710376283</v>
      </c>
      <c r="J162" s="6" t="s">
        <v>99</v>
      </c>
      <c r="K162" s="2"/>
      <c r="L162" s="2"/>
      <c r="M162" s="2"/>
      <c r="N162" s="2"/>
      <c r="O162" s="2"/>
    </row>
    <row r="163">
      <c r="A163" s="19" t="s">
        <v>100</v>
      </c>
      <c r="B163" s="12" t="s">
        <v>37</v>
      </c>
      <c r="C163" s="12" t="s">
        <v>37</v>
      </c>
      <c r="D163" s="12" t="s">
        <v>37</v>
      </c>
      <c r="E163" s="12" t="s">
        <v>37</v>
      </c>
      <c r="F163" s="12" t="s">
        <v>37</v>
      </c>
      <c r="G163" s="12" t="s">
        <v>37</v>
      </c>
      <c r="H163" s="12" t="s">
        <v>37</v>
      </c>
      <c r="I163" s="35" t="s">
        <v>37</v>
      </c>
      <c r="J163" s="6" t="s">
        <v>101</v>
      </c>
      <c r="K163" s="2"/>
      <c r="L163" s="2"/>
      <c r="M163" s="2"/>
      <c r="N163" s="2"/>
      <c r="O163" s="2"/>
    </row>
    <row r="164">
      <c r="A164" s="19" t="s">
        <v>102</v>
      </c>
      <c r="B164" s="12" t="s">
        <v>37</v>
      </c>
      <c r="C164" s="12" t="s">
        <v>37</v>
      </c>
      <c r="D164" s="12" t="s">
        <v>37</v>
      </c>
      <c r="E164" s="12" t="s">
        <v>37</v>
      </c>
      <c r="F164" s="12" t="s">
        <v>37</v>
      </c>
      <c r="G164" s="12" t="str">
        <f>IF(ISNUMBER(G163),(1+G161)/((1+G162)*(1+G163))-1,"n/a")</f>
        <v>n/a</v>
      </c>
      <c r="H164" s="12" t="str">
        <f>IF(ISNUMBER(H163),(1+H161)/((1+H162)*(1+H163))-1,"n/a")</f>
        <v>n/a</v>
      </c>
      <c r="I164" s="35" t="str">
        <f>IF(ISNUMBER(I163),(1+I161)/((1+I162)*(1+I163))-1,"n/a")</f>
        <v>n/a</v>
      </c>
      <c r="J164" s="6" t="s">
        <v>103</v>
      </c>
      <c r="K164" s="2"/>
      <c r="L164" s="2"/>
      <c r="M164" s="2"/>
      <c r="N164" s="2"/>
      <c r="O164" s="2"/>
    </row>
    <row r="165">
      <c r="A165" s="19" t="s">
        <v>104</v>
      </c>
      <c r="B165" s="12" t="s">
        <v>37</v>
      </c>
      <c r="C165" s="12" t="s">
        <v>37</v>
      </c>
      <c r="D165" s="12" t="s">
        <v>37</v>
      </c>
      <c r="E165" s="12" t="s">
        <v>37</v>
      </c>
      <c r="F165" s="12" t="s">
        <v>37</v>
      </c>
      <c r="G165" s="12">
        <f>IF(ISNUMBER(G162),G161-G162,"n/a")</f>
        <v>0.03929866989117281</v>
      </c>
      <c r="H165" s="12">
        <f>IF(ISNUMBER(H162),H161-H162,"n/a")</f>
        <v>0.05717619603267221</v>
      </c>
      <c r="I165" s="35">
        <f>IF(ISNUMBER(I162),I161-I162,"n/a")</f>
        <v>0.04581864230486875</v>
      </c>
      <c r="J165" s="2"/>
      <c r="K165" s="2"/>
      <c r="L165" s="2"/>
      <c r="M165" s="2"/>
      <c r="N165" s="2"/>
      <c r="O165" s="2"/>
    </row>
    <row r="166">
      <c r="A166" s="19" t="s">
        <v>95</v>
      </c>
      <c r="B166" s="12" t="s">
        <v>37</v>
      </c>
      <c r="C166" s="12">
        <f>C160/B160-1</f>
        <v>0.03627569528415964</v>
      </c>
      <c r="D166" s="12">
        <f>D160/C160-1</f>
        <v>0.023337222870478458</v>
      </c>
      <c r="E166" s="12">
        <f>E160/D160-1</f>
        <v>0.0051311288483466555</v>
      </c>
      <c r="F166" s="12" t="s">
        <v>37</v>
      </c>
      <c r="G166" s="12">
        <f>G160/E160-1</f>
        <v>-0.024957458876914362</v>
      </c>
      <c r="H166" s="12">
        <f>H160/G160-1</f>
        <v>0.054101221640488584</v>
      </c>
      <c r="I166" s="35">
        <f>I160/H160-1</f>
        <v>0.034418266337052916</v>
      </c>
      <c r="J166" s="2"/>
      <c r="K166" s="2"/>
      <c r="L166" s="2"/>
      <c r="M166" s="2"/>
      <c r="N166" s="2"/>
      <c r="O166" s="2"/>
    </row>
    <row r="167">
      <c r="A167" s="36" t="s">
        <v>353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>
      <c r="A168" s="62" t="s">
        <v>354</v>
      </c>
      <c r="B168" s="8">
        <v>0</v>
      </c>
      <c r="C168" s="8">
        <v>0</v>
      </c>
      <c r="D168" s="8">
        <v>0</v>
      </c>
      <c r="E168" s="8">
        <v>0</v>
      </c>
      <c r="F168" s="3">
        <f>SUM(B168:E168)</f>
        <v>0</v>
      </c>
      <c r="G168" s="8">
        <v>0</v>
      </c>
      <c r="H168" s="8">
        <v>0</v>
      </c>
      <c r="I168" s="32">
        <v>32</v>
      </c>
      <c r="J168" s="6" t="s">
        <v>355</v>
      </c>
      <c r="K168" s="2"/>
      <c r="L168" s="2"/>
      <c r="M168" s="2"/>
      <c r="N168" s="2"/>
      <c r="O168" s="2"/>
    </row>
    <row r="169">
      <c r="A169" s="62" t="s">
        <v>356</v>
      </c>
      <c r="B169" s="8">
        <v>0</v>
      </c>
      <c r="C169" s="8">
        <v>0</v>
      </c>
      <c r="D169" s="8">
        <v>0</v>
      </c>
      <c r="E169" s="8">
        <v>0</v>
      </c>
      <c r="F169" s="3">
        <f>SUM(B169:E169)</f>
        <v>0</v>
      </c>
      <c r="G169" s="8">
        <v>0</v>
      </c>
      <c r="H169" s="8">
        <v>0</v>
      </c>
      <c r="I169" s="32">
        <v>8</v>
      </c>
      <c r="J169" s="2"/>
      <c r="K169" s="2"/>
      <c r="L169" s="2"/>
      <c r="M169" s="2"/>
      <c r="N169" s="2"/>
      <c r="O169" s="2"/>
    </row>
    <row r="170">
      <c r="A170" s="68" t="s">
        <v>357</v>
      </c>
      <c r="B170" s="15">
        <f>B168+B169</f>
        <v>0</v>
      </c>
      <c r="C170" s="15">
        <f>C168+C169</f>
        <v>0</v>
      </c>
      <c r="D170" s="15">
        <f>D168+D169</f>
        <v>0</v>
      </c>
      <c r="E170" s="15">
        <f>E168+E169</f>
        <v>0</v>
      </c>
      <c r="F170" s="15">
        <f>F168+F169</f>
        <v>0</v>
      </c>
      <c r="G170" s="15">
        <f>G168+G169</f>
        <v>0</v>
      </c>
      <c r="H170" s="15">
        <f>H168+H169</f>
        <v>0</v>
      </c>
      <c r="I170" s="38">
        <f>I168+I169</f>
        <v>40</v>
      </c>
      <c r="J170" s="2"/>
      <c r="K170" s="2"/>
      <c r="L170" s="2"/>
      <c r="M170" s="2"/>
      <c r="N170" s="2"/>
      <c r="O170" s="2"/>
    </row>
    <row r="171">
      <c r="A171" s="14" t="s">
        <v>340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>
      <c r="A173" s="16" t="s">
        <v>225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>
      <c r="A174" s="36" t="s">
        <v>226</v>
      </c>
      <c r="B174" s="8">
        <v>212</v>
      </c>
      <c r="C174" s="8">
        <v>221</v>
      </c>
      <c r="D174" s="8">
        <v>230</v>
      </c>
      <c r="E174" s="8">
        <v>235</v>
      </c>
      <c r="F174" s="3">
        <f>SUM(B174:E174)</f>
        <v>898</v>
      </c>
      <c r="G174" s="8">
        <v>236</v>
      </c>
      <c r="H174" s="8">
        <v>240</v>
      </c>
      <c r="I174" s="46">
        <f>H174*(1+I175)</f>
        <v>242.88</v>
      </c>
      <c r="J174" s="2"/>
      <c r="K174" s="2"/>
      <c r="L174" s="2"/>
      <c r="M174" s="2"/>
      <c r="N174" s="2"/>
      <c r="O174" s="2"/>
    </row>
    <row r="175">
      <c r="A175" s="14" t="s">
        <v>95</v>
      </c>
      <c r="B175" s="12" t="s">
        <v>37</v>
      </c>
      <c r="C175" s="12">
        <f>C174/B174-1</f>
        <v>0.04245283018867929</v>
      </c>
      <c r="D175" s="12">
        <f>D174/C174-1</f>
        <v>0.040723981900452566</v>
      </c>
      <c r="E175" s="12">
        <f>E174/D174-1</f>
        <v>0.021739130434782705</v>
      </c>
      <c r="F175" s="12" t="s">
        <v>37</v>
      </c>
      <c r="G175" s="12">
        <f>G174/E174-1</f>
        <v>0.004255319148936065</v>
      </c>
      <c r="H175" s="12">
        <f>H174/G174-1</f>
        <v>0.016949152542372836</v>
      </c>
      <c r="I175" s="60">
        <v>0.012</v>
      </c>
      <c r="J175" s="6" t="s">
        <v>138</v>
      </c>
      <c r="K175" s="2"/>
      <c r="L175" s="2"/>
      <c r="M175" s="2"/>
      <c r="N175" s="2"/>
      <c r="O175" s="2"/>
    </row>
    <row r="176">
      <c r="A176" s="14" t="s">
        <v>122</v>
      </c>
      <c r="B176" s="12" t="s">
        <v>37</v>
      </c>
      <c r="C176" s="12" t="s">
        <v>37</v>
      </c>
      <c r="D176" s="12" t="s">
        <v>37</v>
      </c>
      <c r="E176" s="12" t="s">
        <v>37</v>
      </c>
      <c r="F176" s="12" t="s">
        <v>37</v>
      </c>
      <c r="G176" s="12">
        <f>G174/B174-1</f>
        <v>0.1132075471698113</v>
      </c>
      <c r="H176" s="12">
        <f>H174/C174-1</f>
        <v>0.08597285067873295</v>
      </c>
      <c r="I176" s="35">
        <f>I174/D174-1</f>
        <v>0.05600000000000005</v>
      </c>
      <c r="J176" s="2"/>
      <c r="K176" s="2"/>
      <c r="L176" s="2"/>
      <c r="M176" s="2"/>
      <c r="N176" s="2"/>
      <c r="O176" s="2"/>
    </row>
    <row r="177">
      <c r="A177" s="14" t="s">
        <v>110</v>
      </c>
      <c r="B177" s="1" t="s">
        <v>37</v>
      </c>
      <c r="C177" s="1">
        <f>IF(AND(ISNUMBER(C174),ISNUMBER(B174)),C174-B174,"n/a")</f>
        <v>9</v>
      </c>
      <c r="D177" s="1">
        <f>IF(AND(ISNUMBER(D174),ISNUMBER(C174)),D174-C174,"n/a")</f>
        <v>9</v>
      </c>
      <c r="E177" s="1">
        <f>IF(AND(ISNUMBER(E174),ISNUMBER(D174)),E174-D174,"n/a")</f>
        <v>5</v>
      </c>
      <c r="F177" s="1" t="s">
        <v>37</v>
      </c>
      <c r="G177" s="1">
        <f>IF(AND(ISNUMBER(G174),ISNUMBER(E174)),G174-E174,"n/a")</f>
        <v>1</v>
      </c>
      <c r="H177" s="1">
        <f>IF(AND(ISNUMBER(H174),ISNUMBER(G174)),H174-G174,"n/a")</f>
        <v>4</v>
      </c>
      <c r="I177" s="13">
        <f>IF(AND(ISNUMBER(I174),ISNUMBER(H174)),I174-H174,"n/a")</f>
        <v>2.8799999999999955</v>
      </c>
      <c r="J177" s="2"/>
      <c r="K177" s="2"/>
      <c r="L177" s="2"/>
      <c r="M177" s="2"/>
      <c r="N177" s="2"/>
      <c r="O177" s="2"/>
    </row>
    <row r="178">
      <c r="A178" s="36" t="s">
        <v>228</v>
      </c>
      <c r="B178" s="8">
        <v>18</v>
      </c>
      <c r="C178" s="8">
        <v>20</v>
      </c>
      <c r="D178" s="8">
        <v>20</v>
      </c>
      <c r="E178" s="8">
        <v>21</v>
      </c>
      <c r="F178" s="3">
        <f>SUM(B178:E178)</f>
        <v>79</v>
      </c>
      <c r="G178" s="8">
        <v>18</v>
      </c>
      <c r="H178" s="8">
        <v>19</v>
      </c>
      <c r="I178" s="46">
        <f>H178*(1+I179)</f>
        <v>19.95</v>
      </c>
      <c r="J178" s="2"/>
      <c r="K178" s="2"/>
      <c r="L178" s="2"/>
      <c r="M178" s="2"/>
      <c r="N178" s="2"/>
      <c r="O178" s="2"/>
    </row>
    <row r="179">
      <c r="A179" s="14" t="s">
        <v>95</v>
      </c>
      <c r="B179" s="12" t="s">
        <v>37</v>
      </c>
      <c r="C179" s="12">
        <f>C178/B178-1</f>
        <v>0.11111111111111116</v>
      </c>
      <c r="D179" s="12">
        <f>D178/C178-1</f>
        <v>0</v>
      </c>
      <c r="E179" s="12">
        <f>E178/D178-1</f>
        <v>0.050000000000000044</v>
      </c>
      <c r="F179" s="12" t="s">
        <v>37</v>
      </c>
      <c r="G179" s="12">
        <f>G178/E178-1</f>
        <v>-0.1428571428571429</v>
      </c>
      <c r="H179" s="12">
        <f>H178/G178-1</f>
        <v>0.05555555555555558</v>
      </c>
      <c r="I179" s="60">
        <v>0.05</v>
      </c>
      <c r="J179" s="6" t="s">
        <v>138</v>
      </c>
      <c r="K179" s="2"/>
      <c r="L179" s="2"/>
      <c r="M179" s="2"/>
      <c r="N179" s="2"/>
      <c r="O179" s="2"/>
    </row>
    <row r="180">
      <c r="A180" s="14" t="s">
        <v>122</v>
      </c>
      <c r="B180" s="12" t="s">
        <v>37</v>
      </c>
      <c r="C180" s="12" t="s">
        <v>37</v>
      </c>
      <c r="D180" s="12" t="s">
        <v>37</v>
      </c>
      <c r="E180" s="12" t="s">
        <v>37</v>
      </c>
      <c r="F180" s="12" t="s">
        <v>37</v>
      </c>
      <c r="G180" s="12">
        <f>G178/B178-1</f>
        <v>0</v>
      </c>
      <c r="H180" s="12">
        <f>H178/C178-1</f>
        <v>-0.050000000000000044</v>
      </c>
      <c r="I180" s="35">
        <f>I178/D178-1</f>
        <v>-0.0025000000000000577</v>
      </c>
      <c r="J180" s="2"/>
      <c r="K180" s="2"/>
      <c r="L180" s="2"/>
      <c r="M180" s="2"/>
      <c r="N180" s="2"/>
      <c r="O180" s="2"/>
    </row>
    <row r="181">
      <c r="A181" s="14" t="s">
        <v>110</v>
      </c>
      <c r="B181" s="1" t="s">
        <v>37</v>
      </c>
      <c r="C181" s="1">
        <f>IF(AND(ISNUMBER(C178),ISNUMBER(B178)),C178-B178,"n/a")</f>
        <v>2</v>
      </c>
      <c r="D181" s="1">
        <f>IF(AND(ISNUMBER(D178),ISNUMBER(C178)),D178-C178,"n/a")</f>
        <v>0</v>
      </c>
      <c r="E181" s="1">
        <f>IF(AND(ISNUMBER(E178),ISNUMBER(D178)),E178-D178,"n/a")</f>
        <v>1</v>
      </c>
      <c r="F181" s="1" t="s">
        <v>37</v>
      </c>
      <c r="G181" s="1">
        <f>IF(AND(ISNUMBER(G178),ISNUMBER(E178)),G178-E178,"n/a")</f>
        <v>-3</v>
      </c>
      <c r="H181" s="1">
        <f>IF(AND(ISNUMBER(H178),ISNUMBER(G178)),H178-G178,"n/a")</f>
        <v>1</v>
      </c>
      <c r="I181" s="13">
        <f>IF(AND(ISNUMBER(I178),ISNUMBER(H178)),I178-H178,"n/a")</f>
        <v>0.9499999999999993</v>
      </c>
      <c r="J181" s="2"/>
      <c r="K181" s="2"/>
      <c r="L181" s="2"/>
      <c r="M181" s="2"/>
      <c r="N181" s="2"/>
      <c r="O181" s="2"/>
    </row>
    <row r="182">
      <c r="A182" s="36" t="s">
        <v>229</v>
      </c>
      <c r="B182" s="8">
        <v>582</v>
      </c>
      <c r="C182" s="8">
        <v>532</v>
      </c>
      <c r="D182" s="8">
        <v>539</v>
      </c>
      <c r="E182" s="8">
        <v>553</v>
      </c>
      <c r="F182" s="3">
        <f>SUM(B182:E182)</f>
        <v>2206</v>
      </c>
      <c r="G182" s="8">
        <v>505</v>
      </c>
      <c r="H182" s="8">
        <v>520</v>
      </c>
      <c r="I182" s="46">
        <f>H182*(1+I183)</f>
        <v>522.08</v>
      </c>
      <c r="J182" s="2"/>
      <c r="K182" s="2"/>
      <c r="L182" s="2"/>
      <c r="M182" s="2"/>
      <c r="N182" s="2"/>
      <c r="O182" s="2"/>
    </row>
    <row r="183">
      <c r="A183" s="14" t="s">
        <v>95</v>
      </c>
      <c r="B183" s="12" t="s">
        <v>37</v>
      </c>
      <c r="C183" s="12">
        <f>C182/B182-1</f>
        <v>-0.08591065292096223</v>
      </c>
      <c r="D183" s="12">
        <f>D182/C182-1</f>
        <v>0.013157894736842035</v>
      </c>
      <c r="E183" s="12">
        <f>E182/D182-1</f>
        <v>0.025974025974025983</v>
      </c>
      <c r="F183" s="12" t="s">
        <v>37</v>
      </c>
      <c r="G183" s="12">
        <f>G182/E182-1</f>
        <v>-0.08679927667269438</v>
      </c>
      <c r="H183" s="12">
        <f>H182/G182-1</f>
        <v>0.02970297029702973</v>
      </c>
      <c r="I183" s="60">
        <v>0.004</v>
      </c>
      <c r="J183" s="6" t="s">
        <v>138</v>
      </c>
      <c r="K183" s="2"/>
      <c r="L183" s="2"/>
      <c r="M183" s="2"/>
      <c r="N183" s="2"/>
      <c r="O183" s="2"/>
    </row>
    <row r="184">
      <c r="A184" s="14" t="s">
        <v>122</v>
      </c>
      <c r="B184" s="12" t="s">
        <v>37</v>
      </c>
      <c r="C184" s="12" t="s">
        <v>37</v>
      </c>
      <c r="D184" s="12" t="s">
        <v>37</v>
      </c>
      <c r="E184" s="12" t="s">
        <v>37</v>
      </c>
      <c r="F184" s="12" t="s">
        <v>37</v>
      </c>
      <c r="G184" s="12">
        <f>G182/B182-1</f>
        <v>-0.13230240549828176</v>
      </c>
      <c r="H184" s="12">
        <f>H182/C182-1</f>
        <v>-0.022556390977443663</v>
      </c>
      <c r="I184" s="35">
        <f>I182/D182-1</f>
        <v>-0.031391465677179875</v>
      </c>
      <c r="J184" s="2"/>
      <c r="K184" s="2"/>
      <c r="L184" s="2"/>
      <c r="M184" s="2"/>
      <c r="N184" s="2"/>
      <c r="O184" s="2"/>
    </row>
    <row r="185">
      <c r="A185" s="14" t="s">
        <v>110</v>
      </c>
      <c r="B185" s="1" t="s">
        <v>37</v>
      </c>
      <c r="C185" s="1">
        <f>IF(AND(ISNUMBER(C182),ISNUMBER(B182)),C182-B182,"n/a")</f>
        <v>-50</v>
      </c>
      <c r="D185" s="1">
        <f>IF(AND(ISNUMBER(D182),ISNUMBER(C182)),D182-C182,"n/a")</f>
        <v>7</v>
      </c>
      <c r="E185" s="1">
        <f>IF(AND(ISNUMBER(E182),ISNUMBER(D182)),E182-D182,"n/a")</f>
        <v>14</v>
      </c>
      <c r="F185" s="1" t="s">
        <v>37</v>
      </c>
      <c r="G185" s="1">
        <f>IF(AND(ISNUMBER(G182),ISNUMBER(E182)),G182-E182,"n/a")</f>
        <v>-48</v>
      </c>
      <c r="H185" s="1">
        <f>IF(AND(ISNUMBER(H182),ISNUMBER(G182)),H182-G182,"n/a")</f>
        <v>15</v>
      </c>
      <c r="I185" s="13">
        <f>IF(AND(ISNUMBER(I182),ISNUMBER(H182)),I182-H182,"n/a")</f>
        <v>2.080000000000041</v>
      </c>
      <c r="J185" s="2"/>
      <c r="K185" s="2"/>
      <c r="L185" s="2"/>
      <c r="M185" s="2"/>
      <c r="N185" s="2"/>
      <c r="O185" s="2"/>
    </row>
    <row r="186">
      <c r="A186" s="36" t="s">
        <v>230</v>
      </c>
      <c r="B186" s="8">
        <v>216</v>
      </c>
      <c r="C186" s="8">
        <v>243</v>
      </c>
      <c r="D186" s="8">
        <v>243</v>
      </c>
      <c r="E186" s="8">
        <v>280</v>
      </c>
      <c r="F186" s="3">
        <f>SUM(B186:E186)</f>
        <v>982</v>
      </c>
      <c r="G186" s="8">
        <v>250</v>
      </c>
      <c r="H186" s="8">
        <v>348</v>
      </c>
      <c r="I186" s="46">
        <f>H186*(1+I187)</f>
        <v>354.96</v>
      </c>
      <c r="J186" s="6" t="s">
        <v>358</v>
      </c>
      <c r="K186" s="2"/>
      <c r="L186" s="2"/>
      <c r="M186" s="2"/>
      <c r="N186" s="2"/>
      <c r="O186" s="2"/>
    </row>
    <row r="187">
      <c r="A187" s="14" t="s">
        <v>95</v>
      </c>
      <c r="B187" s="12" t="s">
        <v>37</v>
      </c>
      <c r="C187" s="12">
        <f>C186/B186-1</f>
        <v>0.125</v>
      </c>
      <c r="D187" s="12">
        <f>D186/C186-1</f>
        <v>0</v>
      </c>
      <c r="E187" s="12">
        <f>E186/D186-1</f>
        <v>0.1522633744855968</v>
      </c>
      <c r="F187" s="12" t="s">
        <v>37</v>
      </c>
      <c r="G187" s="12">
        <f>G186/E186-1</f>
        <v>-0.1071428571428571</v>
      </c>
      <c r="H187" s="12">
        <f>H186/G186-1</f>
        <v>0.3919999999999999</v>
      </c>
      <c r="I187" s="60">
        <v>0.02</v>
      </c>
      <c r="J187" s="6" t="s">
        <v>138</v>
      </c>
      <c r="K187" s="2"/>
      <c r="L187" s="2"/>
      <c r="M187" s="2"/>
      <c r="N187" s="2"/>
      <c r="O187" s="2"/>
    </row>
    <row r="188">
      <c r="A188" s="14" t="s">
        <v>122</v>
      </c>
      <c r="B188" s="12" t="s">
        <v>37</v>
      </c>
      <c r="C188" s="12" t="s">
        <v>37</v>
      </c>
      <c r="D188" s="12" t="s">
        <v>37</v>
      </c>
      <c r="E188" s="12" t="s">
        <v>37</v>
      </c>
      <c r="F188" s="12" t="s">
        <v>37</v>
      </c>
      <c r="G188" s="12">
        <f>G186/B186-1</f>
        <v>0.15740740740740744</v>
      </c>
      <c r="H188" s="12">
        <f>H186/C186-1</f>
        <v>0.4320987654320987</v>
      </c>
      <c r="I188" s="35">
        <f>I186/D186-1</f>
        <v>0.4607407407407407</v>
      </c>
      <c r="J188" s="2"/>
      <c r="K188" s="2"/>
      <c r="L188" s="2"/>
      <c r="M188" s="2"/>
      <c r="N188" s="2"/>
      <c r="O188" s="2"/>
    </row>
    <row r="189">
      <c r="A189" s="14" t="s">
        <v>110</v>
      </c>
      <c r="B189" s="1" t="s">
        <v>37</v>
      </c>
      <c r="C189" s="1">
        <f>IF(AND(ISNUMBER(C186),ISNUMBER(B186)),C186-B186,"n/a")</f>
        <v>27</v>
      </c>
      <c r="D189" s="1">
        <f>IF(AND(ISNUMBER(D186),ISNUMBER(C186)),D186-C186,"n/a")</f>
        <v>0</v>
      </c>
      <c r="E189" s="1">
        <f>IF(AND(ISNUMBER(E186),ISNUMBER(D186)),E186-D186,"n/a")</f>
        <v>37</v>
      </c>
      <c r="F189" s="1" t="s">
        <v>37</v>
      </c>
      <c r="G189" s="1">
        <f>IF(AND(ISNUMBER(G186),ISNUMBER(E186)),G186-E186,"n/a")</f>
        <v>-30</v>
      </c>
      <c r="H189" s="1">
        <f>IF(AND(ISNUMBER(H186),ISNUMBER(G186)),H186-G186,"n/a")</f>
        <v>98</v>
      </c>
      <c r="I189" s="13">
        <f>IF(AND(ISNUMBER(I186),ISNUMBER(H186)),I186-H186,"n/a")</f>
        <v>6.9599999999999795</v>
      </c>
      <c r="J189" s="2"/>
      <c r="K189" s="2"/>
      <c r="L189" s="2"/>
      <c r="M189" s="2"/>
      <c r="N189" s="2"/>
      <c r="O189" s="2"/>
    </row>
    <row r="190">
      <c r="A190" s="16" t="s">
        <v>231</v>
      </c>
      <c r="B190" s="15">
        <f>B174+B178+B182+B186</f>
        <v>1028</v>
      </c>
      <c r="C190" s="15">
        <f>C174+C178+C182+C186</f>
        <v>1016</v>
      </c>
      <c r="D190" s="15">
        <f>D174+D178+D182+D186</f>
        <v>1032</v>
      </c>
      <c r="E190" s="15">
        <f>E174+E178+E182+E186</f>
        <v>1089</v>
      </c>
      <c r="F190" s="15">
        <f>F174+F178+F182+F186</f>
        <v>4165</v>
      </c>
      <c r="G190" s="15">
        <f>G174+G178+G182+G186</f>
        <v>1009</v>
      </c>
      <c r="H190" s="15">
        <f>H174+H178+H182+H186</f>
        <v>1127</v>
      </c>
      <c r="I190" s="38">
        <f>I174+I178+I182+I186</f>
        <v>1139.8700000000001</v>
      </c>
      <c r="J190" s="2"/>
      <c r="K190" s="2"/>
      <c r="L190" s="2"/>
      <c r="M190" s="2"/>
      <c r="N190" s="2"/>
      <c r="O190" s="2"/>
    </row>
    <row r="191">
      <c r="A191" s="19" t="s">
        <v>122</v>
      </c>
      <c r="B191" s="12" t="s">
        <v>37</v>
      </c>
      <c r="C191" s="12" t="s">
        <v>37</v>
      </c>
      <c r="D191" s="12" t="s">
        <v>37</v>
      </c>
      <c r="E191" s="12" t="s">
        <v>37</v>
      </c>
      <c r="F191" s="12" t="s">
        <v>37</v>
      </c>
      <c r="G191" s="12">
        <f>G190/B190-1</f>
        <v>-0.018482490272373586</v>
      </c>
      <c r="H191" s="12">
        <f>H190/C190-1</f>
        <v>0.10925196850393704</v>
      </c>
      <c r="I191" s="35">
        <f>I190/D190-1</f>
        <v>0.10452519379844971</v>
      </c>
      <c r="J191" s="2"/>
      <c r="K191" s="2"/>
      <c r="L191" s="2"/>
      <c r="M191" s="2"/>
      <c r="N191" s="2"/>
      <c r="O191" s="2"/>
    </row>
    <row r="192">
      <c r="A192" s="19" t="s">
        <v>110</v>
      </c>
      <c r="B192" s="1" t="s">
        <v>37</v>
      </c>
      <c r="C192" s="1">
        <f>IF(AND(ISNUMBER(C190),ISNUMBER(B190)),C190-B190,"n/a")</f>
        <v>-12</v>
      </c>
      <c r="D192" s="1">
        <f>IF(AND(ISNUMBER(D190),ISNUMBER(C190)),D190-C190,"n/a")</f>
        <v>16</v>
      </c>
      <c r="E192" s="1">
        <f>IF(AND(ISNUMBER(E190),ISNUMBER(D190)),E190-D190,"n/a")</f>
        <v>57</v>
      </c>
      <c r="F192" s="1" t="s">
        <v>37</v>
      </c>
      <c r="G192" s="1">
        <f>IF(AND(ISNUMBER(G190),ISNUMBER(E190)),G190-E190,"n/a")</f>
        <v>-80</v>
      </c>
      <c r="H192" s="1">
        <f>IF(AND(ISNUMBER(H190),ISNUMBER(G190)),H190-G190,"n/a")</f>
        <v>118</v>
      </c>
      <c r="I192" s="13">
        <f>IF(AND(ISNUMBER(I190),ISNUMBER(H190)),I190-H190,"n/a")</f>
        <v>12.870000000000118</v>
      </c>
      <c r="J192" s="2"/>
      <c r="K192" s="2"/>
      <c r="L192" s="2"/>
      <c r="M192" s="2"/>
      <c r="N192" s="2"/>
      <c r="O192" s="2"/>
    </row>
    <row r="193">
      <c r="A193" s="26" t="s">
        <v>232</v>
      </c>
      <c r="B193" s="12">
        <f>B190/B160</f>
        <v>0.6215235792019347</v>
      </c>
      <c r="C193" s="12">
        <f>C190/C160</f>
        <v>0.5927654609101517</v>
      </c>
      <c r="D193" s="12">
        <f>D190/D160</f>
        <v>0.5883694412770809</v>
      </c>
      <c r="E193" s="12">
        <f>E190/E160</f>
        <v>0.6176971072036301</v>
      </c>
      <c r="F193" s="12">
        <f>F190/F160</f>
        <v>0.6049382716049383</v>
      </c>
      <c r="G193" s="12">
        <f>G190/G160</f>
        <v>0.5869691681210005</v>
      </c>
      <c r="H193" s="12">
        <f>H190/H160</f>
        <v>0.6219646799116998</v>
      </c>
      <c r="I193" s="35">
        <f>I190/I160</f>
        <v>0.6081363307184178</v>
      </c>
      <c r="J193" s="2"/>
      <c r="K193" s="2"/>
      <c r="L193" s="2"/>
      <c r="M193" s="2"/>
      <c r="N193" s="2"/>
      <c r="O193" s="2"/>
    </row>
    <row r="194">
      <c r="A194" s="19" t="s">
        <v>144</v>
      </c>
      <c r="B194" s="5" t="s">
        <v>37</v>
      </c>
      <c r="C194" s="5">
        <f>IF(AND(ISNUMBER(C193),ISNUMBER(B193)),(C193-B193)*10000,"n/a")</f>
        <v>-287.58118291782984</v>
      </c>
      <c r="D194" s="5">
        <f>IF(AND(ISNUMBER(D193),ISNUMBER(C193)),(D193-C193)*10000,"n/a")</f>
        <v>-43.960196330707916</v>
      </c>
      <c r="E194" s="5">
        <f>IF(AND(ISNUMBER(E193),ISNUMBER(D193)),(E193-D193)*10000,"n/a")</f>
        <v>293.2766592654923</v>
      </c>
      <c r="F194" s="5" t="s">
        <v>37</v>
      </c>
      <c r="G194" s="5">
        <f>IF(AND(ISNUMBER(G193),ISNUMBER(E193)),(G193-E193)*10000,"n/a")</f>
        <v>-307.2793908262961</v>
      </c>
      <c r="H194" s="5">
        <f>IF(AND(ISNUMBER(H193),ISNUMBER(G193)),(H193-G193)*10000,"n/a")</f>
        <v>349.95511790699265</v>
      </c>
      <c r="I194" s="45">
        <f>IF(AND(ISNUMBER(I193),ISNUMBER(H193)),(I193-H193)*10000,"n/a")</f>
        <v>-138.2834919328202</v>
      </c>
      <c r="J194" s="2"/>
      <c r="K194" s="2"/>
      <c r="L194" s="2"/>
      <c r="M194" s="2"/>
      <c r="N194" s="2"/>
      <c r="O194" s="2"/>
    </row>
    <row r="195">
      <c r="A195" s="19" t="s">
        <v>145</v>
      </c>
      <c r="B195" s="5" t="s">
        <v>37</v>
      </c>
      <c r="C195" s="5" t="s">
        <v>37</v>
      </c>
      <c r="D195" s="5" t="s">
        <v>37</v>
      </c>
      <c r="E195" s="5" t="s">
        <v>37</v>
      </c>
      <c r="F195" s="5" t="s">
        <v>37</v>
      </c>
      <c r="G195" s="5">
        <f>IF(AND(ISNUMBER(G193),ISNUMBER(B193)),(G193-B193)*10000,"n/a")</f>
        <v>-345.54411080934153</v>
      </c>
      <c r="H195" s="5">
        <f>IF(AND(ISNUMBER(H193),ISNUMBER(C193)),(H193-C193)*10000,"n/a")</f>
        <v>291.99219001548096</v>
      </c>
      <c r="I195" s="45">
        <f>IF(AND(ISNUMBER(I193),ISNUMBER(D193)),(I193-D193)*10000,"n/a")</f>
        <v>197.66889441336866</v>
      </c>
      <c r="J195" s="2"/>
      <c r="K195" s="2"/>
      <c r="L195" s="2"/>
      <c r="M195" s="2"/>
      <c r="N195" s="2"/>
      <c r="O195" s="2"/>
    </row>
    <row r="196">
      <c r="A196" s="16" t="s">
        <v>233</v>
      </c>
      <c r="B196" s="15">
        <f>B160-B190</f>
        <v>626</v>
      </c>
      <c r="C196" s="15">
        <f>C160-C190</f>
        <v>698</v>
      </c>
      <c r="D196" s="15">
        <f>D160-D190</f>
        <v>722</v>
      </c>
      <c r="E196" s="15">
        <f>E160-E190</f>
        <v>674</v>
      </c>
      <c r="F196" s="15">
        <f>F160-F190</f>
        <v>2720</v>
      </c>
      <c r="G196" s="15">
        <f>G160-G190</f>
        <v>710</v>
      </c>
      <c r="H196" s="15">
        <f>H160-H190</f>
        <v>685</v>
      </c>
      <c r="I196" s="38">
        <f>I160-I190</f>
        <v>734.4958986027398</v>
      </c>
      <c r="J196" s="2"/>
      <c r="K196" s="2"/>
      <c r="L196" s="2"/>
      <c r="M196" s="2"/>
      <c r="N196" s="2"/>
      <c r="O196" s="2"/>
    </row>
    <row r="197">
      <c r="A197" s="19" t="s">
        <v>122</v>
      </c>
      <c r="B197" s="12" t="s">
        <v>37</v>
      </c>
      <c r="C197" s="12" t="s">
        <v>37</v>
      </c>
      <c r="D197" s="12" t="s">
        <v>37</v>
      </c>
      <c r="E197" s="12" t="s">
        <v>37</v>
      </c>
      <c r="F197" s="12" t="s">
        <v>37</v>
      </c>
      <c r="G197" s="12">
        <f>G196/B196-1</f>
        <v>0.13418530351437696</v>
      </c>
      <c r="H197" s="12">
        <f>H196/C196-1</f>
        <v>-0.01862464183381085</v>
      </c>
      <c r="I197" s="35">
        <f>I196/D196-1</f>
        <v>0.01730733878495805</v>
      </c>
      <c r="J197" s="2"/>
      <c r="K197" s="2"/>
      <c r="L197" s="2"/>
      <c r="M197" s="2"/>
      <c r="N197" s="2"/>
      <c r="O197" s="2"/>
    </row>
    <row r="198">
      <c r="A198" s="36" t="s">
        <v>234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>
      <c r="A199" s="62" t="s">
        <v>235</v>
      </c>
      <c r="B199" s="8">
        <v>1</v>
      </c>
      <c r="C199" s="8">
        <v>1</v>
      </c>
      <c r="D199" s="8">
        <v>0</v>
      </c>
      <c r="E199" s="8">
        <v>1</v>
      </c>
      <c r="F199" s="3">
        <f>SUM(B199:E199)</f>
        <v>3</v>
      </c>
      <c r="G199" s="8">
        <v>1</v>
      </c>
      <c r="H199" s="8">
        <v>0</v>
      </c>
      <c r="I199" s="46">
        <f>I200*I36*(I$7/365)</f>
        <v>0.9592764383561645</v>
      </c>
      <c r="J199" s="2"/>
      <c r="K199" s="2"/>
      <c r="L199" s="2"/>
      <c r="M199" s="2"/>
      <c r="N199" s="2"/>
      <c r="O199" s="2"/>
    </row>
    <row r="200">
      <c r="A200" s="61" t="s">
        <v>236</v>
      </c>
      <c r="B200" s="69">
        <f>IF(B36=0,0,B199/B36/(B$7/365))</f>
        <v>0.0006348709385653657</v>
      </c>
      <c r="C200" s="69">
        <f>IF(C36=0,0,C199/C36/(C$7/365))</f>
        <v>0.0006028842643903519</v>
      </c>
      <c r="D200" s="69">
        <f>IF(D36=0,0,D199/D36/(D$7/365))</f>
        <v>0</v>
      </c>
      <c r="E200" s="69">
        <f>IF(E36=0,0,E199/E36/(E$7/365))</f>
        <v>0.0005836115481535489</v>
      </c>
      <c r="F200" s="69">
        <f>IF(F36=0,0,F199/F36/(F$7/365))</f>
        <v>0.00045121909509761787</v>
      </c>
      <c r="G200" s="69">
        <f>IF(G36=0,0,G199/G36/(G$7/365))</f>
        <v>0.0006200207239803632</v>
      </c>
      <c r="H200" s="69">
        <f>IF(H36=0,0,H199/H36/(H$7/365))</f>
        <v>0</v>
      </c>
      <c r="I200" s="75">
        <v>0.0005</v>
      </c>
      <c r="J200" s="6" t="s">
        <v>138</v>
      </c>
      <c r="K200" s="2"/>
      <c r="L200" s="2"/>
      <c r="M200" s="2"/>
      <c r="N200" s="2"/>
      <c r="O200" s="2"/>
    </row>
    <row r="201">
      <c r="A201" s="78" t="s">
        <v>144</v>
      </c>
      <c r="B201" s="5" t="s">
        <v>37</v>
      </c>
      <c r="C201" s="5">
        <f>IF(AND(ISNUMBER(C200),ISNUMBER(B200)),(C200-B200)*10000,"n/a")</f>
        <v>-0.3198667417501379</v>
      </c>
      <c r="D201" s="5">
        <f>IF(AND(ISNUMBER(D200),ISNUMBER(C200)),(D200-C200)*10000,"n/a")</f>
        <v>-6.028842643903519</v>
      </c>
      <c r="E201" s="5">
        <f>IF(AND(ISNUMBER(E200),ISNUMBER(D200)),(E200-D200)*10000,"n/a")</f>
        <v>5.836115481535488</v>
      </c>
      <c r="F201" s="5" t="s">
        <v>37</v>
      </c>
      <c r="G201" s="5">
        <f>IF(AND(ISNUMBER(G200),ISNUMBER(E200)),(G200-E200)*10000,"n/a")</f>
        <v>0.3640917582681431</v>
      </c>
      <c r="H201" s="5">
        <f>IF(AND(ISNUMBER(H200),ISNUMBER(G200)),(H200-G200)*10000,"n/a")</f>
        <v>-6.200207239803632</v>
      </c>
      <c r="I201" s="45">
        <f>IF(AND(ISNUMBER(I200),ISNUMBER(H200)),(I200-H200)*10000,"n/a")</f>
        <v>5</v>
      </c>
      <c r="J201" s="2"/>
      <c r="K201" s="2"/>
      <c r="L201" s="2"/>
      <c r="M201" s="2"/>
      <c r="N201" s="2"/>
      <c r="O201" s="2"/>
    </row>
    <row r="202">
      <c r="A202" s="78" t="s">
        <v>145</v>
      </c>
      <c r="B202" s="5" t="s">
        <v>37</v>
      </c>
      <c r="C202" s="5" t="s">
        <v>37</v>
      </c>
      <c r="D202" s="5" t="s">
        <v>37</v>
      </c>
      <c r="E202" s="5" t="s">
        <v>37</v>
      </c>
      <c r="F202" s="5" t="s">
        <v>37</v>
      </c>
      <c r="G202" s="5">
        <f>IF(AND(ISNUMBER(G200),ISNUMBER(B200)),(G200-B200)*10000,"n/a")</f>
        <v>-0.148502145850025</v>
      </c>
      <c r="H202" s="5">
        <f>IF(AND(ISNUMBER(H200),ISNUMBER(C200)),(H200-C200)*10000,"n/a")</f>
        <v>-6.028842643903519</v>
      </c>
      <c r="I202" s="45">
        <f>IF(AND(ISNUMBER(I200),ISNUMBER(D200)),(I200-D200)*10000,"n/a")</f>
        <v>5</v>
      </c>
      <c r="J202" s="2"/>
      <c r="K202" s="2"/>
      <c r="L202" s="2"/>
      <c r="M202" s="2"/>
      <c r="N202" s="2"/>
      <c r="O202" s="2"/>
    </row>
    <row r="203">
      <c r="A203" s="62" t="s">
        <v>359</v>
      </c>
      <c r="B203" s="8">
        <v>387</v>
      </c>
      <c r="C203" s="8">
        <v>380</v>
      </c>
      <c r="D203" s="8">
        <v>346</v>
      </c>
      <c r="E203" s="8">
        <v>358</v>
      </c>
      <c r="F203" s="3">
        <f>SUM(B203:E203)</f>
        <v>1471</v>
      </c>
      <c r="G203" s="8">
        <v>365</v>
      </c>
      <c r="H203" s="8">
        <v>367</v>
      </c>
      <c r="I203" s="46">
        <f>I204*I44*(I$7/365)</f>
        <v>385.0183841095891</v>
      </c>
      <c r="J203" s="2"/>
      <c r="K203" s="2"/>
      <c r="L203" s="2"/>
      <c r="M203" s="2"/>
      <c r="N203" s="2"/>
      <c r="O203" s="2"/>
    </row>
    <row r="204">
      <c r="A204" s="61" t="s">
        <v>236</v>
      </c>
      <c r="B204" s="69">
        <f>IF(B44=0,0,B203/B44/(B$7/365))</f>
        <v>0.0447367670951743</v>
      </c>
      <c r="C204" s="69">
        <f>IF(C44=0,0,C203/C44/(C$7/365))</f>
        <v>0.04300843207132888</v>
      </c>
      <c r="D204" s="69">
        <f>IF(D44=0,0,D203/D44/(D$7/365))</f>
        <v>0.038047545422665474</v>
      </c>
      <c r="E204" s="69">
        <f>IF(E44=0,0,E203/E44/(E$7/365))</f>
        <v>0.038367489315122544</v>
      </c>
      <c r="F204" s="69">
        <f>IF(F44=0,0,F203/F44/(F$7/365))</f>
        <v>0.04096262922532135</v>
      </c>
      <c r="G204" s="69">
        <f>IF(G44=0,0,G203/G44/(G$7/365))</f>
        <v>0.03964215681898658</v>
      </c>
      <c r="H204" s="69">
        <f>IF(H44=0,0,H203/H44/(H$7/365))</f>
        <v>0.03833119722503364</v>
      </c>
      <c r="I204" s="75">
        <v>0.038</v>
      </c>
      <c r="J204" s="6" t="s">
        <v>138</v>
      </c>
      <c r="K204" s="2"/>
      <c r="L204" s="2"/>
      <c r="M204" s="2"/>
      <c r="N204" s="2"/>
      <c r="O204" s="2"/>
    </row>
    <row r="205">
      <c r="A205" s="78" t="s">
        <v>144</v>
      </c>
      <c r="B205" s="5" t="s">
        <v>37</v>
      </c>
      <c r="C205" s="5">
        <f>IF(AND(ISNUMBER(C204),ISNUMBER(B204)),(C204-B204)*10000,"n/a")</f>
        <v>-17.283350238454233</v>
      </c>
      <c r="D205" s="5">
        <f>IF(AND(ISNUMBER(D204),ISNUMBER(C204)),(D204-C204)*10000,"n/a")</f>
        <v>-49.60886648663406</v>
      </c>
      <c r="E205" s="5">
        <f>IF(AND(ISNUMBER(E204),ISNUMBER(D204)),(E204-D204)*10000,"n/a")</f>
        <v>3.1994389245706967</v>
      </c>
      <c r="F205" s="5" t="s">
        <v>37</v>
      </c>
      <c r="G205" s="5">
        <f>IF(AND(ISNUMBER(G204),ISNUMBER(E204)),(G204-E204)*10000,"n/a")</f>
        <v>12.74667503864034</v>
      </c>
      <c r="H205" s="5">
        <f>IF(AND(ISNUMBER(H204),ISNUMBER(G204)),(H204-G204)*10000,"n/a")</f>
        <v>-13.109595939529358</v>
      </c>
      <c r="I205" s="45">
        <f>IF(AND(ISNUMBER(I204),ISNUMBER(H204)),(I204-H204)*10000,"n/a")</f>
        <v>-3.3119722503364284</v>
      </c>
      <c r="J205" s="2"/>
      <c r="K205" s="2"/>
      <c r="L205" s="2"/>
      <c r="M205" s="2"/>
      <c r="N205" s="2"/>
      <c r="O205" s="2"/>
    </row>
    <row r="206">
      <c r="A206" s="78" t="s">
        <v>145</v>
      </c>
      <c r="B206" s="5" t="s">
        <v>37</v>
      </c>
      <c r="C206" s="5" t="s">
        <v>37</v>
      </c>
      <c r="D206" s="5" t="s">
        <v>37</v>
      </c>
      <c r="E206" s="5" t="s">
        <v>37</v>
      </c>
      <c r="F206" s="5" t="s">
        <v>37</v>
      </c>
      <c r="G206" s="5">
        <f>IF(AND(ISNUMBER(G204),ISNUMBER(B204)),(G204-B204)*10000,"n/a")</f>
        <v>-50.94610276187725</v>
      </c>
      <c r="H206" s="5">
        <f>IF(AND(ISNUMBER(H204),ISNUMBER(C204)),(H204-C204)*10000,"n/a")</f>
        <v>-46.77234846295238</v>
      </c>
      <c r="I206" s="45">
        <f>IF(AND(ISNUMBER(I204),ISNUMBER(D204)),(I204-D204)*10000,"n/a")</f>
        <v>-0.4754542266547507</v>
      </c>
      <c r="J206" s="2"/>
      <c r="K206" s="2"/>
      <c r="L206" s="2"/>
      <c r="M206" s="2"/>
      <c r="N206" s="2"/>
      <c r="O206" s="2"/>
    </row>
    <row r="207">
      <c r="A207" s="62" t="s">
        <v>238</v>
      </c>
      <c r="B207" s="8">
        <v>1</v>
      </c>
      <c r="C207" s="8">
        <v>0</v>
      </c>
      <c r="D207" s="8">
        <v>1</v>
      </c>
      <c r="E207" s="8">
        <v>1</v>
      </c>
      <c r="F207" s="3">
        <f>SUM(B207:E207)</f>
        <v>3</v>
      </c>
      <c r="G207" s="8">
        <v>1</v>
      </c>
      <c r="H207" s="8">
        <v>1</v>
      </c>
      <c r="I207" s="46">
        <f>I208*I48*(I$7/365)</f>
        <v>1.0112438356164386</v>
      </c>
      <c r="J207" s="2"/>
      <c r="K207" s="2"/>
      <c r="L207" s="2"/>
      <c r="M207" s="2"/>
      <c r="N207" s="2"/>
      <c r="O207" s="2"/>
    </row>
    <row r="208">
      <c r="A208" s="61" t="s">
        <v>236</v>
      </c>
      <c r="B208" s="69">
        <f>IF(B48=0,0,B207/B48/(B$7/365))</f>
        <v>0.0298202614379085</v>
      </c>
      <c r="C208" s="69">
        <f>IF(C48=0,0,C207/C48/(C$7/365))</f>
        <v>0</v>
      </c>
      <c r="D208" s="69">
        <f>IF(D48=0,0,D207/D48/(D$7/365))</f>
        <v>0.03099524456521739</v>
      </c>
      <c r="E208" s="69">
        <f>IF(E48=0,0,E207/E48/(E$7/365))</f>
        <v>0.03148723257418909</v>
      </c>
      <c r="F208" s="69">
        <f>IF(F48=0,0,F207/F48/(F$7/365))</f>
        <v>0.02299454010919782</v>
      </c>
      <c r="G208" s="69">
        <f>IF(G48=0,0,G207/G48/(G$7/365))</f>
        <v>0.03351698806244261</v>
      </c>
      <c r="H208" s="69">
        <f>IF(H48=0,0,H207/H48/(H$7/365))</f>
        <v>0.03399143229651704</v>
      </c>
      <c r="I208" s="75">
        <v>0.034</v>
      </c>
      <c r="J208" s="6" t="s">
        <v>138</v>
      </c>
      <c r="K208" s="2"/>
      <c r="L208" s="2"/>
      <c r="M208" s="2"/>
      <c r="N208" s="2"/>
      <c r="O208" s="2"/>
    </row>
    <row r="209">
      <c r="A209" s="78" t="s">
        <v>144</v>
      </c>
      <c r="B209" s="5" t="s">
        <v>37</v>
      </c>
      <c r="C209" s="5">
        <f>IF(AND(ISNUMBER(C208),ISNUMBER(B208)),(C208-B208)*10000,"n/a")</f>
        <v>-298.202614379085</v>
      </c>
      <c r="D209" s="5">
        <f>IF(AND(ISNUMBER(D208),ISNUMBER(C208)),(D208-C208)*10000,"n/a")</f>
        <v>309.9524456521739</v>
      </c>
      <c r="E209" s="5">
        <f>IF(AND(ISNUMBER(E208),ISNUMBER(D208)),(E208-D208)*10000,"n/a")</f>
        <v>4.919880089717006</v>
      </c>
      <c r="F209" s="5" t="s">
        <v>37</v>
      </c>
      <c r="G209" s="5">
        <f>IF(AND(ISNUMBER(G208),ISNUMBER(E208)),(G208-E208)*10000,"n/a")</f>
        <v>20.29755488253522</v>
      </c>
      <c r="H209" s="5">
        <f>IF(AND(ISNUMBER(H208),ISNUMBER(G208)),(H208-G208)*10000,"n/a")</f>
        <v>4.7444423407443095</v>
      </c>
      <c r="I209" s="45">
        <f>IF(AND(ISNUMBER(I208),ISNUMBER(H208)),(I208-H208)*10000,"n/a")</f>
        <v>0.08567703482960376</v>
      </c>
      <c r="J209" s="2"/>
      <c r="K209" s="2"/>
      <c r="L209" s="2"/>
      <c r="M209" s="2"/>
      <c r="N209" s="2"/>
      <c r="O209" s="2"/>
    </row>
    <row r="210">
      <c r="A210" s="78" t="s">
        <v>145</v>
      </c>
      <c r="B210" s="5" t="s">
        <v>37</v>
      </c>
      <c r="C210" s="5" t="s">
        <v>37</v>
      </c>
      <c r="D210" s="5" t="s">
        <v>37</v>
      </c>
      <c r="E210" s="5" t="s">
        <v>37</v>
      </c>
      <c r="F210" s="5" t="s">
        <v>37</v>
      </c>
      <c r="G210" s="5">
        <f>IF(AND(ISNUMBER(G208),ISNUMBER(B208)),(G208-B208)*10000,"n/a")</f>
        <v>36.96726624534113</v>
      </c>
      <c r="H210" s="5">
        <f>IF(AND(ISNUMBER(H208),ISNUMBER(C208)),(H208-C208)*10000,"n/a")</f>
        <v>339.9143229651704</v>
      </c>
      <c r="I210" s="45">
        <f>IF(AND(ISNUMBER(I208),ISNUMBER(D208)),(I208-D208)*10000,"n/a")</f>
        <v>30.04755434782614</v>
      </c>
      <c r="J210" s="2"/>
      <c r="K210" s="2"/>
      <c r="L210" s="2"/>
      <c r="M210" s="2"/>
      <c r="N210" s="2"/>
      <c r="O210" s="2"/>
    </row>
    <row r="211">
      <c r="A211" s="68" t="s">
        <v>239</v>
      </c>
      <c r="B211" s="15">
        <f>B199+B203+B207</f>
        <v>389</v>
      </c>
      <c r="C211" s="15">
        <f>C199+C203+C207</f>
        <v>381</v>
      </c>
      <c r="D211" s="15">
        <f>D199+D203+D207</f>
        <v>347</v>
      </c>
      <c r="E211" s="15">
        <f>E199+E203+E207</f>
        <v>360</v>
      </c>
      <c r="F211" s="15">
        <f>F199+F203+F207</f>
        <v>1477</v>
      </c>
      <c r="G211" s="15">
        <f>G199+G203+G207</f>
        <v>367</v>
      </c>
      <c r="H211" s="15">
        <f>H199+H203+H207</f>
        <v>368</v>
      </c>
      <c r="I211" s="38">
        <f>I199+I203+I207</f>
        <v>386.98890438356165</v>
      </c>
      <c r="J211" s="2"/>
      <c r="K211" s="2"/>
      <c r="L211" s="2"/>
      <c r="M211" s="2"/>
      <c r="N211" s="2"/>
      <c r="O211" s="2"/>
    </row>
    <row r="212">
      <c r="A212" s="19" t="s">
        <v>240</v>
      </c>
      <c r="B212" s="69">
        <f>B211/B52/(B$7/365)</f>
        <v>0.037916963758769226</v>
      </c>
      <c r="C212" s="69">
        <f>C211/C52/(C$7/365)</f>
        <v>0.03619237431761115</v>
      </c>
      <c r="D212" s="69">
        <f>D211/D52/(D$7/365)</f>
        <v>0.032047973150096505</v>
      </c>
      <c r="E212" s="69">
        <f>E211/E52/(E$7/365)</f>
        <v>0.03250257992320091</v>
      </c>
      <c r="F212" s="69">
        <f>F211/F52/(F$7/365)</f>
        <v>0.0345983465083077</v>
      </c>
      <c r="G212" s="69">
        <f>G211/G52/(G$7/365)</f>
        <v>0.03382471397152215</v>
      </c>
      <c r="H212" s="69">
        <f>H211/H52/(H$7/365)</f>
        <v>0.03212492558913435</v>
      </c>
      <c r="I212" s="67">
        <f>I211/I52/(I$7/365)</f>
        <v>0.03203455574334671</v>
      </c>
      <c r="J212" s="2"/>
      <c r="K212" s="2"/>
      <c r="L212" s="2"/>
      <c r="M212" s="2"/>
      <c r="N212" s="2"/>
      <c r="O212" s="2"/>
    </row>
    <row r="213">
      <c r="A213" s="14" t="s">
        <v>144</v>
      </c>
      <c r="B213" s="5" t="s">
        <v>37</v>
      </c>
      <c r="C213" s="5">
        <f>IF(AND(ISNUMBER(C212),ISNUMBER(B212)),(C212-B212)*10000,"n/a")</f>
        <v>-17.24589441158074</v>
      </c>
      <c r="D213" s="5">
        <f>IF(AND(ISNUMBER(D212),ISNUMBER(C212)),(D212-C212)*10000,"n/a")</f>
        <v>-41.44401167514647</v>
      </c>
      <c r="E213" s="5">
        <f>IF(AND(ISNUMBER(E212),ISNUMBER(D212)),(E212-D212)*10000,"n/a")</f>
        <v>4.546067731044031</v>
      </c>
      <c r="F213" s="5" t="s">
        <v>37</v>
      </c>
      <c r="G213" s="5">
        <f>IF(AND(ISNUMBER(G212),ISNUMBER(E212)),(G212-E212)*10000,"n/a")</f>
        <v>13.221340483212385</v>
      </c>
      <c r="H213" s="5">
        <f>IF(AND(ISNUMBER(H212),ISNUMBER(G212)),(H212-G212)*10000,"n/a")</f>
        <v>-16.997883823877956</v>
      </c>
      <c r="I213" s="45">
        <f>IF(AND(ISNUMBER(I212),ISNUMBER(H212)),(I212-H212)*10000,"n/a")</f>
        <v>-0.9036984578764118</v>
      </c>
      <c r="J213" s="2"/>
      <c r="K213" s="2"/>
      <c r="L213" s="2"/>
      <c r="M213" s="2"/>
      <c r="N213" s="2"/>
      <c r="O213" s="2"/>
    </row>
    <row r="214">
      <c r="A214" s="14" t="s">
        <v>145</v>
      </c>
      <c r="B214" s="5" t="s">
        <v>37</v>
      </c>
      <c r="C214" s="5" t="s">
        <v>37</v>
      </c>
      <c r="D214" s="5" t="s">
        <v>37</v>
      </c>
      <c r="E214" s="5" t="s">
        <v>37</v>
      </c>
      <c r="F214" s="5" t="s">
        <v>37</v>
      </c>
      <c r="G214" s="5">
        <f>IF(AND(ISNUMBER(G212),ISNUMBER(B212)),(G212-B212)*10000,"n/a")</f>
        <v>-40.92249787247079</v>
      </c>
      <c r="H214" s="5">
        <f>IF(AND(ISNUMBER(H212),ISNUMBER(C212)),(H212-C212)*10000,"n/a")</f>
        <v>-40.67448728476801</v>
      </c>
      <c r="I214" s="45">
        <f>IF(AND(ISNUMBER(I212),ISNUMBER(D212)),(I212-D212)*10000,"n/a")</f>
        <v>-0.13417406749795247</v>
      </c>
      <c r="J214" s="2"/>
      <c r="K214" s="2"/>
      <c r="L214" s="2"/>
      <c r="M214" s="2"/>
      <c r="N214" s="2"/>
      <c r="O214" s="2"/>
    </row>
    <row r="215">
      <c r="A215" s="36" t="s">
        <v>360</v>
      </c>
      <c r="B215" s="8">
        <v>0</v>
      </c>
      <c r="C215" s="8">
        <v>0</v>
      </c>
      <c r="D215" s="8">
        <v>0</v>
      </c>
      <c r="E215" s="8">
        <v>0</v>
      </c>
      <c r="F215" s="3">
        <f>SUM(B215:E215)</f>
        <v>0</v>
      </c>
      <c r="G215" s="8">
        <v>0</v>
      </c>
      <c r="H215" s="8">
        <v>0</v>
      </c>
      <c r="I215" s="32">
        <v>160</v>
      </c>
      <c r="J215" s="6" t="s">
        <v>361</v>
      </c>
      <c r="K215" s="2"/>
      <c r="L215" s="2"/>
      <c r="M215" s="2"/>
      <c r="N215" s="2"/>
      <c r="O215" s="2"/>
    </row>
    <row r="216">
      <c r="A216" s="14" t="s">
        <v>340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>
      <c r="A217" s="36" t="s">
        <v>241</v>
      </c>
      <c r="B217" s="3">
        <f>B220-B211-B215</f>
        <v>-72</v>
      </c>
      <c r="C217" s="3">
        <f>C220-C211-C215</f>
        <v>3</v>
      </c>
      <c r="D217" s="3">
        <f>D220-D211-D215</f>
        <v>62</v>
      </c>
      <c r="E217" s="3">
        <f>E220-E211-E215</f>
        <v>101</v>
      </c>
      <c r="F217" s="3">
        <f>F220-F211-F215</f>
        <v>94</v>
      </c>
      <c r="G217" s="3">
        <f>G220-G211-G215</f>
        <v>-20</v>
      </c>
      <c r="H217" s="3">
        <f>H220-H211-H215</f>
        <v>17</v>
      </c>
      <c r="I217" s="32">
        <v>20</v>
      </c>
      <c r="J217" s="6" t="s">
        <v>138</v>
      </c>
      <c r="K217" s="2"/>
      <c r="L217" s="2"/>
      <c r="M217" s="2"/>
      <c r="N217" s="2"/>
      <c r="O217" s="2"/>
    </row>
    <row r="218">
      <c r="A218" s="14" t="s">
        <v>242</v>
      </c>
      <c r="B218" s="1" t="s">
        <v>37</v>
      </c>
      <c r="C218" s="1" t="s">
        <v>37</v>
      </c>
      <c r="D218" s="1" t="s">
        <v>37</v>
      </c>
      <c r="E218" s="1" t="s">
        <v>37</v>
      </c>
      <c r="F218" s="1" t="s">
        <v>37</v>
      </c>
      <c r="G218" s="1">
        <f>IF(AND(ISNUMBER(G217),ISNUMBER(B217)),G217-B217,"n/a")</f>
        <v>52</v>
      </c>
      <c r="H218" s="1">
        <f>IF(AND(ISNUMBER(H217),ISNUMBER(C217)),H217-C217,"n/a")</f>
        <v>14</v>
      </c>
      <c r="I218" s="13">
        <f>IF(AND(ISNUMBER(I217),ISNUMBER(D217)),I217-D217,"n/a")</f>
        <v>-42</v>
      </c>
      <c r="J218" s="2"/>
      <c r="K218" s="2"/>
      <c r="L218" s="2"/>
      <c r="M218" s="2"/>
      <c r="N218" s="2"/>
      <c r="O218" s="2"/>
    </row>
    <row r="219">
      <c r="A219" s="14" t="s">
        <v>110</v>
      </c>
      <c r="B219" s="1" t="s">
        <v>37</v>
      </c>
      <c r="C219" s="1">
        <f>IF(AND(ISNUMBER(C217),ISNUMBER(B217)),C217-B217,"n/a")</f>
        <v>75</v>
      </c>
      <c r="D219" s="1">
        <f>IF(AND(ISNUMBER(D217),ISNUMBER(C217)),D217-C217,"n/a")</f>
        <v>59</v>
      </c>
      <c r="E219" s="1">
        <f>IF(AND(ISNUMBER(E217),ISNUMBER(D217)),E217-D217,"n/a")</f>
        <v>39</v>
      </c>
      <c r="F219" s="1" t="s">
        <v>37</v>
      </c>
      <c r="G219" s="1">
        <f>IF(AND(ISNUMBER(G217),ISNUMBER(E217)),G217-E217,"n/a")</f>
        <v>-121</v>
      </c>
      <c r="H219" s="1">
        <f>IF(AND(ISNUMBER(H217),ISNUMBER(G217)),H217-G217,"n/a")</f>
        <v>37</v>
      </c>
      <c r="I219" s="13">
        <f>IF(AND(ISNUMBER(I217),ISNUMBER(H217)),I217-H217,"n/a")</f>
        <v>3</v>
      </c>
      <c r="J219" s="2"/>
      <c r="K219" s="2"/>
      <c r="L219" s="2"/>
      <c r="M219" s="2"/>
      <c r="N219" s="2"/>
      <c r="O219" s="2"/>
    </row>
    <row r="220">
      <c r="A220" s="68" t="s">
        <v>243</v>
      </c>
      <c r="B220" s="25">
        <v>317</v>
      </c>
      <c r="C220" s="25">
        <v>384</v>
      </c>
      <c r="D220" s="25">
        <v>409</v>
      </c>
      <c r="E220" s="25">
        <v>461</v>
      </c>
      <c r="F220" s="15">
        <f>SUM(B220:E220)</f>
        <v>1571</v>
      </c>
      <c r="G220" s="25">
        <v>347</v>
      </c>
      <c r="H220" s="25">
        <v>385</v>
      </c>
      <c r="I220" s="38">
        <f>I211+I217+I215</f>
        <v>566.9889043835617</v>
      </c>
      <c r="J220" s="2"/>
      <c r="K220" s="2"/>
      <c r="L220" s="2"/>
      <c r="M220" s="2"/>
      <c r="N220" s="2"/>
      <c r="O220" s="2"/>
    </row>
    <row r="221">
      <c r="A221" s="16" t="s">
        <v>244</v>
      </c>
      <c r="B221" s="15">
        <f>B196-B220</f>
        <v>309</v>
      </c>
      <c r="C221" s="15">
        <f>C196-C220</f>
        <v>314</v>
      </c>
      <c r="D221" s="15">
        <f>D196-D220</f>
        <v>313</v>
      </c>
      <c r="E221" s="15">
        <f>E196-E220</f>
        <v>213</v>
      </c>
      <c r="F221" s="15">
        <f>F196-F220</f>
        <v>1149</v>
      </c>
      <c r="G221" s="15">
        <f>G196-G220</f>
        <v>363</v>
      </c>
      <c r="H221" s="15">
        <f>H196-H220</f>
        <v>300</v>
      </c>
      <c r="I221" s="38">
        <f>I196-I220</f>
        <v>167.50699421917807</v>
      </c>
      <c r="J221" s="2"/>
      <c r="K221" s="2"/>
      <c r="L221" s="2"/>
      <c r="M221" s="2"/>
      <c r="N221" s="2"/>
      <c r="O221" s="2"/>
    </row>
    <row r="222">
      <c r="A222" s="19" t="s">
        <v>245</v>
      </c>
      <c r="B222" s="12">
        <f>B225/B221</f>
        <v>0.24919093851132687</v>
      </c>
      <c r="C222" s="12">
        <f>C225/C221</f>
        <v>0.2515923566878981</v>
      </c>
      <c r="D222" s="12">
        <f>D225/D221</f>
        <v>0.24920127795527156</v>
      </c>
      <c r="E222" s="12">
        <f>E225/E221</f>
        <v>0.24882629107981222</v>
      </c>
      <c r="F222" s="12">
        <f>F225/F221</f>
        <v>0.24978241949521324</v>
      </c>
      <c r="G222" s="12">
        <f>G225/G221</f>
        <v>0.25068870523415976</v>
      </c>
      <c r="H222" s="12">
        <f>H225/H221</f>
        <v>0.25</v>
      </c>
      <c r="I222" s="60">
        <v>0.25</v>
      </c>
      <c r="J222" s="2"/>
      <c r="K222" s="2"/>
      <c r="L222" s="2"/>
      <c r="M222" s="2"/>
      <c r="N222" s="2"/>
      <c r="O222" s="2"/>
    </row>
    <row r="223">
      <c r="A223" s="14" t="s">
        <v>144</v>
      </c>
      <c r="B223" s="5" t="s">
        <v>37</v>
      </c>
      <c r="C223" s="5">
        <f>IF(AND(ISNUMBER(C222),ISNUMBER(B222)),(C222-B222)*10000,"n/a")</f>
        <v>24.014181765712184</v>
      </c>
      <c r="D223" s="5">
        <f>IF(AND(ISNUMBER(D222),ISNUMBER(C222)),(D222-C222)*10000,"n/a")</f>
        <v>-23.910787326265336</v>
      </c>
      <c r="E223" s="5">
        <f>IF(AND(ISNUMBER(E222),ISNUMBER(D222)),(E222-D222)*10000,"n/a")</f>
        <v>-3.7498687545933773</v>
      </c>
      <c r="F223" s="5" t="s">
        <v>37</v>
      </c>
      <c r="G223" s="5">
        <f>IF(AND(ISNUMBER(G222),ISNUMBER(E222)),(G222-E222)*10000,"n/a")</f>
        <v>18.624141543475414</v>
      </c>
      <c r="H223" s="5">
        <f>IF(AND(ISNUMBER(H222),ISNUMBER(G222)),(H222-G222)*10000,"n/a")</f>
        <v>-6.887052341597588</v>
      </c>
      <c r="I223" s="45">
        <f>IF(AND(ISNUMBER(I222),ISNUMBER(H222)),(I222-H222)*10000,"n/a")</f>
        <v>0</v>
      </c>
      <c r="J223" s="2"/>
      <c r="K223" s="2"/>
      <c r="L223" s="2"/>
      <c r="M223" s="2"/>
      <c r="N223" s="2"/>
      <c r="O223" s="2"/>
    </row>
    <row r="224">
      <c r="A224" s="14" t="s">
        <v>145</v>
      </c>
      <c r="B224" s="5" t="s">
        <v>37</v>
      </c>
      <c r="C224" s="5" t="s">
        <v>37</v>
      </c>
      <c r="D224" s="5" t="s">
        <v>37</v>
      </c>
      <c r="E224" s="5" t="s">
        <v>37</v>
      </c>
      <c r="F224" s="5" t="s">
        <v>37</v>
      </c>
      <c r="G224" s="5">
        <f>IF(AND(ISNUMBER(G222),ISNUMBER(B222)),(G222-B222)*10000,"n/a")</f>
        <v>14.977667228328883</v>
      </c>
      <c r="H224" s="5">
        <f>IF(AND(ISNUMBER(H222),ISNUMBER(C222)),(H222-C222)*10000,"n/a")</f>
        <v>-15.923566878980889</v>
      </c>
      <c r="I224" s="45">
        <f>IF(AND(ISNUMBER(I222),ISNUMBER(D222)),(I222-D222)*10000,"n/a")</f>
        <v>7.987220447284448</v>
      </c>
      <c r="J224" s="2"/>
      <c r="K224" s="2"/>
      <c r="L224" s="2"/>
      <c r="M224" s="2"/>
      <c r="N224" s="2"/>
      <c r="O224" s="2"/>
    </row>
    <row r="225">
      <c r="A225" s="36" t="s">
        <v>246</v>
      </c>
      <c r="B225" s="8">
        <v>77</v>
      </c>
      <c r="C225" s="8">
        <v>79</v>
      </c>
      <c r="D225" s="8">
        <v>78</v>
      </c>
      <c r="E225" s="8">
        <v>53</v>
      </c>
      <c r="F225" s="3">
        <f>SUM(B225:E225)</f>
        <v>287</v>
      </c>
      <c r="G225" s="8">
        <v>91</v>
      </c>
      <c r="H225" s="8">
        <v>75</v>
      </c>
      <c r="I225" s="46">
        <f>I221*I222</f>
        <v>41.87674855479452</v>
      </c>
      <c r="J225" s="2"/>
      <c r="K225" s="2"/>
      <c r="L225" s="2"/>
      <c r="M225" s="2"/>
      <c r="N225" s="2"/>
      <c r="O225" s="2"/>
    </row>
    <row r="226">
      <c r="A226" s="16" t="s">
        <v>247</v>
      </c>
      <c r="B226" s="15">
        <f>B221-B225</f>
        <v>232</v>
      </c>
      <c r="C226" s="15">
        <f>C221-C225</f>
        <v>235</v>
      </c>
      <c r="D226" s="15">
        <f>D221-D225</f>
        <v>235</v>
      </c>
      <c r="E226" s="15">
        <f>E221-E225</f>
        <v>160</v>
      </c>
      <c r="F226" s="15">
        <f>F221-F225</f>
        <v>862</v>
      </c>
      <c r="G226" s="15">
        <f>G221-G225</f>
        <v>272</v>
      </c>
      <c r="H226" s="15">
        <f>H221-H225</f>
        <v>225</v>
      </c>
      <c r="I226" s="38">
        <f>I221-I225</f>
        <v>125.63024566438355</v>
      </c>
      <c r="J226" s="2"/>
      <c r="K226" s="2"/>
      <c r="L226" s="2"/>
      <c r="M226" s="2"/>
      <c r="N226" s="2"/>
      <c r="O226" s="2"/>
    </row>
    <row r="227">
      <c r="A227" s="19" t="s">
        <v>122</v>
      </c>
      <c r="B227" s="12" t="s">
        <v>37</v>
      </c>
      <c r="C227" s="12" t="s">
        <v>37</v>
      </c>
      <c r="D227" s="12" t="s">
        <v>37</v>
      </c>
      <c r="E227" s="12" t="s">
        <v>37</v>
      </c>
      <c r="F227" s="12" t="s">
        <v>37</v>
      </c>
      <c r="G227" s="12">
        <f>G226/B226-1</f>
        <v>0.17241379310344818</v>
      </c>
      <c r="H227" s="12">
        <f>H226/C226-1</f>
        <v>-0.04255319148936165</v>
      </c>
      <c r="I227" s="35">
        <f>I226/D226-1</f>
        <v>-0.46540320993879336</v>
      </c>
      <c r="J227" s="2"/>
      <c r="K227" s="2"/>
      <c r="L227" s="2"/>
      <c r="M227" s="2"/>
      <c r="N227" s="2"/>
      <c r="O227" s="2"/>
    </row>
    <row r="228">
      <c r="A228" s="19" t="s">
        <v>95</v>
      </c>
      <c r="B228" s="12" t="s">
        <v>37</v>
      </c>
      <c r="C228" s="12">
        <f>C226/B226-1</f>
        <v>0.012931034482758674</v>
      </c>
      <c r="D228" s="12">
        <f>D226/C226-1</f>
        <v>0</v>
      </c>
      <c r="E228" s="12">
        <f>E226/D226-1</f>
        <v>-0.3191489361702128</v>
      </c>
      <c r="F228" s="12" t="s">
        <v>37</v>
      </c>
      <c r="G228" s="12">
        <f>G226/E226-1</f>
        <v>0.7</v>
      </c>
      <c r="H228" s="12">
        <f>H226/G226-1</f>
        <v>-0.17279411764705888</v>
      </c>
      <c r="I228" s="35">
        <f>I226/H226-1</f>
        <v>-0.4416433526027398</v>
      </c>
      <c r="J228" s="2"/>
      <c r="K228" s="2"/>
      <c r="L228" s="2"/>
      <c r="M228" s="2"/>
      <c r="N228" s="2"/>
      <c r="O228" s="2"/>
    </row>
    <row r="229">
      <c r="A229" s="26" t="s">
        <v>248</v>
      </c>
      <c r="B229" s="12">
        <f>B221/B160</f>
        <v>0.186819830713422</v>
      </c>
      <c r="C229" s="12">
        <f>C221/C160</f>
        <v>0.18319719953325556</v>
      </c>
      <c r="D229" s="12">
        <f>D221/D160</f>
        <v>0.17844925883694412</v>
      </c>
      <c r="E229" s="12">
        <f>E221/E160</f>
        <v>0.12081678956324447</v>
      </c>
      <c r="F229" s="12">
        <f>F221/F160</f>
        <v>0.16688453159041394</v>
      </c>
      <c r="G229" s="12">
        <f>G221/G160</f>
        <v>0.2111692844677138</v>
      </c>
      <c r="H229" s="12">
        <f>H221/H160</f>
        <v>0.16556291390728478</v>
      </c>
      <c r="I229" s="35">
        <f>I221/I160</f>
        <v>0.08936728647488061</v>
      </c>
      <c r="J229" s="2"/>
      <c r="K229" s="2"/>
      <c r="L229" s="2"/>
      <c r="M229" s="2"/>
      <c r="N229" s="2"/>
      <c r="O229" s="2"/>
    </row>
    <row r="230">
      <c r="A230" s="19" t="s">
        <v>144</v>
      </c>
      <c r="B230" s="5" t="s">
        <v>37</v>
      </c>
      <c r="C230" s="5">
        <f>IF(AND(ISNUMBER(C229),ISNUMBER(B229)),(C229-B229)*10000,"n/a")</f>
        <v>-36.22631180166452</v>
      </c>
      <c r="D230" s="5">
        <f>IF(AND(ISNUMBER(D229),ISNUMBER(C229)),(D229-C229)*10000,"n/a")</f>
        <v>-47.479406963114315</v>
      </c>
      <c r="E230" s="5">
        <f>IF(AND(ISNUMBER(E229),ISNUMBER(D229)),(E229-D229)*10000,"n/a")</f>
        <v>-576.3246927369966</v>
      </c>
      <c r="F230" s="5" t="s">
        <v>37</v>
      </c>
      <c r="G230" s="5">
        <f>IF(AND(ISNUMBER(G229),ISNUMBER(E229)),(G229-E229)*10000,"n/a")</f>
        <v>903.5249490446932</v>
      </c>
      <c r="H230" s="5">
        <f>IF(AND(ISNUMBER(H229),ISNUMBER(G229)),(H229-G229)*10000,"n/a")</f>
        <v>-456.06370560429013</v>
      </c>
      <c r="I230" s="45">
        <f>IF(AND(ISNUMBER(I229),ISNUMBER(H229)),(I229-H229)*10000,"n/a")</f>
        <v>-761.9562743240417</v>
      </c>
      <c r="J230" s="2"/>
      <c r="K230" s="2"/>
      <c r="L230" s="2"/>
      <c r="M230" s="2"/>
      <c r="N230" s="2"/>
      <c r="O230" s="2"/>
    </row>
    <row r="231">
      <c r="A231" s="19" t="s">
        <v>145</v>
      </c>
      <c r="B231" s="5" t="s">
        <v>37</v>
      </c>
      <c r="C231" s="5" t="s">
        <v>37</v>
      </c>
      <c r="D231" s="5" t="s">
        <v>37</v>
      </c>
      <c r="E231" s="5" t="s">
        <v>37</v>
      </c>
      <c r="F231" s="5" t="s">
        <v>37</v>
      </c>
      <c r="G231" s="5">
        <f>IF(AND(ISNUMBER(G229),ISNUMBER(B229)),(G229-B229)*10000,"n/a")</f>
        <v>243.4945375429179</v>
      </c>
      <c r="H231" s="5">
        <f>IF(AND(ISNUMBER(H229),ISNUMBER(C229)),(H229-C229)*10000,"n/a")</f>
        <v>-176.34285625970776</v>
      </c>
      <c r="I231" s="45">
        <f>IF(AND(ISNUMBER(I229),ISNUMBER(D229)),(I229-D229)*10000,"n/a")</f>
        <v>-890.8197236206352</v>
      </c>
      <c r="J231" s="2"/>
      <c r="K231" s="2"/>
      <c r="L231" s="2"/>
      <c r="M231" s="2"/>
      <c r="N231" s="2"/>
      <c r="O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O97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362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363</v>
      </c>
      <c r="B9" s="2"/>
      <c r="C9" s="2"/>
      <c r="D9" s="2"/>
      <c r="E9" s="2"/>
      <c r="F9" s="2"/>
      <c r="G9" s="2"/>
      <c r="H9" s="2"/>
      <c r="I9" s="2"/>
      <c r="J9" s="2" t="s">
        <v>154</v>
      </c>
      <c r="K9" s="2"/>
      <c r="L9" s="2"/>
      <c r="M9" s="2"/>
      <c r="N9" s="2"/>
      <c r="O9" s="2"/>
    </row>
    <row r="10">
      <c r="A10" s="36" t="s">
        <v>155</v>
      </c>
      <c r="B10" s="8">
        <v>1317</v>
      </c>
      <c r="C10" s="8">
        <v>1258</v>
      </c>
      <c r="D10" s="8">
        <v>1329</v>
      </c>
      <c r="E10" s="8">
        <v>1346</v>
      </c>
      <c r="F10" s="3">
        <f>SUMPRODUCT(B10:E10,B$7:E$7)/F$7</f>
        <v>1312.6246575342466</v>
      </c>
      <c r="G10" s="8">
        <v>1414</v>
      </c>
      <c r="H10" s="8">
        <v>1564</v>
      </c>
      <c r="I10" s="46">
        <f>H10*(1+I11)</f>
        <v>1564</v>
      </c>
      <c r="J10" s="2"/>
      <c r="K10" s="2"/>
      <c r="L10" s="2"/>
      <c r="M10" s="2"/>
      <c r="N10" s="2"/>
      <c r="O10" s="2"/>
    </row>
    <row r="11">
      <c r="A11" s="14" t="s">
        <v>95</v>
      </c>
      <c r="B11" s="12" t="s">
        <v>37</v>
      </c>
      <c r="C11" s="12">
        <f>C10/B10-1</f>
        <v>-0.04479878511769175</v>
      </c>
      <c r="D11" s="12">
        <f>D10/C10-1</f>
        <v>0.056438791732909444</v>
      </c>
      <c r="E11" s="12">
        <f>E10/D10-1</f>
        <v>0.012791572610985735</v>
      </c>
      <c r="F11" s="12" t="s">
        <v>37</v>
      </c>
      <c r="G11" s="12">
        <f>G10/E10-1</f>
        <v>0.050520059435364084</v>
      </c>
      <c r="H11" s="12">
        <f>H10/G10-1</f>
        <v>0.10608203677510608</v>
      </c>
      <c r="I11" s="60">
        <v>0</v>
      </c>
      <c r="J11" s="6" t="s">
        <v>138</v>
      </c>
      <c r="K11" s="2"/>
      <c r="L11" s="2"/>
      <c r="M11" s="2"/>
      <c r="N11" s="2"/>
      <c r="O11" s="2"/>
    </row>
    <row r="12">
      <c r="A12" s="14" t="s">
        <v>122</v>
      </c>
      <c r="B12" s="12" t="s">
        <v>37</v>
      </c>
      <c r="C12" s="12" t="s">
        <v>37</v>
      </c>
      <c r="D12" s="12" t="s">
        <v>37</v>
      </c>
      <c r="E12" s="12" t="s">
        <v>37</v>
      </c>
      <c r="F12" s="12" t="s">
        <v>37</v>
      </c>
      <c r="G12" s="12">
        <f>G10/B10-1</f>
        <v>0.07365223993925585</v>
      </c>
      <c r="H12" s="12">
        <f>H10/C10-1</f>
        <v>0.2432432432432432</v>
      </c>
      <c r="I12" s="35">
        <f>I10/D10-1</f>
        <v>0.17682468021068476</v>
      </c>
      <c r="J12" s="2"/>
      <c r="K12" s="2"/>
      <c r="L12" s="2"/>
      <c r="M12" s="2"/>
      <c r="N12" s="2"/>
      <c r="O12" s="2"/>
    </row>
    <row r="13">
      <c r="A13" s="14" t="s">
        <v>110</v>
      </c>
      <c r="B13" s="1" t="s">
        <v>37</v>
      </c>
      <c r="C13" s="1">
        <f>IF(AND(ISNUMBER(C10),ISNUMBER(B10)),C10-B10,"n/a")</f>
        <v>-59</v>
      </c>
      <c r="D13" s="1">
        <f>IF(AND(ISNUMBER(D10),ISNUMBER(C10)),D10-C10,"n/a")</f>
        <v>71</v>
      </c>
      <c r="E13" s="1">
        <f>IF(AND(ISNUMBER(E10),ISNUMBER(D10)),E10-D10,"n/a")</f>
        <v>17</v>
      </c>
      <c r="F13" s="1" t="s">
        <v>37</v>
      </c>
      <c r="G13" s="1">
        <f>IF(AND(ISNUMBER(G10),ISNUMBER(E10)),G10-E10,"n/a")</f>
        <v>68</v>
      </c>
      <c r="H13" s="1">
        <f>IF(AND(ISNUMBER(H10),ISNUMBER(G10)),H10-G10,"n/a")</f>
        <v>150</v>
      </c>
      <c r="I13" s="13">
        <f>IF(AND(ISNUMBER(I10),ISNUMBER(H10)),I10-H10,"n/a")</f>
        <v>0</v>
      </c>
      <c r="J13" s="2"/>
      <c r="K13" s="2"/>
      <c r="L13" s="2"/>
      <c r="M13" s="2"/>
      <c r="N13" s="2"/>
      <c r="O13" s="2"/>
    </row>
    <row r="14">
      <c r="A14" s="36" t="s">
        <v>161</v>
      </c>
      <c r="B14" s="8">
        <v>7</v>
      </c>
      <c r="C14" s="8">
        <v>2</v>
      </c>
      <c r="D14" s="8">
        <v>3</v>
      </c>
      <c r="E14" s="8">
        <v>2</v>
      </c>
      <c r="F14" s="3">
        <f>SUMPRODUCT(B14:E14,B$7:E$7)/F$7</f>
        <v>3.484931506849315</v>
      </c>
      <c r="G14" s="8">
        <v>3</v>
      </c>
      <c r="H14" s="8">
        <v>5</v>
      </c>
      <c r="I14" s="46">
        <f>H14*(1+I15)</f>
        <v>5</v>
      </c>
      <c r="J14" s="2"/>
      <c r="K14" s="2"/>
      <c r="L14" s="2"/>
      <c r="M14" s="2"/>
      <c r="N14" s="2"/>
      <c r="O14" s="2"/>
    </row>
    <row r="15">
      <c r="A15" s="14" t="s">
        <v>95</v>
      </c>
      <c r="B15" s="12" t="s">
        <v>37</v>
      </c>
      <c r="C15" s="12">
        <f>C14/B14-1</f>
        <v>-0.7142857142857143</v>
      </c>
      <c r="D15" s="12">
        <f>D14/C14-1</f>
        <v>0.5</v>
      </c>
      <c r="E15" s="12">
        <f>E14/D14-1</f>
        <v>-0.33333333333333337</v>
      </c>
      <c r="F15" s="12" t="s">
        <v>37</v>
      </c>
      <c r="G15" s="12">
        <f>G14/E14-1</f>
        <v>0.5</v>
      </c>
      <c r="H15" s="12">
        <f>H14/G14-1</f>
        <v>0.6666666666666667</v>
      </c>
      <c r="I15" s="60">
        <v>0</v>
      </c>
      <c r="J15" s="6" t="s">
        <v>138</v>
      </c>
      <c r="K15" s="2"/>
      <c r="L15" s="2"/>
      <c r="M15" s="2"/>
      <c r="N15" s="2"/>
      <c r="O15" s="2"/>
    </row>
    <row r="16">
      <c r="A16" s="14" t="s">
        <v>122</v>
      </c>
      <c r="B16" s="12" t="s">
        <v>37</v>
      </c>
      <c r="C16" s="12" t="s">
        <v>37</v>
      </c>
      <c r="D16" s="12" t="s">
        <v>37</v>
      </c>
      <c r="E16" s="12" t="s">
        <v>37</v>
      </c>
      <c r="F16" s="12" t="s">
        <v>37</v>
      </c>
      <c r="G16" s="12">
        <f>G14/B14-1</f>
        <v>-0.5714285714285714</v>
      </c>
      <c r="H16" s="12">
        <f>H14/C14-1</f>
        <v>1.5</v>
      </c>
      <c r="I16" s="35">
        <f>I14/D14-1</f>
        <v>0.6666666666666667</v>
      </c>
      <c r="J16" s="2"/>
      <c r="K16" s="2"/>
      <c r="L16" s="2"/>
      <c r="M16" s="2"/>
      <c r="N16" s="2"/>
      <c r="O16" s="2"/>
    </row>
    <row r="17">
      <c r="A17" s="14" t="s">
        <v>110</v>
      </c>
      <c r="B17" s="1" t="s">
        <v>37</v>
      </c>
      <c r="C17" s="1">
        <f>IF(AND(ISNUMBER(C14),ISNUMBER(B14)),C14-B14,"n/a")</f>
        <v>-5</v>
      </c>
      <c r="D17" s="1">
        <f>IF(AND(ISNUMBER(D14),ISNUMBER(C14)),D14-C14,"n/a")</f>
        <v>1</v>
      </c>
      <c r="E17" s="1">
        <f>IF(AND(ISNUMBER(E14),ISNUMBER(D14)),E14-D14,"n/a")</f>
        <v>-1</v>
      </c>
      <c r="F17" s="1" t="s">
        <v>37</v>
      </c>
      <c r="G17" s="1">
        <f>IF(AND(ISNUMBER(G14),ISNUMBER(E14)),G14-E14,"n/a")</f>
        <v>1</v>
      </c>
      <c r="H17" s="1">
        <f>IF(AND(ISNUMBER(H14),ISNUMBER(G14)),H14-G14,"n/a")</f>
        <v>2</v>
      </c>
      <c r="I17" s="13">
        <f>IF(AND(ISNUMBER(I14),ISNUMBER(H14)),I14-H14,"n/a")</f>
        <v>0</v>
      </c>
      <c r="J17" s="2"/>
      <c r="K17" s="2"/>
      <c r="L17" s="2"/>
      <c r="M17" s="2"/>
      <c r="N17" s="2"/>
      <c r="O17" s="2"/>
    </row>
    <row r="18">
      <c r="A18" s="16" t="s">
        <v>162</v>
      </c>
      <c r="B18" s="15">
        <f>B10+B14</f>
        <v>1324</v>
      </c>
      <c r="C18" s="15">
        <f>C10+C14</f>
        <v>1260</v>
      </c>
      <c r="D18" s="15">
        <f>D10+D14</f>
        <v>1332</v>
      </c>
      <c r="E18" s="15">
        <f>E10+E14</f>
        <v>1348</v>
      </c>
      <c r="F18" s="15">
        <f>F10+F14</f>
        <v>1316.109589041096</v>
      </c>
      <c r="G18" s="15">
        <f>G10+G14</f>
        <v>1417</v>
      </c>
      <c r="H18" s="15">
        <f>H10+H14</f>
        <v>1569</v>
      </c>
      <c r="I18" s="38">
        <f>I10+I14</f>
        <v>1569</v>
      </c>
      <c r="J18" s="2"/>
      <c r="K18" s="2"/>
      <c r="L18" s="2"/>
      <c r="M18" s="2"/>
      <c r="N18" s="2"/>
      <c r="O18" s="2"/>
    </row>
    <row r="19">
      <c r="A19" s="19" t="s">
        <v>122</v>
      </c>
      <c r="B19" s="12" t="s">
        <v>37</v>
      </c>
      <c r="C19" s="12" t="s">
        <v>37</v>
      </c>
      <c r="D19" s="12" t="s">
        <v>37</v>
      </c>
      <c r="E19" s="12" t="s">
        <v>37</v>
      </c>
      <c r="F19" s="12" t="s">
        <v>37</v>
      </c>
      <c r="G19" s="12">
        <f>G18/B18-1</f>
        <v>0.0702416918429003</v>
      </c>
      <c r="H19" s="12">
        <f>H18/C18-1</f>
        <v>0.24523809523809526</v>
      </c>
      <c r="I19" s="35">
        <f>I18/D18-1</f>
        <v>0.177927927927928</v>
      </c>
      <c r="J19" s="2"/>
      <c r="K19" s="2"/>
      <c r="L19" s="2"/>
      <c r="M19" s="2"/>
      <c r="N19" s="2"/>
      <c r="O19" s="2"/>
    </row>
    <row r="20">
      <c r="A20" s="19" t="s">
        <v>110</v>
      </c>
      <c r="B20" s="1" t="s">
        <v>37</v>
      </c>
      <c r="C20" s="1">
        <f>IF(AND(ISNUMBER(C18),ISNUMBER(B18)),C18-B18,"n/a")</f>
        <v>-64</v>
      </c>
      <c r="D20" s="1">
        <f>IF(AND(ISNUMBER(D18),ISNUMBER(C18)),D18-C18,"n/a")</f>
        <v>72</v>
      </c>
      <c r="E20" s="1">
        <f>IF(AND(ISNUMBER(E18),ISNUMBER(D18)),E18-D18,"n/a")</f>
        <v>16</v>
      </c>
      <c r="F20" s="1" t="s">
        <v>37</v>
      </c>
      <c r="G20" s="1">
        <f>IF(AND(ISNUMBER(G18),ISNUMBER(E18)),G18-E18,"n/a")</f>
        <v>69</v>
      </c>
      <c r="H20" s="1">
        <f>IF(AND(ISNUMBER(H18),ISNUMBER(G18)),H18-G18,"n/a")</f>
        <v>152</v>
      </c>
      <c r="I20" s="13">
        <f>IF(AND(ISNUMBER(I18),ISNUMBER(H18)),I18-H18,"n/a")</f>
        <v>0</v>
      </c>
      <c r="J20" s="2"/>
      <c r="K20" s="2"/>
      <c r="L20" s="2"/>
      <c r="M20" s="2"/>
      <c r="N20" s="2"/>
      <c r="O20" s="2"/>
    </row>
    <row r="21">
      <c r="A21" s="36" t="s">
        <v>364</v>
      </c>
      <c r="B21" s="8">
        <v>216225</v>
      </c>
      <c r="C21" s="8">
        <v>216003</v>
      </c>
      <c r="D21" s="8">
        <v>224122</v>
      </c>
      <c r="E21" s="8">
        <v>219700</v>
      </c>
      <c r="F21" s="3">
        <f>SUMPRODUCT(B21:E21,B$7:E$7)/F$7</f>
        <v>219036.0191780822</v>
      </c>
      <c r="G21" s="8">
        <v>212810</v>
      </c>
      <c r="H21" s="8">
        <v>204751</v>
      </c>
      <c r="I21" s="46">
        <f>H21*(1+I22)</f>
        <v>203727.245</v>
      </c>
      <c r="J21" s="2"/>
      <c r="K21" s="2"/>
      <c r="L21" s="2"/>
      <c r="M21" s="2"/>
      <c r="N21" s="2"/>
      <c r="O21" s="2"/>
    </row>
    <row r="22">
      <c r="A22" s="14" t="s">
        <v>95</v>
      </c>
      <c r="B22" s="12" t="s">
        <v>37</v>
      </c>
      <c r="C22" s="12">
        <f>C21/B21-1</f>
        <v>-0.001026708289975753</v>
      </c>
      <c r="D22" s="12">
        <f>D21/C21-1</f>
        <v>0.03758744091517241</v>
      </c>
      <c r="E22" s="12">
        <f>E21/D21-1</f>
        <v>-0.01973032544774722</v>
      </c>
      <c r="F22" s="12" t="s">
        <v>37</v>
      </c>
      <c r="G22" s="12">
        <f>G21/E21-1</f>
        <v>-0.03136094674556211</v>
      </c>
      <c r="H22" s="12">
        <f>H21/G21-1</f>
        <v>-0.03786946102156852</v>
      </c>
      <c r="I22" s="60">
        <v>-0.005</v>
      </c>
      <c r="J22" s="6" t="s">
        <v>138</v>
      </c>
      <c r="K22" s="2"/>
      <c r="L22" s="2"/>
      <c r="M22" s="2"/>
      <c r="N22" s="2"/>
      <c r="O22" s="2"/>
    </row>
    <row r="23">
      <c r="A23" s="14" t="s">
        <v>122</v>
      </c>
      <c r="B23" s="12" t="s">
        <v>37</v>
      </c>
      <c r="C23" s="12" t="s">
        <v>37</v>
      </c>
      <c r="D23" s="12" t="s">
        <v>37</v>
      </c>
      <c r="E23" s="12" t="s">
        <v>37</v>
      </c>
      <c r="F23" s="12" t="s">
        <v>37</v>
      </c>
      <c r="G23" s="12">
        <f>G21/B21-1</f>
        <v>-0.015793733379581454</v>
      </c>
      <c r="H23" s="12">
        <f>H21/C21-1</f>
        <v>-0.05209186909441077</v>
      </c>
      <c r="I23" s="35">
        <f>I21/D21-1</f>
        <v>-0.09099845173610799</v>
      </c>
      <c r="J23" s="2"/>
      <c r="K23" s="2"/>
      <c r="L23" s="2"/>
      <c r="M23" s="2"/>
      <c r="N23" s="2"/>
      <c r="O23" s="2"/>
    </row>
    <row r="24">
      <c r="A24" s="14" t="s">
        <v>110</v>
      </c>
      <c r="B24" s="1" t="s">
        <v>37</v>
      </c>
      <c r="C24" s="1">
        <f>IF(AND(ISNUMBER(C21),ISNUMBER(B21)),C21-B21,"n/a")</f>
        <v>-222</v>
      </c>
      <c r="D24" s="1">
        <f>IF(AND(ISNUMBER(D21),ISNUMBER(C21)),D21-C21,"n/a")</f>
        <v>8119</v>
      </c>
      <c r="E24" s="1">
        <f>IF(AND(ISNUMBER(E21),ISNUMBER(D21)),E21-D21,"n/a")</f>
        <v>-4422</v>
      </c>
      <c r="F24" s="1" t="s">
        <v>37</v>
      </c>
      <c r="G24" s="1">
        <f>IF(AND(ISNUMBER(G21),ISNUMBER(E21)),G21-E21,"n/a")</f>
        <v>-6890</v>
      </c>
      <c r="H24" s="1">
        <f>IF(AND(ISNUMBER(H21),ISNUMBER(G21)),H21-G21,"n/a")</f>
        <v>-8059</v>
      </c>
      <c r="I24" s="13">
        <f>IF(AND(ISNUMBER(I21),ISNUMBER(H21)),I21-H21,"n/a")</f>
        <v>-1023.7550000000047</v>
      </c>
      <c r="J24" s="2"/>
      <c r="K24" s="2"/>
      <c r="L24" s="2"/>
      <c r="M24" s="2"/>
      <c r="N24" s="2"/>
      <c r="O24" s="2"/>
    </row>
    <row r="25">
      <c r="A25" s="16" t="s">
        <v>164</v>
      </c>
      <c r="B25" s="15">
        <f>B18+B21</f>
        <v>217549</v>
      </c>
      <c r="C25" s="15">
        <f>C18+C21</f>
        <v>217263</v>
      </c>
      <c r="D25" s="15">
        <f>D18+D21</f>
        <v>225454</v>
      </c>
      <c r="E25" s="15">
        <f>E18+E21</f>
        <v>221048</v>
      </c>
      <c r="F25" s="15">
        <f>F18+F21</f>
        <v>220352.1287671233</v>
      </c>
      <c r="G25" s="15">
        <f>G18+G21</f>
        <v>214227</v>
      </c>
      <c r="H25" s="15">
        <f>H18+H21</f>
        <v>206320</v>
      </c>
      <c r="I25" s="38">
        <f>I18+I21</f>
        <v>205296.245</v>
      </c>
      <c r="J25" s="2"/>
      <c r="K25" s="2"/>
      <c r="L25" s="2"/>
      <c r="M25" s="2"/>
      <c r="N25" s="2"/>
      <c r="O25" s="2"/>
    </row>
    <row r="26">
      <c r="A26" s="19" t="s">
        <v>122</v>
      </c>
      <c r="B26" s="12" t="s">
        <v>37</v>
      </c>
      <c r="C26" s="12" t="s">
        <v>37</v>
      </c>
      <c r="D26" s="12" t="s">
        <v>37</v>
      </c>
      <c r="E26" s="12" t="s">
        <v>37</v>
      </c>
      <c r="F26" s="12" t="s">
        <v>37</v>
      </c>
      <c r="G26" s="12">
        <f>G25/B25-1</f>
        <v>-0.015270123052737561</v>
      </c>
      <c r="H26" s="12">
        <f>H25/C25-1</f>
        <v>-0.05036752691438484</v>
      </c>
      <c r="I26" s="35">
        <f>I25/D25-1</f>
        <v>-0.0894096134910004</v>
      </c>
      <c r="J26" s="2"/>
      <c r="K26" s="2"/>
      <c r="L26" s="2"/>
      <c r="M26" s="2"/>
      <c r="N26" s="2"/>
      <c r="O26" s="2"/>
    </row>
    <row r="27">
      <c r="A27" s="19" t="s">
        <v>110</v>
      </c>
      <c r="B27" s="1" t="s">
        <v>37</v>
      </c>
      <c r="C27" s="1">
        <f>IF(AND(ISNUMBER(C25),ISNUMBER(B25)),C25-B25,"n/a")</f>
        <v>-286</v>
      </c>
      <c r="D27" s="1">
        <f>IF(AND(ISNUMBER(D25),ISNUMBER(C25)),D25-C25,"n/a")</f>
        <v>8191</v>
      </c>
      <c r="E27" s="1">
        <f>IF(AND(ISNUMBER(E25),ISNUMBER(D25)),E25-D25,"n/a")</f>
        <v>-4406</v>
      </c>
      <c r="F27" s="1" t="s">
        <v>37</v>
      </c>
      <c r="G27" s="1">
        <f>IF(AND(ISNUMBER(G25),ISNUMBER(E25)),G25-E25,"n/a")</f>
        <v>-6821</v>
      </c>
      <c r="H27" s="1">
        <f>IF(AND(ISNUMBER(H25),ISNUMBER(G25)),H25-G25,"n/a")</f>
        <v>-7907</v>
      </c>
      <c r="I27" s="13">
        <f>IF(AND(ISNUMBER(I25),ISNUMBER(H25)),I25-H25,"n/a")</f>
        <v>-1023.7550000000047</v>
      </c>
      <c r="J27" s="2"/>
      <c r="K27" s="2"/>
      <c r="L27" s="2"/>
      <c r="M27" s="2"/>
      <c r="N27" s="2"/>
      <c r="O27" s="2"/>
    </row>
    <row r="28">
      <c r="A28" s="36" t="s">
        <v>165</v>
      </c>
      <c r="B28" s="8">
        <v>1875</v>
      </c>
      <c r="C28" s="8">
        <v>1716</v>
      </c>
      <c r="D28" s="8">
        <v>1682</v>
      </c>
      <c r="E28" s="8">
        <v>1900</v>
      </c>
      <c r="F28" s="3">
        <f>SUMPRODUCT(B28:E28,B$7:E$7)/F$7</f>
        <v>1793.013698630137</v>
      </c>
      <c r="G28" s="8">
        <v>2027</v>
      </c>
      <c r="H28" s="8">
        <v>1712</v>
      </c>
      <c r="I28" s="46">
        <f>H28*(1+I29)</f>
        <v>1712</v>
      </c>
      <c r="J28" s="2"/>
      <c r="K28" s="2"/>
      <c r="L28" s="2"/>
      <c r="M28" s="2"/>
      <c r="N28" s="2"/>
      <c r="O28" s="2"/>
    </row>
    <row r="29">
      <c r="A29" s="14" t="s">
        <v>95</v>
      </c>
      <c r="B29" s="12" t="s">
        <v>37</v>
      </c>
      <c r="C29" s="12">
        <f>C28/B28-1</f>
        <v>-0.08479999999999999</v>
      </c>
      <c r="D29" s="12">
        <f>D28/C28-1</f>
        <v>-0.019813519813519864</v>
      </c>
      <c r="E29" s="12">
        <f>E28/D28-1</f>
        <v>0.12960760998810938</v>
      </c>
      <c r="F29" s="12" t="s">
        <v>37</v>
      </c>
      <c r="G29" s="12">
        <f>G28/E28-1</f>
        <v>0.06684210526315781</v>
      </c>
      <c r="H29" s="12">
        <f>H28/G28-1</f>
        <v>-0.15540207202762701</v>
      </c>
      <c r="I29" s="60">
        <v>0</v>
      </c>
      <c r="J29" s="6" t="s">
        <v>138</v>
      </c>
      <c r="K29" s="2"/>
      <c r="L29" s="2"/>
      <c r="M29" s="2"/>
      <c r="N29" s="2"/>
      <c r="O29" s="2"/>
    </row>
    <row r="30">
      <c r="A30" s="14" t="s">
        <v>122</v>
      </c>
      <c r="B30" s="12" t="s">
        <v>37</v>
      </c>
      <c r="C30" s="12" t="s">
        <v>37</v>
      </c>
      <c r="D30" s="12" t="s">
        <v>37</v>
      </c>
      <c r="E30" s="12" t="s">
        <v>37</v>
      </c>
      <c r="F30" s="12" t="s">
        <v>37</v>
      </c>
      <c r="G30" s="12">
        <f>G28/B28-1</f>
        <v>0.08106666666666662</v>
      </c>
      <c r="H30" s="12">
        <f>H28/C28-1</f>
        <v>-0.002331002331002363</v>
      </c>
      <c r="I30" s="35">
        <f>I28/D28-1</f>
        <v>0.017835909631391145</v>
      </c>
      <c r="J30" s="2"/>
      <c r="K30" s="2"/>
      <c r="L30" s="2"/>
      <c r="M30" s="2"/>
      <c r="N30" s="2"/>
      <c r="O30" s="2"/>
    </row>
    <row r="31">
      <c r="A31" s="14" t="s">
        <v>110</v>
      </c>
      <c r="B31" s="1" t="s">
        <v>37</v>
      </c>
      <c r="C31" s="1">
        <f>IF(AND(ISNUMBER(C28),ISNUMBER(B28)),C28-B28,"n/a")</f>
        <v>-159</v>
      </c>
      <c r="D31" s="1">
        <f>IF(AND(ISNUMBER(D28),ISNUMBER(C28)),D28-C28,"n/a")</f>
        <v>-34</v>
      </c>
      <c r="E31" s="1">
        <f>IF(AND(ISNUMBER(E28),ISNUMBER(D28)),E28-D28,"n/a")</f>
        <v>218</v>
      </c>
      <c r="F31" s="1" t="s">
        <v>37</v>
      </c>
      <c r="G31" s="1">
        <f>IF(AND(ISNUMBER(G28),ISNUMBER(E28)),G28-E28,"n/a")</f>
        <v>127</v>
      </c>
      <c r="H31" s="1">
        <f>IF(AND(ISNUMBER(H28),ISNUMBER(G28)),H28-G28,"n/a")</f>
        <v>-315</v>
      </c>
      <c r="I31" s="13">
        <f>IF(AND(ISNUMBER(I28),ISNUMBER(H28)),I28-H28,"n/a")</f>
        <v>0</v>
      </c>
      <c r="J31" s="2"/>
      <c r="K31" s="2"/>
      <c r="L31" s="2"/>
      <c r="M31" s="2"/>
      <c r="N31" s="2"/>
      <c r="O31" s="2"/>
    </row>
    <row r="32">
      <c r="A32" s="36" t="s">
        <v>365</v>
      </c>
      <c r="B32" s="8">
        <v>8721</v>
      </c>
      <c r="C32" s="8">
        <v>9509</v>
      </c>
      <c r="D32" s="8">
        <v>8782</v>
      </c>
      <c r="E32" s="8">
        <v>2494</v>
      </c>
      <c r="F32" s="3">
        <f>SUMPRODUCT(B32:E32,B$7:E$7)/F$7</f>
        <v>7363.290410958904</v>
      </c>
      <c r="G32" s="8">
        <v>506</v>
      </c>
      <c r="H32" s="8">
        <v>258</v>
      </c>
      <c r="I32" s="46">
        <f>H32*(1+I33)</f>
        <v>258</v>
      </c>
      <c r="J32" s="2"/>
      <c r="K32" s="2"/>
      <c r="L32" s="2"/>
      <c r="M32" s="2"/>
      <c r="N32" s="2"/>
      <c r="O32" s="2"/>
    </row>
    <row r="33">
      <c r="A33" s="14" t="s">
        <v>95</v>
      </c>
      <c r="B33" s="12" t="s">
        <v>37</v>
      </c>
      <c r="C33" s="12">
        <f>C32/B32-1</f>
        <v>0.0903566104804494</v>
      </c>
      <c r="D33" s="12">
        <f>D32/C32-1</f>
        <v>-0.0764538857924072</v>
      </c>
      <c r="E33" s="12">
        <f>E32/D32-1</f>
        <v>-0.7160100204964701</v>
      </c>
      <c r="F33" s="12" t="s">
        <v>37</v>
      </c>
      <c r="G33" s="12">
        <f>G32/E32-1</f>
        <v>-0.7971130713712911</v>
      </c>
      <c r="H33" s="12">
        <f>H32/G32-1</f>
        <v>-0.49011857707509876</v>
      </c>
      <c r="I33" s="60">
        <v>0</v>
      </c>
      <c r="J33" s="6" t="s">
        <v>138</v>
      </c>
      <c r="K33" s="2"/>
      <c r="L33" s="2"/>
      <c r="M33" s="2"/>
      <c r="N33" s="2"/>
      <c r="O33" s="2"/>
    </row>
    <row r="34">
      <c r="A34" s="14" t="s">
        <v>122</v>
      </c>
      <c r="B34" s="12" t="s">
        <v>37</v>
      </c>
      <c r="C34" s="12" t="s">
        <v>37</v>
      </c>
      <c r="D34" s="12" t="s">
        <v>37</v>
      </c>
      <c r="E34" s="12" t="s">
        <v>37</v>
      </c>
      <c r="F34" s="12" t="s">
        <v>37</v>
      </c>
      <c r="G34" s="12">
        <f>G32/B32-1</f>
        <v>-0.94197913083362</v>
      </c>
      <c r="H34" s="12">
        <f>H32/C32-1</f>
        <v>-0.9728678094436849</v>
      </c>
      <c r="I34" s="35">
        <f>I32/D32-1</f>
        <v>-0.9706217262582555</v>
      </c>
      <c r="J34" s="2"/>
      <c r="K34" s="2"/>
      <c r="L34" s="2"/>
      <c r="M34" s="2"/>
      <c r="N34" s="2"/>
      <c r="O34" s="2"/>
    </row>
    <row r="35">
      <c r="A35" s="14" t="s">
        <v>110</v>
      </c>
      <c r="B35" s="1" t="s">
        <v>37</v>
      </c>
      <c r="C35" s="1">
        <f>IF(AND(ISNUMBER(C32),ISNUMBER(B32)),C32-B32,"n/a")</f>
        <v>788</v>
      </c>
      <c r="D35" s="1">
        <f>IF(AND(ISNUMBER(D32),ISNUMBER(C32)),D32-C32,"n/a")</f>
        <v>-727</v>
      </c>
      <c r="E35" s="1">
        <f>IF(AND(ISNUMBER(E32),ISNUMBER(D32)),E32-D32,"n/a")</f>
        <v>-6288</v>
      </c>
      <c r="F35" s="1" t="s">
        <v>37</v>
      </c>
      <c r="G35" s="1">
        <f>IF(AND(ISNUMBER(G32),ISNUMBER(E32)),G32-E32,"n/a")</f>
        <v>-1988</v>
      </c>
      <c r="H35" s="1">
        <f>IF(AND(ISNUMBER(H32),ISNUMBER(G32)),H32-G32,"n/a")</f>
        <v>-248</v>
      </c>
      <c r="I35" s="13">
        <f>IF(AND(ISNUMBER(I32),ISNUMBER(H32)),I32-H32,"n/a")</f>
        <v>0</v>
      </c>
      <c r="J35" s="2"/>
      <c r="K35" s="2"/>
      <c r="L35" s="2"/>
      <c r="M35" s="2"/>
      <c r="N35" s="2"/>
      <c r="O35" s="2"/>
    </row>
    <row r="36">
      <c r="A36" s="16" t="s">
        <v>170</v>
      </c>
      <c r="B36" s="15">
        <f>B28+B32</f>
        <v>10596</v>
      </c>
      <c r="C36" s="15">
        <f>C28+C32</f>
        <v>11225</v>
      </c>
      <c r="D36" s="15">
        <f>D28+D32</f>
        <v>10464</v>
      </c>
      <c r="E36" s="15">
        <f>E28+E32</f>
        <v>4394</v>
      </c>
      <c r="F36" s="15">
        <f>F28+F32</f>
        <v>9156.304109589042</v>
      </c>
      <c r="G36" s="15">
        <f>G28+G32</f>
        <v>2533</v>
      </c>
      <c r="H36" s="15">
        <f>H28+H32</f>
        <v>1970</v>
      </c>
      <c r="I36" s="38">
        <f>I28+I32</f>
        <v>1970</v>
      </c>
      <c r="J36" s="2"/>
      <c r="K36" s="2"/>
      <c r="L36" s="2"/>
      <c r="M36" s="2"/>
      <c r="N36" s="2"/>
      <c r="O36" s="2"/>
    </row>
    <row r="37">
      <c r="A37" s="19" t="s">
        <v>122</v>
      </c>
      <c r="B37" s="12" t="s">
        <v>37</v>
      </c>
      <c r="C37" s="12" t="s">
        <v>37</v>
      </c>
      <c r="D37" s="12" t="s">
        <v>37</v>
      </c>
      <c r="E37" s="12" t="s">
        <v>37</v>
      </c>
      <c r="F37" s="12" t="s">
        <v>37</v>
      </c>
      <c r="G37" s="12">
        <f>G36/B36-1</f>
        <v>-0.7609475273688184</v>
      </c>
      <c r="H37" s="12">
        <f>H36/C36-1</f>
        <v>-0.824498886414254</v>
      </c>
      <c r="I37" s="35">
        <f>I36/D36-1</f>
        <v>-0.8117354740061162</v>
      </c>
      <c r="J37" s="2"/>
      <c r="K37" s="2"/>
      <c r="L37" s="2"/>
      <c r="M37" s="2"/>
      <c r="N37" s="2"/>
      <c r="O37" s="2"/>
    </row>
    <row r="38">
      <c r="A38" s="19" t="s">
        <v>110</v>
      </c>
      <c r="B38" s="1" t="s">
        <v>37</v>
      </c>
      <c r="C38" s="1">
        <f>IF(AND(ISNUMBER(C36),ISNUMBER(B36)),C36-B36,"n/a")</f>
        <v>629</v>
      </c>
      <c r="D38" s="1">
        <f>IF(AND(ISNUMBER(D36),ISNUMBER(C36)),D36-C36,"n/a")</f>
        <v>-761</v>
      </c>
      <c r="E38" s="1">
        <f>IF(AND(ISNUMBER(E36),ISNUMBER(D36)),E36-D36,"n/a")</f>
        <v>-6070</v>
      </c>
      <c r="F38" s="1" t="s">
        <v>37</v>
      </c>
      <c r="G38" s="1">
        <f>IF(AND(ISNUMBER(G36),ISNUMBER(E36)),G36-E36,"n/a")</f>
        <v>-1861</v>
      </c>
      <c r="H38" s="1">
        <f>IF(AND(ISNUMBER(H36),ISNUMBER(G36)),H36-G36,"n/a")</f>
        <v>-563</v>
      </c>
      <c r="I38" s="13">
        <f>IF(AND(ISNUMBER(I36),ISNUMBER(H36)),I36-H36,"n/a")</f>
        <v>0</v>
      </c>
      <c r="J38" s="2"/>
      <c r="K38" s="2"/>
      <c r="L38" s="2"/>
      <c r="M38" s="2"/>
      <c r="N38" s="2"/>
      <c r="O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>
      <c r="A40" s="16" t="s">
        <v>366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>
      <c r="A41" s="16" t="s">
        <v>121</v>
      </c>
      <c r="B41" s="20">
        <v>-97</v>
      </c>
      <c r="C41" s="20">
        <v>-215</v>
      </c>
      <c r="D41" s="20">
        <v>-146</v>
      </c>
      <c r="E41" s="20">
        <v>-39</v>
      </c>
      <c r="F41" s="9">
        <f>SUM(B41:E41)</f>
        <v>-497</v>
      </c>
      <c r="G41" s="20">
        <v>-176</v>
      </c>
      <c r="H41" s="20">
        <v>-160</v>
      </c>
      <c r="I41" s="77">
        <v>-165</v>
      </c>
      <c r="J41" s="6" t="s">
        <v>367</v>
      </c>
      <c r="K41" s="2"/>
      <c r="L41" s="2"/>
      <c r="M41" s="2"/>
      <c r="N41" s="2"/>
      <c r="O41" s="2"/>
    </row>
    <row r="42">
      <c r="A42" s="19" t="s">
        <v>216</v>
      </c>
      <c r="B42" s="1" t="s">
        <v>37</v>
      </c>
      <c r="C42" s="1" t="s">
        <v>37</v>
      </c>
      <c r="D42" s="1" t="s">
        <v>37</v>
      </c>
      <c r="E42" s="1" t="s">
        <v>37</v>
      </c>
      <c r="F42" s="1" t="s">
        <v>37</v>
      </c>
      <c r="G42" s="1">
        <f>IF(AND(ISNUMBER(G41),ISNUMBER(B41)),G41-B41,"n/a")</f>
        <v>-79</v>
      </c>
      <c r="H42" s="1">
        <f>IF(AND(ISNUMBER(H41),ISNUMBER(C41)),H41-C41,"n/a")</f>
        <v>55</v>
      </c>
      <c r="I42" s="13">
        <f>IF(AND(ISNUMBER(I41),ISNUMBER(D41)),I41-D41,"n/a")</f>
        <v>-19</v>
      </c>
      <c r="J42" s="2"/>
      <c r="K42" s="2"/>
      <c r="L42" s="2"/>
      <c r="M42" s="2"/>
      <c r="N42" s="2"/>
      <c r="O42" s="2"/>
    </row>
    <row r="43">
      <c r="A43" s="19" t="s">
        <v>110</v>
      </c>
      <c r="B43" s="1" t="s">
        <v>37</v>
      </c>
      <c r="C43" s="1">
        <f>IF(AND(ISNUMBER(C41),ISNUMBER(B41)),C41-B41,"n/a")</f>
        <v>-118</v>
      </c>
      <c r="D43" s="1">
        <f>IF(AND(ISNUMBER(D41),ISNUMBER(C41)),D41-C41,"n/a")</f>
        <v>69</v>
      </c>
      <c r="E43" s="1">
        <f>IF(AND(ISNUMBER(E41),ISNUMBER(D41)),E41-D41,"n/a")</f>
        <v>107</v>
      </c>
      <c r="F43" s="1" t="s">
        <v>37</v>
      </c>
      <c r="G43" s="1">
        <f>IF(AND(ISNUMBER(G41),ISNUMBER(E41)),G41-E41,"n/a")</f>
        <v>-137</v>
      </c>
      <c r="H43" s="1">
        <f>IF(AND(ISNUMBER(H41),ISNUMBER(G41)),H41-G41,"n/a")</f>
        <v>16</v>
      </c>
      <c r="I43" s="13">
        <f>IF(AND(ISNUMBER(I41),ISNUMBER(H41)),I41-H41,"n/a")</f>
        <v>-5</v>
      </c>
      <c r="J43" s="2"/>
      <c r="K43" s="2"/>
      <c r="L43" s="2"/>
      <c r="M43" s="2"/>
      <c r="N43" s="2"/>
      <c r="O43" s="2"/>
    </row>
    <row r="44">
      <c r="A44" s="26" t="s">
        <v>368</v>
      </c>
      <c r="B44" s="69">
        <f>B41/B25/(B$7/365)</f>
        <v>-0.0018082771646336638</v>
      </c>
      <c r="C44" s="69">
        <f>C41/C25/(C$7/365)</f>
        <v>-0.003969210760058719</v>
      </c>
      <c r="D44" s="69">
        <f>D41/D25/(D$7/365)</f>
        <v>-0.0025692120363124296</v>
      </c>
      <c r="E44" s="69">
        <f>E41/E25/(E$7/365)</f>
        <v>-0.0006999758462848124</v>
      </c>
      <c r="F44" s="69">
        <f>F41/F25/(F$7/365)</f>
        <v>-0.0022554808196350528</v>
      </c>
      <c r="G44" s="69">
        <f>G41/G25/(G$7/365)</f>
        <v>-0.0033318758969587297</v>
      </c>
      <c r="H44" s="69">
        <f>H41/H25/(H$7/365)</f>
        <v>-0.003110499426901133</v>
      </c>
      <c r="I44" s="67">
        <f>I41/I25/(I$7/365)</f>
        <v>-0.0031886582495329677</v>
      </c>
      <c r="J44" s="2"/>
      <c r="K44" s="2"/>
      <c r="L44" s="2"/>
      <c r="M44" s="2"/>
      <c r="N44" s="2"/>
      <c r="O44" s="2"/>
    </row>
    <row r="45">
      <c r="A45" s="19" t="s">
        <v>144</v>
      </c>
      <c r="B45" s="5" t="s">
        <v>37</v>
      </c>
      <c r="C45" s="5">
        <f>IF(AND(ISNUMBER(C44),ISNUMBER(B44)),(C44-B44)*10000,"n/a")</f>
        <v>-21.60933595425055</v>
      </c>
      <c r="D45" s="5">
        <f>IF(AND(ISNUMBER(D44),ISNUMBER(C44)),(D44-C44)*10000,"n/a")</f>
        <v>13.999987237462895</v>
      </c>
      <c r="E45" s="5">
        <f>IF(AND(ISNUMBER(E44),ISNUMBER(D44)),(E44-D44)*10000,"n/a")</f>
        <v>18.692361900276172</v>
      </c>
      <c r="F45" s="5" t="s">
        <v>37</v>
      </c>
      <c r="G45" s="5">
        <f>IF(AND(ISNUMBER(G44),ISNUMBER(E44)),(G44-E44)*10000,"n/a")</f>
        <v>-26.319000506739172</v>
      </c>
      <c r="H45" s="5">
        <f>IF(AND(ISNUMBER(H44),ISNUMBER(G44)),(H44-G44)*10000,"n/a")</f>
        <v>2.213764700575967</v>
      </c>
      <c r="I45" s="45">
        <f>IF(AND(ISNUMBER(I44),ISNUMBER(H44)),(I44-H44)*10000,"n/a")</f>
        <v>-0.7815882263183466</v>
      </c>
      <c r="J45" s="2"/>
      <c r="K45" s="2"/>
      <c r="L45" s="2"/>
      <c r="M45" s="2"/>
      <c r="N45" s="2"/>
      <c r="O45" s="2"/>
    </row>
    <row r="46">
      <c r="A46" s="19" t="s">
        <v>145</v>
      </c>
      <c r="B46" s="5" t="s">
        <v>37</v>
      </c>
      <c r="C46" s="5" t="s">
        <v>37</v>
      </c>
      <c r="D46" s="5" t="s">
        <v>37</v>
      </c>
      <c r="E46" s="5" t="s">
        <v>37</v>
      </c>
      <c r="F46" s="5" t="s">
        <v>37</v>
      </c>
      <c r="G46" s="5">
        <f>IF(AND(ISNUMBER(G44),ISNUMBER(B44)),(G44-B44)*10000,"n/a")</f>
        <v>-15.23598732325066</v>
      </c>
      <c r="H46" s="5">
        <f>IF(AND(ISNUMBER(H44),ISNUMBER(C44)),(H44-C44)*10000,"n/a")</f>
        <v>8.58711333157586</v>
      </c>
      <c r="I46" s="45">
        <f>IF(AND(ISNUMBER(I44),ISNUMBER(D44)),(I44-D44)*10000,"n/a")</f>
        <v>-6.1944621322053806</v>
      </c>
      <c r="J46" s="2"/>
      <c r="K46" s="2"/>
      <c r="L46" s="2"/>
      <c r="M46" s="2"/>
      <c r="N46" s="2"/>
      <c r="O46" s="2"/>
    </row>
    <row r="47">
      <c r="A47" s="36" t="s">
        <v>279</v>
      </c>
      <c r="B47" s="8">
        <v>2</v>
      </c>
      <c r="C47" s="8">
        <v>2</v>
      </c>
      <c r="D47" s="8">
        <v>0</v>
      </c>
      <c r="E47" s="8">
        <v>0</v>
      </c>
      <c r="F47" s="3">
        <f>SUM(B47:E47)</f>
        <v>4</v>
      </c>
      <c r="G47" s="8">
        <v>0</v>
      </c>
      <c r="H47" s="8">
        <v>0</v>
      </c>
      <c r="I47" s="32">
        <v>0</v>
      </c>
      <c r="J47" s="2"/>
      <c r="K47" s="2"/>
      <c r="L47" s="2"/>
      <c r="M47" s="2"/>
      <c r="N47" s="2"/>
      <c r="O47" s="2"/>
    </row>
    <row r="48">
      <c r="A48" s="14" t="s">
        <v>216</v>
      </c>
      <c r="B48" s="1" t="s">
        <v>37</v>
      </c>
      <c r="C48" s="1" t="s">
        <v>37</v>
      </c>
      <c r="D48" s="1" t="s">
        <v>37</v>
      </c>
      <c r="E48" s="1" t="s">
        <v>37</v>
      </c>
      <c r="F48" s="1" t="s">
        <v>37</v>
      </c>
      <c r="G48" s="1">
        <f>IF(AND(ISNUMBER(G47),ISNUMBER(B47)),G47-B47,"n/a")</f>
        <v>-2</v>
      </c>
      <c r="H48" s="1">
        <f>IF(AND(ISNUMBER(H47),ISNUMBER(C47)),H47-C47,"n/a")</f>
        <v>-2</v>
      </c>
      <c r="I48" s="13">
        <f>IF(AND(ISNUMBER(I47),ISNUMBER(D47)),I47-D47,"n/a")</f>
        <v>0</v>
      </c>
      <c r="J48" s="2"/>
      <c r="K48" s="2"/>
      <c r="L48" s="2"/>
      <c r="M48" s="2"/>
      <c r="N48" s="2"/>
      <c r="O48" s="2"/>
    </row>
    <row r="49">
      <c r="A49" s="14" t="s">
        <v>110</v>
      </c>
      <c r="B49" s="1" t="s">
        <v>37</v>
      </c>
      <c r="C49" s="1">
        <f>IF(AND(ISNUMBER(C47),ISNUMBER(B47)),C47-B47,"n/a")</f>
        <v>0</v>
      </c>
      <c r="D49" s="1">
        <f>IF(AND(ISNUMBER(D47),ISNUMBER(C47)),D47-C47,"n/a")</f>
        <v>-2</v>
      </c>
      <c r="E49" s="1">
        <f>IF(AND(ISNUMBER(E47),ISNUMBER(D47)),E47-D47,"n/a")</f>
        <v>0</v>
      </c>
      <c r="F49" s="1" t="s">
        <v>37</v>
      </c>
      <c r="G49" s="1">
        <f>IF(AND(ISNUMBER(G47),ISNUMBER(E47)),G47-E47,"n/a")</f>
        <v>0</v>
      </c>
      <c r="H49" s="1">
        <f>IF(AND(ISNUMBER(H47),ISNUMBER(G47)),H47-G47,"n/a")</f>
        <v>0</v>
      </c>
      <c r="I49" s="13">
        <f>IF(AND(ISNUMBER(I47),ISNUMBER(H47)),I47-H47,"n/a")</f>
        <v>0</v>
      </c>
      <c r="J49" s="2"/>
      <c r="K49" s="2"/>
      <c r="L49" s="2"/>
      <c r="M49" s="2"/>
      <c r="N49" s="2"/>
      <c r="O49" s="2"/>
    </row>
    <row r="50">
      <c r="A50" s="36" t="s">
        <v>218</v>
      </c>
      <c r="B50" s="8">
        <v>-7</v>
      </c>
      <c r="C50" s="8">
        <v>-6</v>
      </c>
      <c r="D50" s="8">
        <v>-2</v>
      </c>
      <c r="E50" s="8">
        <v>4</v>
      </c>
      <c r="F50" s="3">
        <f>SUM(B50:E50)</f>
        <v>-11</v>
      </c>
      <c r="G50" s="8">
        <v>-6</v>
      </c>
      <c r="H50" s="8">
        <v>-2</v>
      </c>
      <c r="I50" s="32">
        <v>-2</v>
      </c>
      <c r="J50" s="2"/>
      <c r="K50" s="2"/>
      <c r="L50" s="2"/>
      <c r="M50" s="2"/>
      <c r="N50" s="2"/>
      <c r="O50" s="2"/>
    </row>
    <row r="51">
      <c r="A51" s="14" t="s">
        <v>216</v>
      </c>
      <c r="B51" s="1" t="s">
        <v>37</v>
      </c>
      <c r="C51" s="1" t="s">
        <v>37</v>
      </c>
      <c r="D51" s="1" t="s">
        <v>37</v>
      </c>
      <c r="E51" s="1" t="s">
        <v>37</v>
      </c>
      <c r="F51" s="1" t="s">
        <v>37</v>
      </c>
      <c r="G51" s="1">
        <f>IF(AND(ISNUMBER(G50),ISNUMBER(B50)),G50-B50,"n/a")</f>
        <v>1</v>
      </c>
      <c r="H51" s="1">
        <f>IF(AND(ISNUMBER(H50),ISNUMBER(C50)),H50-C50,"n/a")</f>
        <v>4</v>
      </c>
      <c r="I51" s="13">
        <f>IF(AND(ISNUMBER(I50),ISNUMBER(D50)),I50-D50,"n/a")</f>
        <v>0</v>
      </c>
      <c r="J51" s="2"/>
      <c r="K51" s="2"/>
      <c r="L51" s="2"/>
      <c r="M51" s="2"/>
      <c r="N51" s="2"/>
      <c r="O51" s="2"/>
    </row>
    <row r="52">
      <c r="A52" s="14" t="s">
        <v>110</v>
      </c>
      <c r="B52" s="1" t="s">
        <v>37</v>
      </c>
      <c r="C52" s="1">
        <f>IF(AND(ISNUMBER(C50),ISNUMBER(B50)),C50-B50,"n/a")</f>
        <v>1</v>
      </c>
      <c r="D52" s="1">
        <f>IF(AND(ISNUMBER(D50),ISNUMBER(C50)),D50-C50,"n/a")</f>
        <v>4</v>
      </c>
      <c r="E52" s="1">
        <f>IF(AND(ISNUMBER(E50),ISNUMBER(D50)),E50-D50,"n/a")</f>
        <v>6</v>
      </c>
      <c r="F52" s="1" t="s">
        <v>37</v>
      </c>
      <c r="G52" s="1">
        <f>IF(AND(ISNUMBER(G50),ISNUMBER(E50)),G50-E50,"n/a")</f>
        <v>-10</v>
      </c>
      <c r="H52" s="1">
        <f>IF(AND(ISNUMBER(H50),ISNUMBER(G50)),H50-G50,"n/a")</f>
        <v>4</v>
      </c>
      <c r="I52" s="13">
        <f>IF(AND(ISNUMBER(I50),ISNUMBER(H50)),I50-H50,"n/a")</f>
        <v>0</v>
      </c>
      <c r="J52" s="2"/>
      <c r="K52" s="2"/>
      <c r="L52" s="2"/>
      <c r="M52" s="2"/>
      <c r="N52" s="2"/>
      <c r="O52" s="2"/>
    </row>
    <row r="53">
      <c r="A53" s="36" t="s">
        <v>124</v>
      </c>
      <c r="B53" s="8">
        <v>0</v>
      </c>
      <c r="C53" s="8">
        <v>-57</v>
      </c>
      <c r="D53" s="8">
        <v>-7</v>
      </c>
      <c r="E53" s="8">
        <v>3</v>
      </c>
      <c r="F53" s="3">
        <f>SUM(B53:E53)</f>
        <v>-61</v>
      </c>
      <c r="G53" s="8">
        <v>-35</v>
      </c>
      <c r="H53" s="8">
        <v>-49</v>
      </c>
      <c r="I53" s="32">
        <v>-30</v>
      </c>
      <c r="J53" s="6" t="s">
        <v>369</v>
      </c>
      <c r="K53" s="2"/>
      <c r="L53" s="2"/>
      <c r="M53" s="2"/>
      <c r="N53" s="2"/>
      <c r="O53" s="2"/>
    </row>
    <row r="54">
      <c r="A54" s="14" t="s">
        <v>216</v>
      </c>
      <c r="B54" s="1" t="s">
        <v>37</v>
      </c>
      <c r="C54" s="1" t="s">
        <v>37</v>
      </c>
      <c r="D54" s="1" t="s">
        <v>37</v>
      </c>
      <c r="E54" s="1" t="s">
        <v>37</v>
      </c>
      <c r="F54" s="1" t="s">
        <v>37</v>
      </c>
      <c r="G54" s="1">
        <f>IF(AND(ISNUMBER(G53),ISNUMBER(B53)),G53-B53,"n/a")</f>
        <v>-35</v>
      </c>
      <c r="H54" s="1">
        <f>IF(AND(ISNUMBER(H53),ISNUMBER(C53)),H53-C53,"n/a")</f>
        <v>8</v>
      </c>
      <c r="I54" s="13">
        <f>IF(AND(ISNUMBER(I53),ISNUMBER(D53)),I53-D53,"n/a")</f>
        <v>-23</v>
      </c>
      <c r="J54" s="2"/>
      <c r="K54" s="2"/>
      <c r="L54" s="2"/>
      <c r="M54" s="2"/>
      <c r="N54" s="2"/>
      <c r="O54" s="2"/>
    </row>
    <row r="55">
      <c r="A55" s="14" t="s">
        <v>110</v>
      </c>
      <c r="B55" s="1" t="s">
        <v>37</v>
      </c>
      <c r="C55" s="1">
        <f>IF(AND(ISNUMBER(C53),ISNUMBER(B53)),C53-B53,"n/a")</f>
        <v>-57</v>
      </c>
      <c r="D55" s="1">
        <f>IF(AND(ISNUMBER(D53),ISNUMBER(C53)),D53-C53,"n/a")</f>
        <v>50</v>
      </c>
      <c r="E55" s="1">
        <f>IF(AND(ISNUMBER(E53),ISNUMBER(D53)),E53-D53,"n/a")</f>
        <v>10</v>
      </c>
      <c r="F55" s="1" t="s">
        <v>37</v>
      </c>
      <c r="G55" s="1">
        <f>IF(AND(ISNUMBER(G53),ISNUMBER(E53)),G53-E53,"n/a")</f>
        <v>-38</v>
      </c>
      <c r="H55" s="1">
        <f>IF(AND(ISNUMBER(H53),ISNUMBER(G53)),H53-G53,"n/a")</f>
        <v>-14</v>
      </c>
      <c r="I55" s="13">
        <f>IF(AND(ISNUMBER(I53),ISNUMBER(H53)),I53-H53,"n/a")</f>
        <v>19</v>
      </c>
      <c r="J55" s="2"/>
      <c r="K55" s="2"/>
      <c r="L55" s="2"/>
      <c r="M55" s="2"/>
      <c r="N55" s="2"/>
      <c r="O55" s="2"/>
    </row>
    <row r="56">
      <c r="A56" s="36" t="s">
        <v>221</v>
      </c>
      <c r="B56" s="8">
        <v>-23</v>
      </c>
      <c r="C56" s="8">
        <v>-30</v>
      </c>
      <c r="D56" s="8">
        <v>-22</v>
      </c>
      <c r="E56" s="8">
        <v>-39</v>
      </c>
      <c r="F56" s="3">
        <f>SUM(B56:E56)</f>
        <v>-114</v>
      </c>
      <c r="G56" s="8">
        <v>-10</v>
      </c>
      <c r="H56" s="8">
        <v>-33</v>
      </c>
      <c r="I56" s="32">
        <v>-28</v>
      </c>
      <c r="J56" s="2"/>
      <c r="K56" s="2"/>
      <c r="L56" s="2"/>
      <c r="M56" s="2"/>
      <c r="N56" s="2"/>
      <c r="O56" s="2"/>
    </row>
    <row r="57">
      <c r="A57" s="14" t="s">
        <v>216</v>
      </c>
      <c r="B57" s="1" t="s">
        <v>37</v>
      </c>
      <c r="C57" s="1" t="s">
        <v>37</v>
      </c>
      <c r="D57" s="1" t="s">
        <v>37</v>
      </c>
      <c r="E57" s="1" t="s">
        <v>37</v>
      </c>
      <c r="F57" s="1" t="s">
        <v>37</v>
      </c>
      <c r="G57" s="1">
        <f>IF(AND(ISNUMBER(G56),ISNUMBER(B56)),G56-B56,"n/a")</f>
        <v>13</v>
      </c>
      <c r="H57" s="1">
        <f>IF(AND(ISNUMBER(H56),ISNUMBER(C56)),H56-C56,"n/a")</f>
        <v>-3</v>
      </c>
      <c r="I57" s="13">
        <f>IF(AND(ISNUMBER(I56),ISNUMBER(D56)),I56-D56,"n/a")</f>
        <v>-6</v>
      </c>
      <c r="J57" s="2"/>
      <c r="K57" s="2"/>
      <c r="L57" s="2"/>
      <c r="M57" s="2"/>
      <c r="N57" s="2"/>
      <c r="O57" s="2"/>
    </row>
    <row r="58">
      <c r="A58" s="14" t="s">
        <v>110</v>
      </c>
      <c r="B58" s="1" t="s">
        <v>37</v>
      </c>
      <c r="C58" s="1">
        <f>IF(AND(ISNUMBER(C56),ISNUMBER(B56)),C56-B56,"n/a")</f>
        <v>-7</v>
      </c>
      <c r="D58" s="1">
        <f>IF(AND(ISNUMBER(D56),ISNUMBER(C56)),D56-C56,"n/a")</f>
        <v>8</v>
      </c>
      <c r="E58" s="1">
        <f>IF(AND(ISNUMBER(E56),ISNUMBER(D56)),E56-D56,"n/a")</f>
        <v>-17</v>
      </c>
      <c r="F58" s="1" t="s">
        <v>37</v>
      </c>
      <c r="G58" s="1">
        <f>IF(AND(ISNUMBER(G56),ISNUMBER(E56)),G56-E56,"n/a")</f>
        <v>29</v>
      </c>
      <c r="H58" s="1">
        <f>IF(AND(ISNUMBER(H56),ISNUMBER(G56)),H56-G56,"n/a")</f>
        <v>-23</v>
      </c>
      <c r="I58" s="13">
        <f>IF(AND(ISNUMBER(I56),ISNUMBER(H56)),I56-H56,"n/a")</f>
        <v>5</v>
      </c>
      <c r="J58" s="2"/>
      <c r="K58" s="2"/>
      <c r="L58" s="2"/>
      <c r="M58" s="2"/>
      <c r="N58" s="2"/>
      <c r="O58" s="2"/>
    </row>
    <row r="59">
      <c r="A59" s="16" t="s">
        <v>222</v>
      </c>
      <c r="B59" s="15">
        <f>B47+B50+B53+B56</f>
        <v>-28</v>
      </c>
      <c r="C59" s="15">
        <f>C47+C50+C53+C56</f>
        <v>-91</v>
      </c>
      <c r="D59" s="15">
        <f>D47+D50+D53+D56</f>
        <v>-31</v>
      </c>
      <c r="E59" s="15">
        <f>E47+E50+E53+E56</f>
        <v>-32</v>
      </c>
      <c r="F59" s="15">
        <f>F47+F50+F53+F56</f>
        <v>-182</v>
      </c>
      <c r="G59" s="15">
        <f>G47+G50+G53+G56</f>
        <v>-51</v>
      </c>
      <c r="H59" s="15">
        <f>H47+H50+H53+H56</f>
        <v>-84</v>
      </c>
      <c r="I59" s="38">
        <f>I47+I50+I53+I56</f>
        <v>-60</v>
      </c>
      <c r="J59" s="2"/>
      <c r="K59" s="2"/>
      <c r="L59" s="2"/>
      <c r="M59" s="2"/>
      <c r="N59" s="2"/>
      <c r="O59" s="2"/>
    </row>
    <row r="60">
      <c r="A60" s="19" t="s">
        <v>242</v>
      </c>
      <c r="B60" s="1" t="s">
        <v>37</v>
      </c>
      <c r="C60" s="1" t="s">
        <v>37</v>
      </c>
      <c r="D60" s="1" t="s">
        <v>37</v>
      </c>
      <c r="E60" s="1" t="s">
        <v>37</v>
      </c>
      <c r="F60" s="1" t="s">
        <v>37</v>
      </c>
      <c r="G60" s="1">
        <f>IF(AND(ISNUMBER(G59),ISNUMBER(B59)),G59-B59,"n/a")</f>
        <v>-23</v>
      </c>
      <c r="H60" s="1">
        <f>IF(AND(ISNUMBER(H59),ISNUMBER(C59)),H59-C59,"n/a")</f>
        <v>7</v>
      </c>
      <c r="I60" s="13">
        <f>IF(AND(ISNUMBER(I59),ISNUMBER(D59)),I59-D59,"n/a")</f>
        <v>-29</v>
      </c>
      <c r="J60" s="2"/>
      <c r="K60" s="2"/>
      <c r="L60" s="2"/>
      <c r="M60" s="2"/>
      <c r="N60" s="2"/>
      <c r="O60" s="2"/>
    </row>
    <row r="61">
      <c r="A61" s="19" t="s">
        <v>110</v>
      </c>
      <c r="B61" s="1" t="s">
        <v>37</v>
      </c>
      <c r="C61" s="1">
        <f>IF(AND(ISNUMBER(C59),ISNUMBER(B59)),C59-B59,"n/a")</f>
        <v>-63</v>
      </c>
      <c r="D61" s="1">
        <f>IF(AND(ISNUMBER(D59),ISNUMBER(C59)),D59-C59,"n/a")</f>
        <v>60</v>
      </c>
      <c r="E61" s="1">
        <f>IF(AND(ISNUMBER(E59),ISNUMBER(D59)),E59-D59,"n/a")</f>
        <v>-1</v>
      </c>
      <c r="F61" s="1" t="s">
        <v>37</v>
      </c>
      <c r="G61" s="1">
        <f>IF(AND(ISNUMBER(G59),ISNUMBER(E59)),G59-E59,"n/a")</f>
        <v>-19</v>
      </c>
      <c r="H61" s="1">
        <f>IF(AND(ISNUMBER(H59),ISNUMBER(G59)),H59-G59,"n/a")</f>
        <v>-33</v>
      </c>
      <c r="I61" s="13">
        <f>IF(AND(ISNUMBER(I59),ISNUMBER(H59)),I59-H59,"n/a")</f>
        <v>24</v>
      </c>
      <c r="J61" s="2"/>
      <c r="K61" s="2"/>
      <c r="L61" s="2"/>
      <c r="M61" s="2"/>
      <c r="N61" s="2"/>
      <c r="O61" s="2"/>
    </row>
    <row r="62">
      <c r="A62" s="19" t="s">
        <v>223</v>
      </c>
      <c r="B62" s="10">
        <v>-28</v>
      </c>
      <c r="C62" s="10">
        <v>-91</v>
      </c>
      <c r="D62" s="10">
        <v>-31</v>
      </c>
      <c r="E62" s="10">
        <v>-32</v>
      </c>
      <c r="F62" s="1">
        <f>SUM(B62:E62)</f>
        <v>-182</v>
      </c>
      <c r="G62" s="10">
        <v>-51</v>
      </c>
      <c r="H62" s="10">
        <v>-84</v>
      </c>
      <c r="I62" s="13" t="s">
        <v>37</v>
      </c>
      <c r="J62" s="2"/>
      <c r="K62" s="2"/>
      <c r="L62" s="2"/>
      <c r="M62" s="2"/>
      <c r="N62" s="2"/>
      <c r="O62" s="2"/>
    </row>
    <row r="63">
      <c r="A63" s="26" t="s">
        <v>224</v>
      </c>
      <c r="B63" s="1">
        <f>B59-B62</f>
        <v>0</v>
      </c>
      <c r="C63" s="1">
        <f>C59-C62</f>
        <v>0</v>
      </c>
      <c r="D63" s="1">
        <f>D59-D62</f>
        <v>0</v>
      </c>
      <c r="E63" s="1">
        <f>E59-E62</f>
        <v>0</v>
      </c>
      <c r="F63" s="1">
        <f>F59-F62</f>
        <v>0</v>
      </c>
      <c r="G63" s="1">
        <f>G59-G62</f>
        <v>0</v>
      </c>
      <c r="H63" s="1">
        <f>H59-H62</f>
        <v>0</v>
      </c>
      <c r="I63" s="2"/>
      <c r="J63" s="2"/>
      <c r="K63" s="2"/>
      <c r="L63" s="2"/>
      <c r="M63" s="2"/>
      <c r="N63" s="2"/>
      <c r="O63" s="2"/>
    </row>
    <row r="64">
      <c r="A64" s="16" t="s">
        <v>34</v>
      </c>
      <c r="B64" s="15">
        <f>B41+B59</f>
        <v>-125</v>
      </c>
      <c r="C64" s="15">
        <f>C41+C59</f>
        <v>-306</v>
      </c>
      <c r="D64" s="15">
        <f>D41+D59</f>
        <v>-177</v>
      </c>
      <c r="E64" s="15">
        <f>E41+E59</f>
        <v>-71</v>
      </c>
      <c r="F64" s="15">
        <f>F41+F59</f>
        <v>-679</v>
      </c>
      <c r="G64" s="15">
        <f>G41+G59</f>
        <v>-227</v>
      </c>
      <c r="H64" s="15">
        <f>H41+H59</f>
        <v>-244</v>
      </c>
      <c r="I64" s="38">
        <f>I41+I59</f>
        <v>-225</v>
      </c>
      <c r="J64" s="2"/>
      <c r="K64" s="2"/>
      <c r="L64" s="2"/>
      <c r="M64" s="2"/>
      <c r="N64" s="2"/>
      <c r="O64" s="2"/>
    </row>
    <row r="65">
      <c r="A65" s="19" t="s">
        <v>242</v>
      </c>
      <c r="B65" s="1" t="s">
        <v>37</v>
      </c>
      <c r="C65" s="1" t="s">
        <v>37</v>
      </c>
      <c r="D65" s="1" t="s">
        <v>37</v>
      </c>
      <c r="E65" s="1" t="s">
        <v>37</v>
      </c>
      <c r="F65" s="1" t="s">
        <v>37</v>
      </c>
      <c r="G65" s="1">
        <f>IF(AND(ISNUMBER(G64),ISNUMBER(B64)),G64-B64,"n/a")</f>
        <v>-102</v>
      </c>
      <c r="H65" s="1">
        <f>IF(AND(ISNUMBER(H64),ISNUMBER(C64)),H64-C64,"n/a")</f>
        <v>62</v>
      </c>
      <c r="I65" s="13">
        <f>IF(AND(ISNUMBER(I64),ISNUMBER(D64)),I64-D64,"n/a")</f>
        <v>-48</v>
      </c>
      <c r="J65" s="2"/>
      <c r="K65" s="2"/>
      <c r="L65" s="2"/>
      <c r="M65" s="2"/>
      <c r="N65" s="2"/>
      <c r="O65" s="2"/>
    </row>
    <row r="66">
      <c r="A66" s="19" t="s">
        <v>110</v>
      </c>
      <c r="B66" s="1" t="s">
        <v>37</v>
      </c>
      <c r="C66" s="1">
        <f>IF(AND(ISNUMBER(C64),ISNUMBER(B64)),C64-B64,"n/a")</f>
        <v>-181</v>
      </c>
      <c r="D66" s="1">
        <f>IF(AND(ISNUMBER(D64),ISNUMBER(C64)),D64-C64,"n/a")</f>
        <v>129</v>
      </c>
      <c r="E66" s="1">
        <f>IF(AND(ISNUMBER(E64),ISNUMBER(D64)),E64-D64,"n/a")</f>
        <v>106</v>
      </c>
      <c r="F66" s="1" t="s">
        <v>37</v>
      </c>
      <c r="G66" s="1">
        <f>IF(AND(ISNUMBER(G64),ISNUMBER(E64)),G64-E64,"n/a")</f>
        <v>-156</v>
      </c>
      <c r="H66" s="1">
        <f>IF(AND(ISNUMBER(H64),ISNUMBER(G64)),H64-G64,"n/a")</f>
        <v>-17</v>
      </c>
      <c r="I66" s="13">
        <f>IF(AND(ISNUMBER(I64),ISNUMBER(H64)),I64-H64,"n/a")</f>
        <v>19</v>
      </c>
      <c r="J66" s="2"/>
      <c r="K66" s="2"/>
      <c r="L66" s="2"/>
      <c r="M66" s="2"/>
      <c r="N66" s="2"/>
      <c r="O66" s="2"/>
    </row>
    <row r="67">
      <c r="A67" s="36" t="s">
        <v>370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>
      <c r="A69" s="16" t="s">
        <v>371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>
      <c r="A70" s="36" t="s">
        <v>372</v>
      </c>
      <c r="B70" s="8">
        <v>1347</v>
      </c>
      <c r="C70" s="8">
        <v>1237</v>
      </c>
      <c r="D70" s="8">
        <v>1197</v>
      </c>
      <c r="E70" s="8">
        <v>1152</v>
      </c>
      <c r="F70" s="3">
        <f>SUM(B70:E70)</f>
        <v>4933</v>
      </c>
      <c r="G70" s="8">
        <v>1246</v>
      </c>
      <c r="H70" s="8">
        <v>1215</v>
      </c>
      <c r="I70" s="49">
        <f>'Income Statement'!I144-'Segment - WCCIB'!I207-'Segment - Consumer &amp; Business'!I220-'Segment - Payment Services'!I174</f>
        <v>1175.694</v>
      </c>
      <c r="J70" s="6" t="s">
        <v>373</v>
      </c>
      <c r="K70" s="2"/>
      <c r="L70" s="2"/>
      <c r="M70" s="2"/>
      <c r="N70" s="2"/>
      <c r="O70" s="2"/>
    </row>
    <row r="71">
      <c r="A71" s="14" t="s">
        <v>122</v>
      </c>
      <c r="B71" s="12" t="s">
        <v>37</v>
      </c>
      <c r="C71" s="12" t="s">
        <v>37</v>
      </c>
      <c r="D71" s="12" t="s">
        <v>37</v>
      </c>
      <c r="E71" s="12" t="s">
        <v>37</v>
      </c>
      <c r="F71" s="12" t="s">
        <v>37</v>
      </c>
      <c r="G71" s="12">
        <f>G70/B70-1</f>
        <v>-0.07498144023756492</v>
      </c>
      <c r="H71" s="12">
        <f>H70/C70-1</f>
        <v>-0.017784963621665373</v>
      </c>
      <c r="I71" s="35">
        <f>I70/D70-1</f>
        <v>-0.01779949874686715</v>
      </c>
      <c r="J71" s="2"/>
      <c r="K71" s="2"/>
      <c r="L71" s="2"/>
      <c r="M71" s="2"/>
      <c r="N71" s="2"/>
      <c r="O71" s="2"/>
    </row>
    <row r="72">
      <c r="A72" s="14" t="s">
        <v>110</v>
      </c>
      <c r="B72" s="1" t="s">
        <v>37</v>
      </c>
      <c r="C72" s="1">
        <f>IF(AND(ISNUMBER(C70),ISNUMBER(B70)),C70-B70,"n/a")</f>
        <v>-110</v>
      </c>
      <c r="D72" s="1">
        <f>IF(AND(ISNUMBER(D70),ISNUMBER(C70)),D70-C70,"n/a")</f>
        <v>-40</v>
      </c>
      <c r="E72" s="1">
        <f>IF(AND(ISNUMBER(E70),ISNUMBER(D70)),E70-D70,"n/a")</f>
        <v>-45</v>
      </c>
      <c r="F72" s="1" t="s">
        <v>37</v>
      </c>
      <c r="G72" s="1">
        <f>IF(AND(ISNUMBER(G70),ISNUMBER(E70)),G70-E70,"n/a")</f>
        <v>94</v>
      </c>
      <c r="H72" s="1">
        <f>IF(AND(ISNUMBER(H70),ISNUMBER(G70)),H70-G70,"n/a")</f>
        <v>-31</v>
      </c>
      <c r="I72" s="13">
        <f>IF(AND(ISNUMBER(I70),ISNUMBER(H70)),I70-H70,"n/a")</f>
        <v>-39.30600000000004</v>
      </c>
      <c r="J72" s="2"/>
      <c r="K72" s="2"/>
      <c r="L72" s="2"/>
      <c r="M72" s="2"/>
      <c r="N72" s="2"/>
      <c r="O72" s="2"/>
    </row>
    <row r="73">
      <c r="A73" s="36" t="s">
        <v>374</v>
      </c>
      <c r="B73" s="8">
        <v>-1755</v>
      </c>
      <c r="C73" s="8">
        <v>-1692</v>
      </c>
      <c r="D73" s="8">
        <v>-1715</v>
      </c>
      <c r="E73" s="8">
        <v>-1731</v>
      </c>
      <c r="F73" s="3">
        <f>SUM(B73:E73)</f>
        <v>-6893</v>
      </c>
      <c r="G73" s="8">
        <v>-1649</v>
      </c>
      <c r="H73" s="8">
        <v>-1681</v>
      </c>
      <c r="I73" s="49">
        <f>-('Segment - WCCIB'!I215+'Segment - Consumer &amp; Business'!I228+'Segment - Payment Services'!I182)</f>
        <v>-1689.5569999999998</v>
      </c>
      <c r="J73" s="6" t="s">
        <v>375</v>
      </c>
      <c r="K73" s="2"/>
      <c r="L73" s="2"/>
      <c r="M73" s="2"/>
      <c r="N73" s="2"/>
      <c r="O73" s="2"/>
    </row>
    <row r="74">
      <c r="A74" s="14" t="s">
        <v>110</v>
      </c>
      <c r="B74" s="1" t="s">
        <v>37</v>
      </c>
      <c r="C74" s="1">
        <f>IF(AND(ISNUMBER(C73),ISNUMBER(B73)),C73-B73,"n/a")</f>
        <v>63</v>
      </c>
      <c r="D74" s="1">
        <f>IF(AND(ISNUMBER(D73),ISNUMBER(C73)),D73-C73,"n/a")</f>
        <v>-23</v>
      </c>
      <c r="E74" s="1">
        <f>IF(AND(ISNUMBER(E73),ISNUMBER(D73)),E73-D73,"n/a")</f>
        <v>-16</v>
      </c>
      <c r="F74" s="1" t="s">
        <v>37</v>
      </c>
      <c r="G74" s="1">
        <f>IF(AND(ISNUMBER(G73),ISNUMBER(E73)),G73-E73,"n/a")</f>
        <v>82</v>
      </c>
      <c r="H74" s="1">
        <f>IF(AND(ISNUMBER(H73),ISNUMBER(G73)),H73-G73,"n/a")</f>
        <v>-32</v>
      </c>
      <c r="I74" s="13">
        <f>IF(AND(ISNUMBER(I73),ISNUMBER(H73)),I73-H73,"n/a")</f>
        <v>-8.556999999999789</v>
      </c>
      <c r="J74" s="2"/>
      <c r="K74" s="2"/>
      <c r="L74" s="2"/>
      <c r="M74" s="2"/>
      <c r="N74" s="2"/>
      <c r="O74" s="2"/>
    </row>
    <row r="75">
      <c r="A75" s="36" t="s">
        <v>376</v>
      </c>
      <c r="B75" s="8">
        <v>690</v>
      </c>
      <c r="C75" s="8">
        <v>626</v>
      </c>
      <c r="D75" s="8">
        <v>664</v>
      </c>
      <c r="E75" s="8">
        <v>656</v>
      </c>
      <c r="F75" s="3">
        <f>SUM(B75:E75)</f>
        <v>2636</v>
      </c>
      <c r="G75" s="8">
        <v>700</v>
      </c>
      <c r="H75" s="8">
        <v>655</v>
      </c>
      <c r="I75" s="49">
        <f>'Income Statement'!I172-'Segment - WCCIB'!I223-'Segment - Consumer &amp; Business'!I236-'Segment - Payment Services'!I190-I70-I73</f>
        <v>663.2509999999991</v>
      </c>
      <c r="J75" s="6" t="s">
        <v>377</v>
      </c>
      <c r="K75" s="2"/>
      <c r="L75" s="2"/>
      <c r="M75" s="2"/>
      <c r="N75" s="2"/>
      <c r="O75" s="2"/>
    </row>
    <row r="76">
      <c r="A76" s="14" t="s">
        <v>122</v>
      </c>
      <c r="B76" s="12" t="s">
        <v>37</v>
      </c>
      <c r="C76" s="12" t="s">
        <v>37</v>
      </c>
      <c r="D76" s="12" t="s">
        <v>37</v>
      </c>
      <c r="E76" s="12" t="s">
        <v>37</v>
      </c>
      <c r="F76" s="12" t="s">
        <v>37</v>
      </c>
      <c r="G76" s="12">
        <f>G75/B75-1</f>
        <v>0.01449275362318847</v>
      </c>
      <c r="H76" s="12">
        <f>H75/C75-1</f>
        <v>0.0463258785942493</v>
      </c>
      <c r="I76" s="35">
        <f>I75/D75-1</f>
        <v>-0.001128012048194127</v>
      </c>
      <c r="J76" s="2"/>
      <c r="K76" s="2"/>
      <c r="L76" s="2"/>
      <c r="M76" s="2"/>
      <c r="N76" s="2"/>
      <c r="O76" s="2"/>
    </row>
    <row r="77">
      <c r="A77" s="14" t="s">
        <v>110</v>
      </c>
      <c r="B77" s="1" t="s">
        <v>37</v>
      </c>
      <c r="C77" s="1">
        <f>IF(AND(ISNUMBER(C75),ISNUMBER(B75)),C75-B75,"n/a")</f>
        <v>-64</v>
      </c>
      <c r="D77" s="1">
        <f>IF(AND(ISNUMBER(D75),ISNUMBER(C75)),D75-C75,"n/a")</f>
        <v>38</v>
      </c>
      <c r="E77" s="1">
        <f>IF(AND(ISNUMBER(E75),ISNUMBER(D75)),E75-D75,"n/a")</f>
        <v>-8</v>
      </c>
      <c r="F77" s="1" t="s">
        <v>37</v>
      </c>
      <c r="G77" s="1">
        <f>IF(AND(ISNUMBER(G75),ISNUMBER(E75)),G75-E75,"n/a")</f>
        <v>44</v>
      </c>
      <c r="H77" s="1">
        <f>IF(AND(ISNUMBER(H75),ISNUMBER(G75)),H75-G75,"n/a")</f>
        <v>-45</v>
      </c>
      <c r="I77" s="13">
        <f>IF(AND(ISNUMBER(I75),ISNUMBER(H75)),I75-H75,"n/a")</f>
        <v>8.250999999999067</v>
      </c>
      <c r="J77" s="2"/>
      <c r="K77" s="2"/>
      <c r="L77" s="2"/>
      <c r="M77" s="2"/>
      <c r="N77" s="2"/>
      <c r="O77" s="2"/>
    </row>
    <row r="78">
      <c r="A78" s="16" t="s">
        <v>231</v>
      </c>
      <c r="B78" s="15">
        <f>B70+B73+B75</f>
        <v>282</v>
      </c>
      <c r="C78" s="15">
        <f>C70+C73+C75</f>
        <v>171</v>
      </c>
      <c r="D78" s="15">
        <f>D70+D73+D75</f>
        <v>146</v>
      </c>
      <c r="E78" s="15">
        <f>E70+E73+E75</f>
        <v>77</v>
      </c>
      <c r="F78" s="15">
        <f>F70+F73+F75</f>
        <v>676</v>
      </c>
      <c r="G78" s="15">
        <f>G70+G73+G75</f>
        <v>297</v>
      </c>
      <c r="H78" s="15">
        <f>H70+H73+H75</f>
        <v>189</v>
      </c>
      <c r="I78" s="38">
        <f>I70+I73+I75</f>
        <v>149.38799999999924</v>
      </c>
      <c r="J78" s="2"/>
      <c r="K78" s="2"/>
      <c r="L78" s="2"/>
      <c r="M78" s="2"/>
      <c r="N78" s="2"/>
      <c r="O78" s="2"/>
    </row>
    <row r="79">
      <c r="A79" s="19" t="s">
        <v>122</v>
      </c>
      <c r="B79" s="12" t="s">
        <v>37</v>
      </c>
      <c r="C79" s="12" t="s">
        <v>37</v>
      </c>
      <c r="D79" s="12" t="s">
        <v>37</v>
      </c>
      <c r="E79" s="12" t="s">
        <v>37</v>
      </c>
      <c r="F79" s="12" t="s">
        <v>37</v>
      </c>
      <c r="G79" s="12">
        <f>G78/B78-1</f>
        <v>0.05319148936170204</v>
      </c>
      <c r="H79" s="12">
        <f>H78/C78-1</f>
        <v>0.10526315789473695</v>
      </c>
      <c r="I79" s="35">
        <f>I78/D78-1</f>
        <v>0.023205479452049538</v>
      </c>
      <c r="J79" s="2"/>
      <c r="K79" s="2"/>
      <c r="L79" s="2"/>
      <c r="M79" s="2"/>
      <c r="N79" s="2"/>
      <c r="O79" s="2"/>
    </row>
    <row r="80">
      <c r="A80" s="19" t="s">
        <v>110</v>
      </c>
      <c r="B80" s="1" t="s">
        <v>37</v>
      </c>
      <c r="C80" s="1">
        <f>IF(AND(ISNUMBER(C78),ISNUMBER(B78)),C78-B78,"n/a")</f>
        <v>-111</v>
      </c>
      <c r="D80" s="1">
        <f>IF(AND(ISNUMBER(D78),ISNUMBER(C78)),D78-C78,"n/a")</f>
        <v>-25</v>
      </c>
      <c r="E80" s="1">
        <f>IF(AND(ISNUMBER(E78),ISNUMBER(D78)),E78-D78,"n/a")</f>
        <v>-69</v>
      </c>
      <c r="F80" s="1" t="s">
        <v>37</v>
      </c>
      <c r="G80" s="1">
        <f>IF(AND(ISNUMBER(G78),ISNUMBER(E78)),G78-E78,"n/a")</f>
        <v>220</v>
      </c>
      <c r="H80" s="1">
        <f>IF(AND(ISNUMBER(H78),ISNUMBER(G78)),H78-G78,"n/a")</f>
        <v>-108</v>
      </c>
      <c r="I80" s="13">
        <f>IF(AND(ISNUMBER(I78),ISNUMBER(H78)),I78-H78,"n/a")</f>
        <v>-39.61200000000076</v>
      </c>
      <c r="J80" s="2"/>
      <c r="K80" s="2"/>
      <c r="L80" s="2"/>
      <c r="M80" s="2"/>
      <c r="N80" s="2"/>
      <c r="O80" s="2"/>
    </row>
    <row r="81">
      <c r="A81" s="16" t="s">
        <v>233</v>
      </c>
      <c r="B81" s="15">
        <f>B64-B78</f>
        <v>-407</v>
      </c>
      <c r="C81" s="15">
        <f>C64-C78</f>
        <v>-477</v>
      </c>
      <c r="D81" s="15">
        <f>D64-D78</f>
        <v>-323</v>
      </c>
      <c r="E81" s="15">
        <f>E64-E78</f>
        <v>-148</v>
      </c>
      <c r="F81" s="15">
        <f>F64-F78</f>
        <v>-1355</v>
      </c>
      <c r="G81" s="15">
        <f>G64-G78</f>
        <v>-524</v>
      </c>
      <c r="H81" s="15">
        <f>H64-H78</f>
        <v>-433</v>
      </c>
      <c r="I81" s="38">
        <f>I64-I78</f>
        <v>-374.38799999999924</v>
      </c>
      <c r="J81" s="2"/>
      <c r="K81" s="2"/>
      <c r="L81" s="2"/>
      <c r="M81" s="2"/>
      <c r="N81" s="2"/>
      <c r="O81" s="2"/>
    </row>
    <row r="82">
      <c r="A82" s="19" t="s">
        <v>110</v>
      </c>
      <c r="B82" s="1" t="s">
        <v>37</v>
      </c>
      <c r="C82" s="1">
        <f>IF(AND(ISNUMBER(C81),ISNUMBER(B81)),C81-B81,"n/a")</f>
        <v>-70</v>
      </c>
      <c r="D82" s="1">
        <f>IF(AND(ISNUMBER(D81),ISNUMBER(C81)),D81-C81,"n/a")</f>
        <v>154</v>
      </c>
      <c r="E82" s="1">
        <f>IF(AND(ISNUMBER(E81),ISNUMBER(D81)),E81-D81,"n/a")</f>
        <v>175</v>
      </c>
      <c r="F82" s="1" t="s">
        <v>37</v>
      </c>
      <c r="G82" s="1">
        <f>IF(AND(ISNUMBER(G81),ISNUMBER(E81)),G81-E81,"n/a")</f>
        <v>-376</v>
      </c>
      <c r="H82" s="1">
        <f>IF(AND(ISNUMBER(H81),ISNUMBER(G81)),H81-G81,"n/a")</f>
        <v>91</v>
      </c>
      <c r="I82" s="13">
        <f>IF(AND(ISNUMBER(I81),ISNUMBER(H81)),I81-H81,"n/a")</f>
        <v>58.61200000000076</v>
      </c>
      <c r="J82" s="2"/>
      <c r="K82" s="2"/>
      <c r="L82" s="2"/>
      <c r="M82" s="2"/>
      <c r="N82" s="2"/>
      <c r="O82" s="2"/>
    </row>
    <row r="83">
      <c r="A83" s="36" t="s">
        <v>378</v>
      </c>
      <c r="B83" s="8">
        <v>0</v>
      </c>
      <c r="C83" s="8">
        <v>0</v>
      </c>
      <c r="D83" s="8">
        <v>-1</v>
      </c>
      <c r="E83" s="8">
        <v>0</v>
      </c>
      <c r="F83" s="3">
        <f>SUM(B83:E83)</f>
        <v>-1</v>
      </c>
      <c r="G83" s="8">
        <v>0</v>
      </c>
      <c r="H83" s="8">
        <v>0</v>
      </c>
      <c r="I83" s="32">
        <v>0</v>
      </c>
      <c r="J83" s="2"/>
      <c r="K83" s="2"/>
      <c r="L83" s="2"/>
      <c r="M83" s="2"/>
      <c r="N83" s="2"/>
      <c r="O83" s="2"/>
    </row>
    <row r="84">
      <c r="A84" s="14" t="s">
        <v>242</v>
      </c>
      <c r="B84" s="1" t="s">
        <v>37</v>
      </c>
      <c r="C84" s="1" t="s">
        <v>37</v>
      </c>
      <c r="D84" s="1" t="s">
        <v>37</v>
      </c>
      <c r="E84" s="1" t="s">
        <v>37</v>
      </c>
      <c r="F84" s="1" t="s">
        <v>37</v>
      </c>
      <c r="G84" s="1">
        <f>IF(AND(ISNUMBER(G83),ISNUMBER(B83)),G83-B83,"n/a")</f>
        <v>0</v>
      </c>
      <c r="H84" s="1">
        <f>IF(AND(ISNUMBER(H83),ISNUMBER(C83)),H83-C83,"n/a")</f>
        <v>0</v>
      </c>
      <c r="I84" s="13">
        <f>IF(AND(ISNUMBER(I83),ISNUMBER(D83)),I83-D83,"n/a")</f>
        <v>1</v>
      </c>
      <c r="J84" s="2"/>
      <c r="K84" s="2"/>
      <c r="L84" s="2"/>
      <c r="M84" s="2"/>
      <c r="N84" s="2"/>
      <c r="O84" s="2"/>
    </row>
    <row r="85">
      <c r="A85" s="14" t="s">
        <v>110</v>
      </c>
      <c r="B85" s="1" t="s">
        <v>37</v>
      </c>
      <c r="C85" s="1">
        <f>IF(AND(ISNUMBER(C83),ISNUMBER(B83)),C83-B83,"n/a")</f>
        <v>0</v>
      </c>
      <c r="D85" s="1">
        <f>IF(AND(ISNUMBER(D83),ISNUMBER(C83)),D83-C83,"n/a")</f>
        <v>-1</v>
      </c>
      <c r="E85" s="1">
        <f>IF(AND(ISNUMBER(E83),ISNUMBER(D83)),E83-D83,"n/a")</f>
        <v>1</v>
      </c>
      <c r="F85" s="1" t="s">
        <v>37</v>
      </c>
      <c r="G85" s="1">
        <f>IF(AND(ISNUMBER(G83),ISNUMBER(E83)),G83-E83,"n/a")</f>
        <v>0</v>
      </c>
      <c r="H85" s="1">
        <f>IF(AND(ISNUMBER(H83),ISNUMBER(G83)),H83-G83,"n/a")</f>
        <v>0</v>
      </c>
      <c r="I85" s="13">
        <f>IF(AND(ISNUMBER(I83),ISNUMBER(H83)),I83-H83,"n/a")</f>
        <v>0</v>
      </c>
      <c r="J85" s="2"/>
      <c r="K85" s="2"/>
      <c r="L85" s="2"/>
      <c r="M85" s="2"/>
      <c r="N85" s="2"/>
      <c r="O85" s="2"/>
    </row>
    <row r="86">
      <c r="A86" s="68" t="s">
        <v>379</v>
      </c>
      <c r="B86" s="20">
        <v>116</v>
      </c>
      <c r="C86" s="20">
        <v>-98</v>
      </c>
      <c r="D86" s="20">
        <v>-96</v>
      </c>
      <c r="E86" s="20">
        <v>-117</v>
      </c>
      <c r="F86" s="9">
        <f>SUM(B86:E86)</f>
        <v>-195</v>
      </c>
      <c r="G86" s="20">
        <v>92</v>
      </c>
      <c r="H86" s="20">
        <v>-54</v>
      </c>
      <c r="I86" s="77">
        <v>-10</v>
      </c>
      <c r="J86" s="6" t="s">
        <v>380</v>
      </c>
      <c r="K86" s="2"/>
      <c r="L86" s="2"/>
      <c r="M86" s="2"/>
      <c r="N86" s="2"/>
      <c r="O86" s="2"/>
    </row>
    <row r="87">
      <c r="A87" s="14" t="s">
        <v>242</v>
      </c>
      <c r="B87" s="1" t="s">
        <v>37</v>
      </c>
      <c r="C87" s="1" t="s">
        <v>37</v>
      </c>
      <c r="D87" s="1" t="s">
        <v>37</v>
      </c>
      <c r="E87" s="1" t="s">
        <v>37</v>
      </c>
      <c r="F87" s="1" t="s">
        <v>37</v>
      </c>
      <c r="G87" s="1">
        <f>IF(AND(ISNUMBER(G86),ISNUMBER(B86)),G86-B86,"n/a")</f>
        <v>-24</v>
      </c>
      <c r="H87" s="1">
        <f>IF(AND(ISNUMBER(H86),ISNUMBER(C86)),H86-C86,"n/a")</f>
        <v>44</v>
      </c>
      <c r="I87" s="13">
        <f>IF(AND(ISNUMBER(I86),ISNUMBER(D86)),I86-D86,"n/a")</f>
        <v>86</v>
      </c>
      <c r="J87" s="2"/>
      <c r="K87" s="2"/>
      <c r="L87" s="2"/>
      <c r="M87" s="2"/>
      <c r="N87" s="2"/>
      <c r="O87" s="2"/>
    </row>
    <row r="88">
      <c r="A88" s="14" t="s">
        <v>110</v>
      </c>
      <c r="B88" s="1" t="s">
        <v>37</v>
      </c>
      <c r="C88" s="1">
        <f>IF(AND(ISNUMBER(C86),ISNUMBER(B86)),C86-B86,"n/a")</f>
        <v>-214</v>
      </c>
      <c r="D88" s="1">
        <f>IF(AND(ISNUMBER(D86),ISNUMBER(C86)),D86-C86,"n/a")</f>
        <v>2</v>
      </c>
      <c r="E88" s="1">
        <f>IF(AND(ISNUMBER(E86),ISNUMBER(D86)),E86-D86,"n/a")</f>
        <v>-21</v>
      </c>
      <c r="F88" s="1" t="s">
        <v>37</v>
      </c>
      <c r="G88" s="1">
        <f>IF(AND(ISNUMBER(G86),ISNUMBER(E86)),G86-E86,"n/a")</f>
        <v>209</v>
      </c>
      <c r="H88" s="1">
        <f>IF(AND(ISNUMBER(H86),ISNUMBER(G86)),H86-G86,"n/a")</f>
        <v>-146</v>
      </c>
      <c r="I88" s="13">
        <f>IF(AND(ISNUMBER(I86),ISNUMBER(H86)),I86-H86,"n/a")</f>
        <v>44</v>
      </c>
      <c r="J88" s="2"/>
      <c r="K88" s="2"/>
      <c r="L88" s="2"/>
      <c r="M88" s="2"/>
      <c r="N88" s="2"/>
      <c r="O88" s="2"/>
    </row>
    <row r="89">
      <c r="A89" s="36" t="s">
        <v>241</v>
      </c>
      <c r="B89" s="3">
        <f>B86-B83</f>
        <v>116</v>
      </c>
      <c r="C89" s="3">
        <f>C86-C83</f>
        <v>-98</v>
      </c>
      <c r="D89" s="3">
        <f>D86-D83</f>
        <v>-95</v>
      </c>
      <c r="E89" s="3">
        <f>E86-E83</f>
        <v>-117</v>
      </c>
      <c r="F89" s="3">
        <f>F86-F83</f>
        <v>-194</v>
      </c>
      <c r="G89" s="3">
        <f>G86-G83</f>
        <v>92</v>
      </c>
      <c r="H89" s="3">
        <f>H86-H83</f>
        <v>-54</v>
      </c>
      <c r="I89" s="46">
        <f>I86-I83</f>
        <v>-10</v>
      </c>
      <c r="J89" s="2"/>
      <c r="K89" s="2"/>
      <c r="L89" s="2"/>
      <c r="M89" s="2"/>
      <c r="N89" s="2"/>
      <c r="O89" s="2"/>
    </row>
    <row r="90">
      <c r="A90" s="16" t="s">
        <v>244</v>
      </c>
      <c r="B90" s="15">
        <f>B81-B86</f>
        <v>-523</v>
      </c>
      <c r="C90" s="15">
        <f>C81-C86</f>
        <v>-379</v>
      </c>
      <c r="D90" s="15">
        <f>D81-D86</f>
        <v>-227</v>
      </c>
      <c r="E90" s="15">
        <f>E81-E86</f>
        <v>-31</v>
      </c>
      <c r="F90" s="15">
        <f>F81-F86</f>
        <v>-1160</v>
      </c>
      <c r="G90" s="15">
        <f>G81-G86</f>
        <v>-616</v>
      </c>
      <c r="H90" s="15">
        <f>H81-H86</f>
        <v>-379</v>
      </c>
      <c r="I90" s="38">
        <f>I81-I86</f>
        <v>-364.38799999999924</v>
      </c>
      <c r="J90" s="2"/>
      <c r="K90" s="2"/>
      <c r="L90" s="2"/>
      <c r="M90" s="2"/>
      <c r="N90" s="2"/>
      <c r="O90" s="2"/>
    </row>
    <row r="91">
      <c r="A91" s="36" t="s">
        <v>381</v>
      </c>
      <c r="B91" s="8">
        <v>-205</v>
      </c>
      <c r="C91" s="8">
        <v>-175</v>
      </c>
      <c r="D91" s="8">
        <v>-144</v>
      </c>
      <c r="E91" s="8">
        <v>-138</v>
      </c>
      <c r="F91" s="3">
        <f>SUM(B91:E91)</f>
        <v>-662</v>
      </c>
      <c r="G91" s="8">
        <v>-269</v>
      </c>
      <c r="H91" s="8">
        <v>-218</v>
      </c>
      <c r="I91" s="49">
        <f>'Income Statement'!I187+'Income Statement'!I43-'Segment - WCCIB'!I256-'Segment - Consumer &amp; Business'!I273-'Segment - Payment Services'!I225</f>
        <v>-206.28139838095265</v>
      </c>
      <c r="J91" s="6" t="s">
        <v>382</v>
      </c>
      <c r="K91" s="2"/>
      <c r="L91" s="2"/>
      <c r="M91" s="2"/>
      <c r="N91" s="2"/>
      <c r="O91" s="2"/>
    </row>
    <row r="92">
      <c r="A92" s="16" t="s">
        <v>383</v>
      </c>
      <c r="B92" s="15">
        <f>B90-B91</f>
        <v>-318</v>
      </c>
      <c r="C92" s="15">
        <f>C90-C91</f>
        <v>-204</v>
      </c>
      <c r="D92" s="15">
        <f>D90-D91</f>
        <v>-83</v>
      </c>
      <c r="E92" s="15">
        <f>E90-E91</f>
        <v>107</v>
      </c>
      <c r="F92" s="15">
        <f>F90-F91</f>
        <v>-498</v>
      </c>
      <c r="G92" s="15">
        <f>G90-G91</f>
        <v>-347</v>
      </c>
      <c r="H92" s="15">
        <f>H90-H91</f>
        <v>-161</v>
      </c>
      <c r="I92" s="38">
        <f>I90-I91</f>
        <v>-158.1066016190466</v>
      </c>
      <c r="J92" s="2"/>
      <c r="K92" s="2"/>
      <c r="L92" s="2"/>
      <c r="M92" s="2"/>
      <c r="N92" s="2"/>
      <c r="O92" s="2"/>
    </row>
    <row r="93">
      <c r="A93" s="36" t="s">
        <v>384</v>
      </c>
      <c r="B93" s="8">
        <v>-7</v>
      </c>
      <c r="C93" s="8">
        <v>-6</v>
      </c>
      <c r="D93" s="8">
        <v>-7</v>
      </c>
      <c r="E93" s="8">
        <v>-6</v>
      </c>
      <c r="F93" s="3">
        <f>SUM(B93:E93)</f>
        <v>-26</v>
      </c>
      <c r="G93" s="8">
        <v>-5</v>
      </c>
      <c r="H93" s="8">
        <v>-6</v>
      </c>
      <c r="I93" s="49">
        <f>'Income Statement'!I192</f>
        <v>-6</v>
      </c>
      <c r="J93" s="2"/>
      <c r="K93" s="2"/>
      <c r="L93" s="2"/>
      <c r="M93" s="2"/>
      <c r="N93" s="2"/>
      <c r="O93" s="2"/>
    </row>
    <row r="94">
      <c r="A94" s="16" t="s">
        <v>247</v>
      </c>
      <c r="B94" s="15">
        <f>B92+B93</f>
        <v>-325</v>
      </c>
      <c r="C94" s="15">
        <f>C92+C93</f>
        <v>-210</v>
      </c>
      <c r="D94" s="15">
        <f>D92+D93</f>
        <v>-90</v>
      </c>
      <c r="E94" s="15">
        <f>E92+E93</f>
        <v>101</v>
      </c>
      <c r="F94" s="15">
        <f>F92+F93</f>
        <v>-524</v>
      </c>
      <c r="G94" s="15">
        <f>G92+G93</f>
        <v>-352</v>
      </c>
      <c r="H94" s="15">
        <f>H92+H93</f>
        <v>-167</v>
      </c>
      <c r="I94" s="38">
        <f>I92+I93</f>
        <v>-164.1066016190466</v>
      </c>
      <c r="J94" s="125" t="s">
        <v>385</v>
      </c>
      <c r="K94" s="2"/>
      <c r="L94" s="2"/>
      <c r="M94" s="2"/>
      <c r="N94" s="2"/>
      <c r="O94" s="2"/>
    </row>
    <row r="95">
      <c r="A95" s="19" t="s">
        <v>110</v>
      </c>
      <c r="B95" s="1" t="s">
        <v>37</v>
      </c>
      <c r="C95" s="1">
        <f>IF(AND(ISNUMBER(C94),ISNUMBER(B94)),C94-B94,"n/a")</f>
        <v>115</v>
      </c>
      <c r="D95" s="1">
        <f>IF(AND(ISNUMBER(D94),ISNUMBER(C94)),D94-C94,"n/a")</f>
        <v>120</v>
      </c>
      <c r="E95" s="1">
        <f>IF(AND(ISNUMBER(E94),ISNUMBER(D94)),E94-D94,"n/a")</f>
        <v>191</v>
      </c>
      <c r="F95" s="1" t="s">
        <v>37</v>
      </c>
      <c r="G95" s="1">
        <f>IF(AND(ISNUMBER(G94),ISNUMBER(E94)),G94-E94,"n/a")</f>
        <v>-453</v>
      </c>
      <c r="H95" s="1">
        <f>IF(AND(ISNUMBER(H94),ISNUMBER(G94)),H94-G94,"n/a")</f>
        <v>185</v>
      </c>
      <c r="I95" s="13">
        <f>IF(AND(ISNUMBER(I94),ISNUMBER(H94)),I94-H94,"n/a")</f>
        <v>2.893398380953414</v>
      </c>
      <c r="J95" s="2"/>
      <c r="K95" s="2"/>
      <c r="L95" s="2"/>
      <c r="M95" s="2"/>
      <c r="N95" s="2"/>
      <c r="O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O249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386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387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36" t="s">
        <v>388</v>
      </c>
      <c r="B10" s="8">
        <v>5533</v>
      </c>
      <c r="C10" s="8">
        <v>5548</v>
      </c>
      <c r="D10" s="8">
        <v>5688</v>
      </c>
      <c r="E10" s="8">
        <v>5599</v>
      </c>
      <c r="F10" s="3">
        <f>SUM(B10:E10)</f>
        <v>22368</v>
      </c>
      <c r="G10" s="8">
        <v>5526</v>
      </c>
      <c r="H10" s="8">
        <v>5728</v>
      </c>
      <c r="I10" s="49">
        <f>'Revenue summary'!I77*I11*(I$7/365)</f>
        <v>5910.454660541371</v>
      </c>
      <c r="J10" s="2"/>
      <c r="K10" s="2"/>
      <c r="L10" s="2"/>
      <c r="M10" s="2"/>
      <c r="N10" s="2"/>
      <c r="O10" s="2"/>
    </row>
    <row r="11">
      <c r="A11" s="14" t="s">
        <v>389</v>
      </c>
      <c r="B11" s="64">
        <f>B10/'Revenue summary'!B77/(B$7/365)</f>
        <v>0.05920245704509664</v>
      </c>
      <c r="C11" s="64">
        <f>C10/'Revenue summary'!C77/(C$7/365)</f>
        <v>0.05878801104530176</v>
      </c>
      <c r="D11" s="64">
        <f>D10/'Revenue summary'!D77/(D$7/365)</f>
        <v>0.059518403540349075</v>
      </c>
      <c r="E11" s="64">
        <f>E10/'Revenue summary'!E77/(E$7/365)</f>
        <v>0.05780455628776423</v>
      </c>
      <c r="F11" s="64">
        <f>F10/'Revenue summary'!F77/(F$7/365)</f>
        <v>0.0588229263211276</v>
      </c>
      <c r="G11" s="64">
        <f>G10/'Revenue summary'!G77/(G$7/365)</f>
        <v>0.05694430328285396</v>
      </c>
      <c r="H11" s="64">
        <f>H10/'Revenue summary'!H77/(H$7/365)</f>
        <v>0.05666096575411685</v>
      </c>
      <c r="I11" s="124">
        <v>0.0568</v>
      </c>
      <c r="J11" s="6" t="s">
        <v>390</v>
      </c>
      <c r="K11" s="2"/>
      <c r="L11" s="2"/>
      <c r="M11" s="2"/>
      <c r="N11" s="2"/>
      <c r="O11" s="2"/>
    </row>
    <row r="12">
      <c r="A12" s="61" t="s">
        <v>144</v>
      </c>
      <c r="B12" s="5" t="s">
        <v>37</v>
      </c>
      <c r="C12" s="5">
        <f>IF(AND(ISNUMBER(C11),ISNUMBER(B11)),(C11-B11)*10000,"n/a")</f>
        <v>-4.144459997948783</v>
      </c>
      <c r="D12" s="5">
        <f>IF(AND(ISNUMBER(D11),ISNUMBER(C11)),(D11-C11)*10000,"n/a")</f>
        <v>7.30392495047312</v>
      </c>
      <c r="E12" s="5">
        <f>IF(AND(ISNUMBER(E11),ISNUMBER(D11)),(E11-D11)*10000,"n/a")</f>
        <v>-17.138472525848464</v>
      </c>
      <c r="F12" s="5" t="s">
        <v>37</v>
      </c>
      <c r="G12" s="5">
        <f>IF(AND(ISNUMBER(G11),ISNUMBER(E11)),(G11-E11)*10000,"n/a")</f>
        <v>-8.602530049102718</v>
      </c>
      <c r="H12" s="5">
        <f>IF(AND(ISNUMBER(H11),ISNUMBER(G11)),(H11-G11)*10000,"n/a")</f>
        <v>-2.8333752873710427</v>
      </c>
      <c r="I12" s="45">
        <f>IF(AND(ISNUMBER(I11),ISNUMBER(H11)),(I11-H11)*10000,"n/a")</f>
        <v>1.3903424588315034</v>
      </c>
      <c r="J12" s="2"/>
      <c r="K12" s="2"/>
      <c r="L12" s="2"/>
      <c r="M12" s="2"/>
      <c r="N12" s="2"/>
      <c r="O12" s="2"/>
    </row>
    <row r="13">
      <c r="A13" s="61" t="s">
        <v>145</v>
      </c>
      <c r="B13" s="5" t="s">
        <v>37</v>
      </c>
      <c r="C13" s="5" t="s">
        <v>37</v>
      </c>
      <c r="D13" s="5" t="s">
        <v>37</v>
      </c>
      <c r="E13" s="5" t="s">
        <v>37</v>
      </c>
      <c r="F13" s="5" t="s">
        <v>37</v>
      </c>
      <c r="G13" s="5">
        <f>IF(AND(ISNUMBER(G11),ISNUMBER(B11)),(G11-B11)*10000,"n/a")</f>
        <v>-22.581537622426843</v>
      </c>
      <c r="H13" s="5">
        <f>IF(AND(ISNUMBER(H11),ISNUMBER(C11)),(H11-C11)*10000,"n/a")</f>
        <v>-21.270452911849105</v>
      </c>
      <c r="I13" s="45">
        <f>IF(AND(ISNUMBER(I11),ISNUMBER(D11)),(I11-D11)*10000,"n/a")</f>
        <v>-27.18403540349072</v>
      </c>
      <c r="J13" s="2"/>
      <c r="K13" s="2"/>
      <c r="L13" s="2"/>
      <c r="M13" s="2"/>
      <c r="N13" s="2"/>
      <c r="O13" s="2"/>
    </row>
    <row r="14">
      <c r="A14" s="36" t="s">
        <v>391</v>
      </c>
      <c r="B14" s="8">
        <v>28</v>
      </c>
      <c r="C14" s="8">
        <v>59</v>
      </c>
      <c r="D14" s="8">
        <v>35</v>
      </c>
      <c r="E14" s="8">
        <v>43</v>
      </c>
      <c r="F14" s="3">
        <f>SUM(B14:E14)</f>
        <v>165</v>
      </c>
      <c r="G14" s="8">
        <v>35</v>
      </c>
      <c r="H14" s="8">
        <v>43</v>
      </c>
      <c r="I14" s="49">
        <f>'Revenue summary'!I101*I15*(I$7/365)</f>
        <v>44.50116120547946</v>
      </c>
      <c r="J14" s="2"/>
      <c r="K14" s="2"/>
      <c r="L14" s="2"/>
      <c r="M14" s="2"/>
      <c r="N14" s="2"/>
      <c r="O14" s="2"/>
    </row>
    <row r="15">
      <c r="A15" s="14" t="s">
        <v>392</v>
      </c>
      <c r="B15" s="64">
        <f>B14/'Revenue summary'!B101/(B$7/365)</f>
        <v>0.06229048576826964</v>
      </c>
      <c r="C15" s="64">
        <f>C14/'Revenue summary'!C101/(C$7/365)</f>
        <v>0.04886399992739039</v>
      </c>
      <c r="D15" s="64">
        <f>D14/'Revenue summary'!D101/(D$7/365)</f>
        <v>0.06163279878037013</v>
      </c>
      <c r="E15" s="64">
        <f>E14/'Revenue summary'!E101/(E$7/365)</f>
        <v>0.06147669408538973</v>
      </c>
      <c r="F15" s="64">
        <f>F14/'Revenue summary'!F101/(F$7/365)</f>
        <v>0.05642431459330928</v>
      </c>
      <c r="G15" s="64">
        <f>G14/'Revenue summary'!G101/(G$7/365)</f>
        <v>0.06102512658832522</v>
      </c>
      <c r="H15" s="64">
        <f>H14/'Revenue summary'!H101/(H$7/365)</f>
        <v>0.061973599523006635</v>
      </c>
      <c r="I15" s="124">
        <v>0.061</v>
      </c>
      <c r="J15" s="6" t="s">
        <v>393</v>
      </c>
      <c r="K15" s="2"/>
      <c r="L15" s="2"/>
      <c r="M15" s="2"/>
      <c r="N15" s="2"/>
      <c r="O15" s="2"/>
    </row>
    <row r="16">
      <c r="A16" s="61" t="s">
        <v>144</v>
      </c>
      <c r="B16" s="5" t="s">
        <v>37</v>
      </c>
      <c r="C16" s="5">
        <f>IF(AND(ISNUMBER(C15),ISNUMBER(B15)),(C15-B15)*10000,"n/a")</f>
        <v>-134.2648584087925</v>
      </c>
      <c r="D16" s="5">
        <f>IF(AND(ISNUMBER(D15),ISNUMBER(C15)),(D15-C15)*10000,"n/a")</f>
        <v>127.68798852979741</v>
      </c>
      <c r="E16" s="5">
        <f>IF(AND(ISNUMBER(E15),ISNUMBER(D15)),(E15-D15)*10000,"n/a")</f>
        <v>-1.5610469498040374</v>
      </c>
      <c r="F16" s="5" t="s">
        <v>37</v>
      </c>
      <c r="G16" s="5">
        <f>IF(AND(ISNUMBER(G15),ISNUMBER(E15)),(G15-E15)*10000,"n/a")</f>
        <v>-4.515674970645075</v>
      </c>
      <c r="H16" s="5">
        <f>IF(AND(ISNUMBER(H15),ISNUMBER(G15)),(H15-G15)*10000,"n/a")</f>
        <v>9.484729346814143</v>
      </c>
      <c r="I16" s="45">
        <f>IF(AND(ISNUMBER(I15),ISNUMBER(H15)),(I15-H15)*10000,"n/a")</f>
        <v>-9.735995230066367</v>
      </c>
      <c r="J16" s="2"/>
      <c r="K16" s="2"/>
      <c r="L16" s="2"/>
      <c r="M16" s="2"/>
      <c r="N16" s="2"/>
      <c r="O16" s="2"/>
    </row>
    <row r="17">
      <c r="A17" s="61" t="s">
        <v>145</v>
      </c>
      <c r="B17" s="5" t="s">
        <v>37</v>
      </c>
      <c r="C17" s="5" t="s">
        <v>37</v>
      </c>
      <c r="D17" s="5" t="s">
        <v>37</v>
      </c>
      <c r="E17" s="5" t="s">
        <v>37</v>
      </c>
      <c r="F17" s="5" t="s">
        <v>37</v>
      </c>
      <c r="G17" s="5">
        <f>IF(AND(ISNUMBER(G15),ISNUMBER(B15)),(G15-B15)*10000,"n/a")</f>
        <v>-12.65359179944421</v>
      </c>
      <c r="H17" s="5">
        <f>IF(AND(ISNUMBER(H15),ISNUMBER(C15)),(H15-C15)*10000,"n/a")</f>
        <v>131.09599595616243</v>
      </c>
      <c r="I17" s="45">
        <f>IF(AND(ISNUMBER(I15),ISNUMBER(D15)),(I15-D15)*10000,"n/a")</f>
        <v>-6.327987803701335</v>
      </c>
      <c r="J17" s="2"/>
      <c r="K17" s="2"/>
      <c r="L17" s="2"/>
      <c r="M17" s="2"/>
      <c r="N17" s="2"/>
      <c r="O17" s="2"/>
    </row>
    <row r="18">
      <c r="A18" s="36" t="s">
        <v>394</v>
      </c>
      <c r="B18" s="8">
        <v>1308</v>
      </c>
      <c r="C18" s="8">
        <v>1355</v>
      </c>
      <c r="D18" s="8">
        <v>1392</v>
      </c>
      <c r="E18" s="8">
        <v>1343</v>
      </c>
      <c r="F18" s="3">
        <f>SUM(B18:E18)</f>
        <v>5398</v>
      </c>
      <c r="G18" s="8">
        <v>1303</v>
      </c>
      <c r="H18" s="8">
        <v>1344</v>
      </c>
      <c r="I18" s="49">
        <f>'Revenue summary'!I97*I19*(I$7/365)</f>
        <v>1363.0578688</v>
      </c>
      <c r="J18" s="2"/>
      <c r="K18" s="2"/>
      <c r="L18" s="2"/>
      <c r="M18" s="2"/>
      <c r="N18" s="2"/>
      <c r="O18" s="2"/>
    </row>
    <row r="19">
      <c r="A19" s="14" t="s">
        <v>395</v>
      </c>
      <c r="B19" s="64">
        <f>B18/'Revenue summary'!B97/(B$7/365)</f>
        <v>0.030989184747261138</v>
      </c>
      <c r="C19" s="64">
        <f>C18/'Revenue summary'!C97/(C$7/365)</f>
        <v>0.03144444958019283</v>
      </c>
      <c r="D19" s="64">
        <f>D18/'Revenue summary'!D97/(D$7/365)</f>
        <v>0.03184473048933632</v>
      </c>
      <c r="E19" s="64">
        <f>E18/'Revenue summary'!E97/(E$7/365)</f>
        <v>0.030970922417237545</v>
      </c>
      <c r="F19" s="64">
        <f>F18/'Revenue summary'!F97/(F$7/365)</f>
        <v>0.03131535638468775</v>
      </c>
      <c r="G19" s="64">
        <f>G18/'Revenue summary'!G97/(G$7/365)</f>
        <v>0.030817974403187065</v>
      </c>
      <c r="H19" s="64">
        <f>H18/'Revenue summary'!H97/(H$7/365)</f>
        <v>0.03161222339304531</v>
      </c>
      <c r="I19" s="124">
        <v>0.032</v>
      </c>
      <c r="J19" s="6" t="s">
        <v>396</v>
      </c>
      <c r="K19" s="2"/>
      <c r="L19" s="2"/>
      <c r="M19" s="2"/>
      <c r="N19" s="2"/>
      <c r="O19" s="2"/>
    </row>
    <row r="20">
      <c r="A20" s="61" t="s">
        <v>144</v>
      </c>
      <c r="B20" s="5" t="s">
        <v>37</v>
      </c>
      <c r="C20" s="5">
        <f>IF(AND(ISNUMBER(C19),ISNUMBER(B19)),(C19-B19)*10000,"n/a")</f>
        <v>4.552648329316927</v>
      </c>
      <c r="D20" s="5">
        <f>IF(AND(ISNUMBER(D19),ISNUMBER(C19)),(D19-C19)*10000,"n/a")</f>
        <v>4.0028090914349255</v>
      </c>
      <c r="E20" s="5">
        <f>IF(AND(ISNUMBER(E19),ISNUMBER(D19)),(E19-D19)*10000,"n/a")</f>
        <v>-8.738080720987785</v>
      </c>
      <c r="F20" s="5" t="s">
        <v>37</v>
      </c>
      <c r="G20" s="5">
        <f>IF(AND(ISNUMBER(G19),ISNUMBER(E19)),(G19-E19)*10000,"n/a")</f>
        <v>-1.529480140504795</v>
      </c>
      <c r="H20" s="5">
        <f>IF(AND(ISNUMBER(H19),ISNUMBER(G19)),(H19-G19)*10000,"n/a")</f>
        <v>7.942489898582483</v>
      </c>
      <c r="I20" s="45">
        <f>IF(AND(ISNUMBER(I19),ISNUMBER(H19)),(I19-H19)*10000,"n/a")</f>
        <v>3.877766069546873</v>
      </c>
      <c r="J20" s="2"/>
      <c r="K20" s="2"/>
      <c r="L20" s="2"/>
      <c r="M20" s="2"/>
      <c r="N20" s="2"/>
      <c r="O20" s="2"/>
    </row>
    <row r="21">
      <c r="A21" s="61" t="s">
        <v>145</v>
      </c>
      <c r="B21" s="5" t="s">
        <v>37</v>
      </c>
      <c r="C21" s="5" t="s">
        <v>37</v>
      </c>
      <c r="D21" s="5" t="s">
        <v>37</v>
      </c>
      <c r="E21" s="5" t="s">
        <v>37</v>
      </c>
      <c r="F21" s="5" t="s">
        <v>37</v>
      </c>
      <c r="G21" s="5">
        <f>IF(AND(ISNUMBER(G19),ISNUMBER(B19)),(G19-B19)*10000,"n/a")</f>
        <v>-1.7121034407407283</v>
      </c>
      <c r="H21" s="5">
        <f>IF(AND(ISNUMBER(H19),ISNUMBER(C19)),(H19-C19)*10000,"n/a")</f>
        <v>1.6777381285248278</v>
      </c>
      <c r="I21" s="45">
        <f>IF(AND(ISNUMBER(I19),ISNUMBER(D19)),(I19-D19)*10000,"n/a")</f>
        <v>1.5526951066367756</v>
      </c>
      <c r="J21" s="2"/>
      <c r="K21" s="2"/>
      <c r="L21" s="2"/>
      <c r="M21" s="2"/>
      <c r="N21" s="2"/>
      <c r="O21" s="2"/>
    </row>
    <row r="22">
      <c r="A22" s="36" t="s">
        <v>397</v>
      </c>
      <c r="B22" s="8">
        <v>647</v>
      </c>
      <c r="C22" s="8">
        <v>642</v>
      </c>
      <c r="D22" s="8">
        <v>687</v>
      </c>
      <c r="E22" s="8">
        <v>615</v>
      </c>
      <c r="F22" s="3">
        <f>SUM(B22:E22)</f>
        <v>2591</v>
      </c>
      <c r="G22" s="8">
        <v>543</v>
      </c>
      <c r="H22" s="8">
        <v>483</v>
      </c>
      <c r="I22" s="46">
        <f>I40+I38-I10-I14-I18</f>
        <v>516.6366875024655</v>
      </c>
      <c r="J22" s="6" t="s">
        <v>398</v>
      </c>
      <c r="K22" s="2"/>
      <c r="L22" s="2"/>
      <c r="M22" s="2"/>
      <c r="N22" s="2"/>
      <c r="O22" s="2"/>
    </row>
    <row r="23">
      <c r="A23" s="16" t="s">
        <v>399</v>
      </c>
      <c r="B23" s="15">
        <f>B10+B14+B18+B22</f>
        <v>7516</v>
      </c>
      <c r="C23" s="15">
        <f>C10+C14+C18+C22</f>
        <v>7604</v>
      </c>
      <c r="D23" s="15">
        <f>D10+D14+D18+D22</f>
        <v>7802</v>
      </c>
      <c r="E23" s="15">
        <f>E10+E14+E18+E22</f>
        <v>7600</v>
      </c>
      <c r="F23" s="15">
        <f>F10+F14+F18+F22</f>
        <v>30522</v>
      </c>
      <c r="G23" s="15">
        <f>G10+G14+G18+G22</f>
        <v>7407</v>
      </c>
      <c r="H23" s="15">
        <f>H10+H14+H18+H22</f>
        <v>7598</v>
      </c>
      <c r="I23" s="38">
        <f>I10+I14+I18+I22</f>
        <v>7834.650378049315</v>
      </c>
      <c r="J23" s="2"/>
      <c r="K23" s="2"/>
      <c r="L23" s="2"/>
      <c r="M23" s="2"/>
      <c r="N23" s="2"/>
      <c r="O23" s="2"/>
    </row>
    <row r="24">
      <c r="A24" s="19" t="s">
        <v>122</v>
      </c>
      <c r="B24" s="12" t="s">
        <v>37</v>
      </c>
      <c r="C24" s="12" t="s">
        <v>37</v>
      </c>
      <c r="D24" s="12" t="s">
        <v>37</v>
      </c>
      <c r="E24" s="12" t="s">
        <v>37</v>
      </c>
      <c r="F24" s="12" t="s">
        <v>37</v>
      </c>
      <c r="G24" s="12">
        <f>G23/B23-1</f>
        <v>-0.01450239489089944</v>
      </c>
      <c r="H24" s="12">
        <f>H23/C23-1</f>
        <v>-0.0007890583903208404</v>
      </c>
      <c r="I24" s="35">
        <f>I23/D23-1</f>
        <v>0.004184872859435362</v>
      </c>
      <c r="J24" s="2"/>
      <c r="K24" s="2"/>
      <c r="L24" s="2"/>
      <c r="M24" s="2"/>
      <c r="N24" s="2"/>
      <c r="O24" s="2"/>
    </row>
    <row r="25">
      <c r="A25" s="16" t="s">
        <v>400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>
      <c r="A26" s="36" t="s">
        <v>401</v>
      </c>
      <c r="B26" s="8">
        <v>2511</v>
      </c>
      <c r="C26" s="8">
        <v>2541</v>
      </c>
      <c r="D26" s="8">
        <v>2648</v>
      </c>
      <c r="E26" s="8">
        <v>2451</v>
      </c>
      <c r="F26" s="3">
        <f>SUM(B26:E26)</f>
        <v>10151</v>
      </c>
      <c r="G26" s="8">
        <v>2284</v>
      </c>
      <c r="H26" s="8">
        <v>2330</v>
      </c>
      <c r="I26" s="49">
        <f>'Revenue summary'!I87*I27*(I$7/365)</f>
        <v>2418.202126794521</v>
      </c>
      <c r="J26" s="2"/>
      <c r="K26" s="2"/>
      <c r="L26" s="2"/>
      <c r="M26" s="2"/>
      <c r="N26" s="2"/>
      <c r="O26" s="2"/>
    </row>
    <row r="27">
      <c r="A27" s="14" t="s">
        <v>402</v>
      </c>
      <c r="B27" s="64">
        <f>B26/'Revenue summary'!B87/(B$7/365)</f>
        <v>0.02385799764781955</v>
      </c>
      <c r="C27" s="64">
        <f>C26/'Revenue summary'!C87/(C$7/365)</f>
        <v>0.024050430482647732</v>
      </c>
      <c r="D27" s="64">
        <f>D26/'Revenue summary'!D87/(D$7/365)</f>
        <v>0.02432472047158327</v>
      </c>
      <c r="E27" s="64">
        <f>E26/'Revenue summary'!E87/(E$7/365)</f>
        <v>0.022517410302622273</v>
      </c>
      <c r="F27" s="64">
        <f>F26/'Revenue summary'!F87/(F$7/365)</f>
        <v>0.02368351985832824</v>
      </c>
      <c r="G27" s="64">
        <f>G26/'Revenue summary'!G87/(G$7/365)</f>
        <v>0.02131894305955449</v>
      </c>
      <c r="H27" s="64">
        <f>H26/'Revenue summary'!H87/(H$7/365)</f>
        <v>0.02151040556542445</v>
      </c>
      <c r="I27" s="124">
        <v>0.0217</v>
      </c>
      <c r="J27" s="6" t="s">
        <v>403</v>
      </c>
      <c r="K27" s="2"/>
      <c r="L27" s="2"/>
      <c r="M27" s="2"/>
      <c r="N27" s="2"/>
      <c r="O27" s="2"/>
    </row>
    <row r="28">
      <c r="A28" s="61" t="s">
        <v>144</v>
      </c>
      <c r="B28" s="5" t="s">
        <v>37</v>
      </c>
      <c r="C28" s="5">
        <f>IF(AND(ISNUMBER(C27),ISNUMBER(B27)),(C27-B27)*10000,"n/a")</f>
        <v>1.924328348281816</v>
      </c>
      <c r="D28" s="5">
        <f>IF(AND(ISNUMBER(D27),ISNUMBER(C27)),(D27-C27)*10000,"n/a")</f>
        <v>2.742899889355381</v>
      </c>
      <c r="E28" s="5">
        <f>IF(AND(ISNUMBER(E27),ISNUMBER(D27)),(E27-D27)*10000,"n/a")</f>
        <v>-18.073101689609974</v>
      </c>
      <c r="F28" s="5" t="s">
        <v>37</v>
      </c>
      <c r="G28" s="5">
        <f>IF(AND(ISNUMBER(G27),ISNUMBER(E27)),(G27-E27)*10000,"n/a")</f>
        <v>-11.98467243067783</v>
      </c>
      <c r="H28" s="5">
        <f>IF(AND(ISNUMBER(H27),ISNUMBER(G27)),(H27-G27)*10000,"n/a")</f>
        <v>1.9146250586996039</v>
      </c>
      <c r="I28" s="45">
        <f>IF(AND(ISNUMBER(I27),ISNUMBER(H27)),(I27-H27)*10000,"n/a")</f>
        <v>1.8959443457555043</v>
      </c>
      <c r="J28" s="2"/>
      <c r="K28" s="2"/>
      <c r="L28" s="2"/>
      <c r="M28" s="2"/>
      <c r="N28" s="2"/>
      <c r="O28" s="2"/>
    </row>
    <row r="29">
      <c r="A29" s="61" t="s">
        <v>145</v>
      </c>
      <c r="B29" s="5" t="s">
        <v>37</v>
      </c>
      <c r="C29" s="5" t="s">
        <v>37</v>
      </c>
      <c r="D29" s="5" t="s">
        <v>37</v>
      </c>
      <c r="E29" s="5" t="s">
        <v>37</v>
      </c>
      <c r="F29" s="5" t="s">
        <v>37</v>
      </c>
      <c r="G29" s="5">
        <f>IF(AND(ISNUMBER(G27),ISNUMBER(B27)),(G27-B27)*10000,"n/a")</f>
        <v>-25.390545882650606</v>
      </c>
      <c r="H29" s="5">
        <f>IF(AND(ISNUMBER(H27),ISNUMBER(C27)),(H27-C27)*10000,"n/a")</f>
        <v>-25.40024917223282</v>
      </c>
      <c r="I29" s="45">
        <f>IF(AND(ISNUMBER(I27),ISNUMBER(D27)),(I27-D27)*10000,"n/a")</f>
        <v>-26.247204715832694</v>
      </c>
      <c r="J29" s="2"/>
      <c r="K29" s="2"/>
      <c r="L29" s="2"/>
      <c r="M29" s="2"/>
      <c r="N29" s="2"/>
      <c r="O29" s="2"/>
    </row>
    <row r="30">
      <c r="A30" s="36" t="s">
        <v>404</v>
      </c>
      <c r="B30" s="8">
        <v>249</v>
      </c>
      <c r="C30" s="8">
        <v>291</v>
      </c>
      <c r="D30" s="8">
        <v>203</v>
      </c>
      <c r="E30" s="8">
        <v>182</v>
      </c>
      <c r="F30" s="3">
        <f>SUM(B30:E30)</f>
        <v>925</v>
      </c>
      <c r="G30" s="8">
        <v>214</v>
      </c>
      <c r="H30" s="8">
        <v>249</v>
      </c>
      <c r="I30" s="49">
        <f>'Revenue summary'!I105*I31*(I$7/365)</f>
        <v>285.33004010958905</v>
      </c>
      <c r="J30" s="2"/>
      <c r="K30" s="2"/>
      <c r="L30" s="2"/>
      <c r="M30" s="2"/>
      <c r="N30" s="2"/>
      <c r="O30" s="2"/>
    </row>
    <row r="31">
      <c r="A31" s="14" t="s">
        <v>405</v>
      </c>
      <c r="B31" s="64">
        <f>B30/'Revenue summary'!B105/(B$7/365)</f>
        <v>0.05359765051395008</v>
      </c>
      <c r="C31" s="64">
        <f>C30/'Revenue summary'!C105/(C$7/365)</f>
        <v>0.05121310175937003</v>
      </c>
      <c r="D31" s="64">
        <f>D30/'Revenue summary'!D105/(D$7/365)</f>
        <v>0.05130465248965528</v>
      </c>
      <c r="E31" s="64">
        <f>E30/'Revenue summary'!E105/(E$7/365)</f>
        <v>0.04482928027511668</v>
      </c>
      <c r="F31" s="64">
        <f>F30/'Revenue summary'!F105/(F$7/365)</f>
        <v>0.05042391935996234</v>
      </c>
      <c r="G31" s="64">
        <f>G30/'Revenue summary'!G105/(G$7/365)</f>
        <v>0.04432527522415163</v>
      </c>
      <c r="H31" s="64">
        <f>H30/'Revenue summary'!H105/(H$7/365)</f>
        <v>0.04187222303103571</v>
      </c>
      <c r="I31" s="124">
        <v>0.042</v>
      </c>
      <c r="J31" s="6" t="s">
        <v>406</v>
      </c>
      <c r="K31" s="2"/>
      <c r="L31" s="2"/>
      <c r="M31" s="2"/>
      <c r="N31" s="2"/>
      <c r="O31" s="2"/>
    </row>
    <row r="32">
      <c r="A32" s="61" t="s">
        <v>144</v>
      </c>
      <c r="B32" s="5" t="s">
        <v>37</v>
      </c>
      <c r="C32" s="5">
        <f>IF(AND(ISNUMBER(C31),ISNUMBER(B31)),(C31-B31)*10000,"n/a")</f>
        <v>-23.845487545800516</v>
      </c>
      <c r="D32" s="5">
        <f>IF(AND(ISNUMBER(D31),ISNUMBER(C31)),(D31-C31)*10000,"n/a")</f>
        <v>0.9155073028525168</v>
      </c>
      <c r="E32" s="5">
        <f>IF(AND(ISNUMBER(E31),ISNUMBER(D31)),(E31-D31)*10000,"n/a")</f>
        <v>-64.75372214538602</v>
      </c>
      <c r="F32" s="5" t="s">
        <v>37</v>
      </c>
      <c r="G32" s="5">
        <f>IF(AND(ISNUMBER(G31),ISNUMBER(E31)),(G31-E31)*10000,"n/a")</f>
        <v>-5.040050509650465</v>
      </c>
      <c r="H32" s="5">
        <f>IF(AND(ISNUMBER(H31),ISNUMBER(G31)),(H31-G31)*10000,"n/a")</f>
        <v>-24.53052193115923</v>
      </c>
      <c r="I32" s="45">
        <f>IF(AND(ISNUMBER(I31),ISNUMBER(H31)),(I31-H31)*10000,"n/a")</f>
        <v>1.277769689642938</v>
      </c>
      <c r="J32" s="2"/>
      <c r="K32" s="2"/>
      <c r="L32" s="2"/>
      <c r="M32" s="2"/>
      <c r="N32" s="2"/>
      <c r="O32" s="2"/>
    </row>
    <row r="33">
      <c r="A33" s="61" t="s">
        <v>145</v>
      </c>
      <c r="B33" s="5" t="s">
        <v>37</v>
      </c>
      <c r="C33" s="5" t="s">
        <v>37</v>
      </c>
      <c r="D33" s="5" t="s">
        <v>37</v>
      </c>
      <c r="E33" s="5" t="s">
        <v>37</v>
      </c>
      <c r="F33" s="5" t="s">
        <v>37</v>
      </c>
      <c r="G33" s="5">
        <f>IF(AND(ISNUMBER(G31),ISNUMBER(B31)),(G31-B31)*10000,"n/a")</f>
        <v>-92.72375289798448</v>
      </c>
      <c r="H33" s="5">
        <f>IF(AND(ISNUMBER(H31),ISNUMBER(C31)),(H31-C31)*10000,"n/a")</f>
        <v>-93.4087872833432</v>
      </c>
      <c r="I33" s="45">
        <f>IF(AND(ISNUMBER(I31),ISNUMBER(D31)),(I31-D31)*10000,"n/a")</f>
        <v>-93.04652489655278</v>
      </c>
      <c r="J33" s="2"/>
      <c r="K33" s="2"/>
      <c r="L33" s="2"/>
      <c r="M33" s="2"/>
      <c r="N33" s="2"/>
      <c r="O33" s="2"/>
    </row>
    <row r="34">
      <c r="A34" s="36" t="s">
        <v>407</v>
      </c>
      <c r="B34" s="8">
        <v>664</v>
      </c>
      <c r="C34" s="8">
        <v>721</v>
      </c>
      <c r="D34" s="8">
        <v>729</v>
      </c>
      <c r="E34" s="8">
        <v>683</v>
      </c>
      <c r="F34" s="3">
        <f>SUM(B34:E34)</f>
        <v>2797</v>
      </c>
      <c r="G34" s="8">
        <v>646</v>
      </c>
      <c r="H34" s="8">
        <v>658</v>
      </c>
      <c r="I34" s="49">
        <f>'Revenue summary'!I109*I35*(I$7/365)</f>
        <v>647.4978122739726</v>
      </c>
      <c r="J34" s="2"/>
      <c r="K34" s="2"/>
      <c r="L34" s="2"/>
      <c r="M34" s="2"/>
      <c r="N34" s="2"/>
      <c r="O34" s="2"/>
    </row>
    <row r="35">
      <c r="A35" s="14" t="s">
        <v>408</v>
      </c>
      <c r="B35" s="64">
        <f>B34/'Revenue summary'!B109/(B$7/365)</f>
        <v>0.04615536968478145</v>
      </c>
      <c r="C35" s="64">
        <f>C34/'Revenue summary'!C109/(C$7/365)</f>
        <v>0.0463791108336767</v>
      </c>
      <c r="D35" s="64">
        <f>D34/'Revenue summary'!D109/(D$7/365)</f>
        <v>0.04566988679545808</v>
      </c>
      <c r="E35" s="64">
        <f>E34/'Revenue summary'!E109/(E$7/365)</f>
        <v>0.04411513839654801</v>
      </c>
      <c r="F35" s="64">
        <f>F34/'Revenue summary'!F109/(F$7/365)</f>
        <v>0.04557113172889572</v>
      </c>
      <c r="G35" s="64">
        <f>G34/'Revenue summary'!G109/(G$7/365)</f>
        <v>0.0425949711234313</v>
      </c>
      <c r="H35" s="64">
        <f>H34/'Revenue summary'!H109/(H$7/365)</f>
        <v>0.04285230754243078</v>
      </c>
      <c r="I35" s="124">
        <v>0.043</v>
      </c>
      <c r="J35" s="6" t="s">
        <v>406</v>
      </c>
      <c r="K35" s="2"/>
      <c r="L35" s="2"/>
      <c r="M35" s="2"/>
      <c r="N35" s="2"/>
      <c r="O35" s="2"/>
    </row>
    <row r="36">
      <c r="A36" s="61" t="s">
        <v>144</v>
      </c>
      <c r="B36" s="5" t="s">
        <v>37</v>
      </c>
      <c r="C36" s="5">
        <f>IF(AND(ISNUMBER(C35),ISNUMBER(B35)),(C35-B35)*10000,"n/a")</f>
        <v>2.2374114889524983</v>
      </c>
      <c r="D36" s="5">
        <f>IF(AND(ISNUMBER(D35),ISNUMBER(C35)),(D35-C35)*10000,"n/a")</f>
        <v>-7.092240382186171</v>
      </c>
      <c r="E36" s="5">
        <f>IF(AND(ISNUMBER(E35),ISNUMBER(D35)),(E35-D35)*10000,"n/a")</f>
        <v>-15.547483989100733</v>
      </c>
      <c r="F36" s="5" t="s">
        <v>37</v>
      </c>
      <c r="G36" s="5">
        <f>IF(AND(ISNUMBER(G35),ISNUMBER(E35)),(G35-E35)*10000,"n/a")</f>
        <v>-15.201672731167056</v>
      </c>
      <c r="H36" s="5">
        <f>IF(AND(ISNUMBER(H35),ISNUMBER(G35)),(H35-G35)*10000,"n/a")</f>
        <v>2.5733641899947783</v>
      </c>
      <c r="I36" s="45">
        <f>IF(AND(ISNUMBER(I35),ISNUMBER(H35)),(I35-H35)*10000,"n/a")</f>
        <v>1.476924575692165</v>
      </c>
      <c r="J36" s="2"/>
      <c r="K36" s="2"/>
      <c r="L36" s="2"/>
      <c r="M36" s="2"/>
      <c r="N36" s="2"/>
      <c r="O36" s="2"/>
    </row>
    <row r="37">
      <c r="A37" s="61" t="s">
        <v>145</v>
      </c>
      <c r="B37" s="5" t="s">
        <v>37</v>
      </c>
      <c r="C37" s="5" t="s">
        <v>37</v>
      </c>
      <c r="D37" s="5" t="s">
        <v>37</v>
      </c>
      <c r="E37" s="5" t="s">
        <v>37</v>
      </c>
      <c r="F37" s="5" t="s">
        <v>37</v>
      </c>
      <c r="G37" s="5">
        <f>IF(AND(ISNUMBER(G35),ISNUMBER(B35)),(G35-B35)*10000,"n/a")</f>
        <v>-35.603985613501465</v>
      </c>
      <c r="H37" s="5">
        <f>IF(AND(ISNUMBER(H35),ISNUMBER(C35)),(H35-C35)*10000,"n/a")</f>
        <v>-35.268032912459184</v>
      </c>
      <c r="I37" s="45">
        <f>IF(AND(ISNUMBER(I35),ISNUMBER(D35)),(I35-D35)*10000,"n/a")</f>
        <v>-26.698867954580844</v>
      </c>
      <c r="J37" s="2"/>
      <c r="K37" s="2"/>
      <c r="L37" s="2"/>
      <c r="M37" s="2"/>
      <c r="N37" s="2"/>
      <c r="O37" s="2"/>
    </row>
    <row r="38">
      <c r="A38" s="16" t="s">
        <v>409</v>
      </c>
      <c r="B38" s="15">
        <f>B26+B30+B34</f>
        <v>3424</v>
      </c>
      <c r="C38" s="15">
        <f>C26+C30+C34</f>
        <v>3553</v>
      </c>
      <c r="D38" s="15">
        <f>D26+D30+D34</f>
        <v>3580</v>
      </c>
      <c r="E38" s="15">
        <f>E26+E30+E34</f>
        <v>3316</v>
      </c>
      <c r="F38" s="15">
        <f>F26+F30+F34</f>
        <v>13873</v>
      </c>
      <c r="G38" s="15">
        <f>G26+G30+G34</f>
        <v>3144</v>
      </c>
      <c r="H38" s="15">
        <f>H26+H30+H34</f>
        <v>3237</v>
      </c>
      <c r="I38" s="38">
        <f>I26+I30+I34</f>
        <v>3351.0299791780826</v>
      </c>
      <c r="J38" s="2"/>
      <c r="K38" s="2"/>
      <c r="L38" s="2"/>
      <c r="M38" s="2"/>
      <c r="N38" s="2"/>
      <c r="O38" s="2"/>
    </row>
    <row r="39">
      <c r="A39" s="19" t="s">
        <v>122</v>
      </c>
      <c r="B39" s="12" t="s">
        <v>37</v>
      </c>
      <c r="C39" s="12" t="s">
        <v>37</v>
      </c>
      <c r="D39" s="12" t="s">
        <v>37</v>
      </c>
      <c r="E39" s="12" t="s">
        <v>37</v>
      </c>
      <c r="F39" s="12" t="s">
        <v>37</v>
      </c>
      <c r="G39" s="12">
        <f>G38/B38-1</f>
        <v>-0.08177570093457942</v>
      </c>
      <c r="H39" s="12">
        <f>H38/C38-1</f>
        <v>-0.08893892485223753</v>
      </c>
      <c r="I39" s="35">
        <f>I38/D38-1</f>
        <v>-0.06395810637483723</v>
      </c>
      <c r="J39" s="2"/>
      <c r="K39" s="2"/>
      <c r="L39" s="2"/>
      <c r="M39" s="2"/>
      <c r="N39" s="2"/>
      <c r="O39" s="2"/>
    </row>
    <row r="40">
      <c r="A40" s="16" t="s">
        <v>410</v>
      </c>
      <c r="B40" s="15">
        <f>B23-B38</f>
        <v>4092</v>
      </c>
      <c r="C40" s="15">
        <f>C23-C38</f>
        <v>4051</v>
      </c>
      <c r="D40" s="15">
        <f>D23-D38</f>
        <v>4222</v>
      </c>
      <c r="E40" s="15">
        <f>E23-E38</f>
        <v>4284</v>
      </c>
      <c r="F40" s="15">
        <f>F23-F38</f>
        <v>16649</v>
      </c>
      <c r="G40" s="15">
        <f>G23-G38</f>
        <v>4263</v>
      </c>
      <c r="H40" s="15">
        <f>H23-H38</f>
        <v>4361</v>
      </c>
      <c r="I40" s="85">
        <f>'Revenue summary'!I119-I43</f>
        <v>4483.620398871233</v>
      </c>
      <c r="J40" s="6" t="s">
        <v>411</v>
      </c>
      <c r="K40" s="2"/>
      <c r="L40" s="2"/>
      <c r="M40" s="2"/>
      <c r="N40" s="2"/>
      <c r="O40" s="2"/>
    </row>
    <row r="41">
      <c r="A41" s="19" t="s">
        <v>412</v>
      </c>
      <c r="B41" s="10">
        <v>4092</v>
      </c>
      <c r="C41" s="10">
        <v>4051</v>
      </c>
      <c r="D41" s="10">
        <v>4222</v>
      </c>
      <c r="E41" s="10">
        <v>4284</v>
      </c>
      <c r="F41" s="1">
        <f>SUM(B41:E41)</f>
        <v>16649</v>
      </c>
      <c r="G41" s="10">
        <v>4263</v>
      </c>
      <c r="H41" s="10">
        <v>4361</v>
      </c>
      <c r="I41" s="13" t="s">
        <v>37</v>
      </c>
      <c r="J41" s="2"/>
      <c r="K41" s="2"/>
      <c r="L41" s="2"/>
      <c r="M41" s="2"/>
      <c r="N41" s="2"/>
      <c r="O41" s="2"/>
    </row>
    <row r="42">
      <c r="A42" s="26" t="s">
        <v>413</v>
      </c>
      <c r="B42" s="1">
        <f>B40-B41</f>
        <v>0</v>
      </c>
      <c r="C42" s="1">
        <f>C40-C41</f>
        <v>0</v>
      </c>
      <c r="D42" s="1">
        <f>D40-D41</f>
        <v>0</v>
      </c>
      <c r="E42" s="1">
        <f>E40-E41</f>
        <v>0</v>
      </c>
      <c r="F42" s="1">
        <f>F40-F41</f>
        <v>0</v>
      </c>
      <c r="G42" s="1">
        <f>G40-G41</f>
        <v>0</v>
      </c>
      <c r="H42" s="1">
        <f>H40-H41</f>
        <v>0</v>
      </c>
      <c r="I42" s="2"/>
      <c r="J42" s="2"/>
      <c r="K42" s="2"/>
      <c r="L42" s="2"/>
      <c r="M42" s="2"/>
      <c r="N42" s="2"/>
      <c r="O42" s="2"/>
    </row>
    <row r="43">
      <c r="A43" s="36" t="s">
        <v>414</v>
      </c>
      <c r="B43" s="8">
        <v>30</v>
      </c>
      <c r="C43" s="8">
        <v>29</v>
      </c>
      <c r="D43" s="8">
        <v>29</v>
      </c>
      <c r="E43" s="8">
        <v>28</v>
      </c>
      <c r="F43" s="3">
        <f>SUM(B43:E43)</f>
        <v>116</v>
      </c>
      <c r="G43" s="8">
        <v>28</v>
      </c>
      <c r="H43" s="8">
        <v>26</v>
      </c>
      <c r="I43" s="32">
        <v>26</v>
      </c>
      <c r="J43" s="2"/>
      <c r="K43" s="2"/>
      <c r="L43" s="2"/>
      <c r="M43" s="2"/>
      <c r="N43" s="2"/>
      <c r="O43" s="2"/>
    </row>
    <row r="44">
      <c r="A44" s="14" t="s">
        <v>242</v>
      </c>
      <c r="B44" s="1" t="s">
        <v>37</v>
      </c>
      <c r="C44" s="1" t="s">
        <v>37</v>
      </c>
      <c r="D44" s="1" t="s">
        <v>37</v>
      </c>
      <c r="E44" s="1" t="s">
        <v>37</v>
      </c>
      <c r="F44" s="1" t="s">
        <v>37</v>
      </c>
      <c r="G44" s="1">
        <f>IF(AND(ISNUMBER(G43),ISNUMBER(B43)),G43-B43,"n/a")</f>
        <v>-2</v>
      </c>
      <c r="H44" s="1">
        <f>IF(AND(ISNUMBER(H43),ISNUMBER(C43)),H43-C43,"n/a")</f>
        <v>-3</v>
      </c>
      <c r="I44" s="13">
        <f>IF(AND(ISNUMBER(I43),ISNUMBER(D43)),I43-D43,"n/a")</f>
        <v>-3</v>
      </c>
      <c r="J44" s="2"/>
      <c r="K44" s="2"/>
      <c r="L44" s="2"/>
      <c r="M44" s="2"/>
      <c r="N44" s="2"/>
      <c r="O44" s="2"/>
    </row>
    <row r="45">
      <c r="A45" s="14" t="s">
        <v>110</v>
      </c>
      <c r="B45" s="1" t="s">
        <v>37</v>
      </c>
      <c r="C45" s="1">
        <f>IF(AND(ISNUMBER(C43),ISNUMBER(B43)),C43-B43,"n/a")</f>
        <v>-1</v>
      </c>
      <c r="D45" s="1">
        <f>IF(AND(ISNUMBER(D43),ISNUMBER(C43)),D43-C43,"n/a")</f>
        <v>0</v>
      </c>
      <c r="E45" s="1">
        <f>IF(AND(ISNUMBER(E43),ISNUMBER(D43)),E43-D43,"n/a")</f>
        <v>-1</v>
      </c>
      <c r="F45" s="1" t="s">
        <v>37</v>
      </c>
      <c r="G45" s="1">
        <f>IF(AND(ISNUMBER(G43),ISNUMBER(E43)),G43-E43,"n/a")</f>
        <v>0</v>
      </c>
      <c r="H45" s="1">
        <f>IF(AND(ISNUMBER(H43),ISNUMBER(G43)),H43-G43,"n/a")</f>
        <v>-2</v>
      </c>
      <c r="I45" s="13">
        <f>IF(AND(ISNUMBER(I43),ISNUMBER(H43)),I43-H43,"n/a")</f>
        <v>0</v>
      </c>
      <c r="J45" s="2"/>
      <c r="K45" s="2"/>
      <c r="L45" s="2"/>
      <c r="M45" s="2"/>
      <c r="N45" s="2"/>
      <c r="O45" s="2"/>
    </row>
    <row r="46">
      <c r="A46" s="16" t="s">
        <v>121</v>
      </c>
      <c r="B46" s="15">
        <f>B40+B43</f>
        <v>4122</v>
      </c>
      <c r="C46" s="15">
        <f>C40+C43</f>
        <v>4080</v>
      </c>
      <c r="D46" s="15">
        <f>D40+D43</f>
        <v>4251</v>
      </c>
      <c r="E46" s="15">
        <f>E40+E43</f>
        <v>4312</v>
      </c>
      <c r="F46" s="15">
        <f>F40+F43</f>
        <v>16765</v>
      </c>
      <c r="G46" s="15">
        <f>G40+G43</f>
        <v>4291</v>
      </c>
      <c r="H46" s="15">
        <f>H40+H43</f>
        <v>4387</v>
      </c>
      <c r="I46" s="38">
        <f>I40+I43</f>
        <v>4509.620398871233</v>
      </c>
      <c r="J46" s="2"/>
      <c r="K46" s="2"/>
      <c r="L46" s="2"/>
      <c r="M46" s="2"/>
      <c r="N46" s="2"/>
      <c r="O46" s="2"/>
    </row>
    <row r="47">
      <c r="A47" s="19" t="s">
        <v>97</v>
      </c>
      <c r="B47" s="12" t="s">
        <v>37</v>
      </c>
      <c r="C47" s="12" t="s">
        <v>37</v>
      </c>
      <c r="D47" s="12" t="s">
        <v>37</v>
      </c>
      <c r="E47" s="12" t="s">
        <v>37</v>
      </c>
      <c r="F47" s="12" t="s">
        <v>37</v>
      </c>
      <c r="G47" s="12">
        <f>G46/B46-1</f>
        <v>0.0409995147986415</v>
      </c>
      <c r="H47" s="12">
        <f>H46/C46-1</f>
        <v>0.07524509803921564</v>
      </c>
      <c r="I47" s="35">
        <f>I46/D46-1</f>
        <v>0.06083754384173923</v>
      </c>
      <c r="J47" s="2"/>
      <c r="K47" s="2"/>
      <c r="L47" s="2"/>
      <c r="M47" s="2"/>
      <c r="N47" s="2"/>
      <c r="O47" s="2"/>
    </row>
    <row r="48">
      <c r="A48" s="19" t="s">
        <v>98</v>
      </c>
      <c r="B48" s="12" t="s">
        <v>37</v>
      </c>
      <c r="C48" s="12" t="s">
        <v>37</v>
      </c>
      <c r="D48" s="12" t="s">
        <v>37</v>
      </c>
      <c r="E48" s="12" t="s">
        <v>37</v>
      </c>
      <c r="F48" s="12" t="s">
        <v>37</v>
      </c>
      <c r="G48" s="12">
        <f>G138/B46</f>
        <v>0</v>
      </c>
      <c r="H48" s="12">
        <f>H138/C46</f>
        <v>0</v>
      </c>
      <c r="I48" s="35">
        <f>I138/D46</f>
        <v>0.007527640555163491</v>
      </c>
      <c r="J48" s="6" t="s">
        <v>99</v>
      </c>
      <c r="K48" s="2"/>
      <c r="L48" s="2"/>
      <c r="M48" s="2"/>
      <c r="N48" s="2"/>
      <c r="O48" s="2"/>
    </row>
    <row r="49">
      <c r="A49" s="19" t="s">
        <v>100</v>
      </c>
      <c r="B49" s="12" t="s">
        <v>37</v>
      </c>
      <c r="C49" s="12" t="s">
        <v>37</v>
      </c>
      <c r="D49" s="12" t="s">
        <v>37</v>
      </c>
      <c r="E49" s="12" t="s">
        <v>37</v>
      </c>
      <c r="F49" s="12" t="s">
        <v>37</v>
      </c>
      <c r="G49" s="12" t="s">
        <v>37</v>
      </c>
      <c r="H49" s="12" t="s">
        <v>37</v>
      </c>
      <c r="I49" s="35" t="s">
        <v>37</v>
      </c>
      <c r="J49" s="6" t="s">
        <v>101</v>
      </c>
      <c r="K49" s="2"/>
      <c r="L49" s="2"/>
      <c r="M49" s="2"/>
      <c r="N49" s="2"/>
      <c r="O49" s="2"/>
    </row>
    <row r="50">
      <c r="A50" s="19" t="s">
        <v>102</v>
      </c>
      <c r="B50" s="12" t="s">
        <v>37</v>
      </c>
      <c r="C50" s="12" t="s">
        <v>37</v>
      </c>
      <c r="D50" s="12" t="s">
        <v>37</v>
      </c>
      <c r="E50" s="12" t="s">
        <v>37</v>
      </c>
      <c r="F50" s="12" t="s">
        <v>37</v>
      </c>
      <c r="G50" s="12" t="str">
        <f>IF(ISNUMBER(G49),(1+G47)/((1+G48)*(1+G49))-1,"n/a")</f>
        <v>n/a</v>
      </c>
      <c r="H50" s="12" t="str">
        <f>IF(ISNUMBER(H49),(1+H47)/((1+H48)*(1+H49))-1,"n/a")</f>
        <v>n/a</v>
      </c>
      <c r="I50" s="35" t="str">
        <f>IF(ISNUMBER(I49),(1+I47)/((1+I48)*(1+I49))-1,"n/a")</f>
        <v>n/a</v>
      </c>
      <c r="J50" s="6" t="s">
        <v>103</v>
      </c>
      <c r="K50" s="2"/>
      <c r="L50" s="2"/>
      <c r="M50" s="2"/>
      <c r="N50" s="2"/>
      <c r="O50" s="2"/>
    </row>
    <row r="51">
      <c r="A51" s="19" t="s">
        <v>104</v>
      </c>
      <c r="B51" s="12" t="s">
        <v>37</v>
      </c>
      <c r="C51" s="12" t="s">
        <v>37</v>
      </c>
      <c r="D51" s="12" t="s">
        <v>37</v>
      </c>
      <c r="E51" s="12" t="s">
        <v>37</v>
      </c>
      <c r="F51" s="12" t="s">
        <v>37</v>
      </c>
      <c r="G51" s="12">
        <f>IF(ISNUMBER(G48),G47-G48,"n/a")</f>
        <v>0.0409995147986415</v>
      </c>
      <c r="H51" s="12">
        <f>IF(ISNUMBER(H48),H47-H48,"n/a")</f>
        <v>0.07524509803921564</v>
      </c>
      <c r="I51" s="35">
        <f>IF(ISNUMBER(I48),I47-I48,"n/a")</f>
        <v>0.053309903286575734</v>
      </c>
      <c r="J51" s="2"/>
      <c r="K51" s="2"/>
      <c r="L51" s="2"/>
      <c r="M51" s="2"/>
      <c r="N51" s="2"/>
      <c r="O51" s="2"/>
    </row>
    <row r="52">
      <c r="A52" s="19" t="s">
        <v>95</v>
      </c>
      <c r="B52" s="12" t="s">
        <v>37</v>
      </c>
      <c r="C52" s="12">
        <f>C46/B46-1</f>
        <v>-0.010189228529839833</v>
      </c>
      <c r="D52" s="12">
        <f>D46/C46-1</f>
        <v>0.041911764705882426</v>
      </c>
      <c r="E52" s="12">
        <f>E46/D46-1</f>
        <v>0.014349564808280313</v>
      </c>
      <c r="F52" s="12" t="s">
        <v>37</v>
      </c>
      <c r="G52" s="12">
        <f>G46/E46-1</f>
        <v>-0.004870129870129913</v>
      </c>
      <c r="H52" s="12">
        <f>H46/G46-1</f>
        <v>0.022372407364250835</v>
      </c>
      <c r="I52" s="35">
        <f>I46/H46-1</f>
        <v>0.02795085454096946</v>
      </c>
      <c r="J52" s="2"/>
      <c r="K52" s="2"/>
      <c r="L52" s="2"/>
      <c r="M52" s="2"/>
      <c r="N52" s="2"/>
      <c r="O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>
      <c r="A54" s="16" t="s">
        <v>415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>
      <c r="A55" s="36" t="s">
        <v>416</v>
      </c>
      <c r="B55" s="8">
        <v>374</v>
      </c>
      <c r="C55" s="8">
        <v>413</v>
      </c>
      <c r="D55" s="8">
        <v>415</v>
      </c>
      <c r="E55" s="8">
        <v>427</v>
      </c>
      <c r="F55" s="3">
        <f>SUM(B55:E55)</f>
        <v>1629</v>
      </c>
      <c r="G55" s="8">
        <v>391</v>
      </c>
      <c r="H55" s="8">
        <v>435</v>
      </c>
      <c r="I55" s="49">
        <f>'Segment - Consumer &amp; Business'!I105+'Segment - Payment Services'!I114</f>
        <v>450.329618</v>
      </c>
      <c r="J55" s="2"/>
      <c r="K55" s="2"/>
      <c r="L55" s="2"/>
      <c r="M55" s="2"/>
      <c r="N55" s="2"/>
      <c r="O55" s="2"/>
    </row>
    <row r="56">
      <c r="A56" s="14" t="s">
        <v>95</v>
      </c>
      <c r="B56" s="12" t="s">
        <v>37</v>
      </c>
      <c r="C56" s="12">
        <f>C55/B55-1</f>
        <v>0.10427807486631013</v>
      </c>
      <c r="D56" s="12">
        <f>D55/C55-1</f>
        <v>0.004842615012106588</v>
      </c>
      <c r="E56" s="12">
        <f>E55/D55-1</f>
        <v>0.028915662650602414</v>
      </c>
      <c r="F56" s="12" t="s">
        <v>37</v>
      </c>
      <c r="G56" s="12">
        <f>G55/E55-1</f>
        <v>-0.08430913348946134</v>
      </c>
      <c r="H56" s="12">
        <f>H55/G55-1</f>
        <v>0.11253196930946285</v>
      </c>
      <c r="I56" s="35">
        <f>I55/H55-1</f>
        <v>0.03524050114942523</v>
      </c>
      <c r="J56" s="2"/>
      <c r="K56" s="2"/>
      <c r="L56" s="2"/>
      <c r="M56" s="2"/>
      <c r="N56" s="2"/>
      <c r="O56" s="2"/>
    </row>
    <row r="57">
      <c r="A57" s="14" t="s">
        <v>122</v>
      </c>
      <c r="B57" s="12" t="s">
        <v>37</v>
      </c>
      <c r="C57" s="12" t="s">
        <v>37</v>
      </c>
      <c r="D57" s="12" t="s">
        <v>37</v>
      </c>
      <c r="E57" s="12" t="s">
        <v>37</v>
      </c>
      <c r="F57" s="12" t="s">
        <v>37</v>
      </c>
      <c r="G57" s="12">
        <f>G55/B55-1</f>
        <v>0.045454545454545414</v>
      </c>
      <c r="H57" s="12">
        <f>H55/C55-1</f>
        <v>0.0532687651331718</v>
      </c>
      <c r="I57" s="35">
        <f>I55/D55-1</f>
        <v>0.08513160963855415</v>
      </c>
      <c r="J57" s="2"/>
      <c r="K57" s="2"/>
      <c r="L57" s="2"/>
      <c r="M57" s="2"/>
      <c r="N57" s="2"/>
      <c r="O57" s="2"/>
    </row>
    <row r="58">
      <c r="A58" s="14" t="s">
        <v>98</v>
      </c>
      <c r="B58" s="12" t="s">
        <v>37</v>
      </c>
      <c r="C58" s="12" t="s">
        <v>37</v>
      </c>
      <c r="D58" s="12" t="s">
        <v>37</v>
      </c>
      <c r="E58" s="12" t="s">
        <v>37</v>
      </c>
      <c r="F58" s="12" t="s">
        <v>37</v>
      </c>
      <c r="G58" s="22">
        <f>'Segment - Payment Services'!G169/B55</f>
        <v>0</v>
      </c>
      <c r="H58" s="22">
        <f>'Segment - Payment Services'!H169/C55</f>
        <v>0</v>
      </c>
      <c r="I58" s="33">
        <f>'Segment - Payment Services'!I169/D55</f>
        <v>0.01927710843373494</v>
      </c>
      <c r="J58" s="6" t="s">
        <v>99</v>
      </c>
      <c r="K58" s="2"/>
      <c r="L58" s="2"/>
      <c r="M58" s="2"/>
      <c r="N58" s="2"/>
      <c r="O58" s="2"/>
    </row>
    <row r="59">
      <c r="A59" s="14" t="s">
        <v>100</v>
      </c>
      <c r="B59" s="12" t="s">
        <v>37</v>
      </c>
      <c r="C59" s="12" t="s">
        <v>37</v>
      </c>
      <c r="D59" s="12" t="s">
        <v>37</v>
      </c>
      <c r="E59" s="12" t="s">
        <v>37</v>
      </c>
      <c r="F59" s="12" t="s">
        <v>37</v>
      </c>
      <c r="G59" s="12" t="s">
        <v>37</v>
      </c>
      <c r="H59" s="12" t="s">
        <v>37</v>
      </c>
      <c r="I59" s="35" t="s">
        <v>37</v>
      </c>
      <c r="J59" s="6" t="s">
        <v>101</v>
      </c>
      <c r="K59" s="2"/>
      <c r="L59" s="2"/>
      <c r="M59" s="2"/>
      <c r="N59" s="2"/>
      <c r="O59" s="2"/>
    </row>
    <row r="60">
      <c r="A60" s="14" t="s">
        <v>102</v>
      </c>
      <c r="B60" s="12" t="s">
        <v>37</v>
      </c>
      <c r="C60" s="12" t="s">
        <v>37</v>
      </c>
      <c r="D60" s="12" t="s">
        <v>37</v>
      </c>
      <c r="E60" s="12" t="s">
        <v>37</v>
      </c>
      <c r="F60" s="12" t="s">
        <v>37</v>
      </c>
      <c r="G60" s="12" t="str">
        <f>IF(ISNUMBER(G59),(1+G57)/((1+G58)*(1+G59))-1,"n/a")</f>
        <v>n/a</v>
      </c>
      <c r="H60" s="12" t="str">
        <f>IF(ISNUMBER(H59),(1+H57)/((1+H58)*(1+H59))-1,"n/a")</f>
        <v>n/a</v>
      </c>
      <c r="I60" s="35" t="str">
        <f>IF(ISNUMBER(I59),(1+I57)/((1+I58)*(1+I59))-1,"n/a")</f>
        <v>n/a</v>
      </c>
      <c r="J60" s="6" t="s">
        <v>103</v>
      </c>
      <c r="K60" s="2"/>
      <c r="L60" s="2"/>
      <c r="M60" s="2"/>
      <c r="N60" s="2"/>
      <c r="O60" s="2"/>
    </row>
    <row r="61">
      <c r="A61" s="14" t="s">
        <v>104</v>
      </c>
      <c r="B61" s="12" t="s">
        <v>37</v>
      </c>
      <c r="C61" s="12" t="s">
        <v>37</v>
      </c>
      <c r="D61" s="12" t="s">
        <v>37</v>
      </c>
      <c r="E61" s="12" t="s">
        <v>37</v>
      </c>
      <c r="F61" s="12" t="s">
        <v>37</v>
      </c>
      <c r="G61" s="12">
        <f>IF(ISNUMBER(G58),G57-G58,"n/a")</f>
        <v>0.045454545454545414</v>
      </c>
      <c r="H61" s="12">
        <f>IF(ISNUMBER(H58),H57-H58,"n/a")</f>
        <v>0.0532687651331718</v>
      </c>
      <c r="I61" s="35">
        <f>IF(ISNUMBER(I58),I57-I58,"n/a")</f>
        <v>0.06585450120481921</v>
      </c>
      <c r="J61" s="2"/>
      <c r="K61" s="2"/>
      <c r="L61" s="2"/>
      <c r="M61" s="2"/>
      <c r="N61" s="2"/>
      <c r="O61" s="2"/>
    </row>
    <row r="62">
      <c r="A62" s="36" t="s">
        <v>279</v>
      </c>
      <c r="B62" s="8">
        <v>400</v>
      </c>
      <c r="C62" s="8">
        <v>421</v>
      </c>
      <c r="D62" s="8">
        <v>407</v>
      </c>
      <c r="E62" s="8">
        <v>396</v>
      </c>
      <c r="F62" s="3">
        <f>SUM(B62:E62)</f>
        <v>1624</v>
      </c>
      <c r="G62" s="8">
        <v>408</v>
      </c>
      <c r="H62" s="8">
        <v>440</v>
      </c>
      <c r="I62" s="49">
        <f>'Segment - WCCIB'!I93+'Segment - Consumer &amp; Business'!I115+'Segment - Payment Services'!I124+'Segment - Treasury &amp; Corp'!I47</f>
        <v>442.04386999999997</v>
      </c>
      <c r="J62" s="2"/>
      <c r="K62" s="2"/>
      <c r="L62" s="2"/>
      <c r="M62" s="2"/>
      <c r="N62" s="2"/>
      <c r="O62" s="2"/>
    </row>
    <row r="63">
      <c r="A63" s="14" t="s">
        <v>95</v>
      </c>
      <c r="B63" s="12" t="s">
        <v>37</v>
      </c>
      <c r="C63" s="12">
        <f>C62/B62-1</f>
        <v>0.05249999999999999</v>
      </c>
      <c r="D63" s="12">
        <f>D62/C62-1</f>
        <v>-0.0332541567695962</v>
      </c>
      <c r="E63" s="12">
        <f>E62/D62-1</f>
        <v>-0.027027027027026973</v>
      </c>
      <c r="F63" s="12" t="s">
        <v>37</v>
      </c>
      <c r="G63" s="12">
        <f>G62/E62-1</f>
        <v>0.030303030303030276</v>
      </c>
      <c r="H63" s="12">
        <f>H62/G62-1</f>
        <v>0.07843137254901955</v>
      </c>
      <c r="I63" s="35">
        <f>I62/H62-1</f>
        <v>0.004645159090909123</v>
      </c>
      <c r="J63" s="2"/>
      <c r="K63" s="2"/>
      <c r="L63" s="2"/>
      <c r="M63" s="2"/>
      <c r="N63" s="2"/>
      <c r="O63" s="2"/>
    </row>
    <row r="64">
      <c r="A64" s="14" t="s">
        <v>122</v>
      </c>
      <c r="B64" s="12" t="s">
        <v>37</v>
      </c>
      <c r="C64" s="12" t="s">
        <v>37</v>
      </c>
      <c r="D64" s="12" t="s">
        <v>37</v>
      </c>
      <c r="E64" s="12" t="s">
        <v>37</v>
      </c>
      <c r="F64" s="12" t="s">
        <v>37</v>
      </c>
      <c r="G64" s="12">
        <f>G62/B62-1</f>
        <v>0.020000000000000018</v>
      </c>
      <c r="H64" s="12">
        <f>H62/C62-1</f>
        <v>0.0451306413301662</v>
      </c>
      <c r="I64" s="35">
        <f>I62/D62-1</f>
        <v>0.0861028746928747</v>
      </c>
      <c r="J64" s="2"/>
      <c r="K64" s="2"/>
      <c r="L64" s="2"/>
      <c r="M64" s="2"/>
      <c r="N64" s="2"/>
      <c r="O64" s="2"/>
    </row>
    <row r="65">
      <c r="A65" s="14" t="s">
        <v>98</v>
      </c>
      <c r="B65" s="12" t="s">
        <v>37</v>
      </c>
      <c r="C65" s="12" t="s">
        <v>37</v>
      </c>
      <c r="D65" s="12" t="s">
        <v>37</v>
      </c>
      <c r="E65" s="12" t="s">
        <v>37</v>
      </c>
      <c r="F65" s="12" t="s">
        <v>37</v>
      </c>
      <c r="G65" s="65">
        <v>0</v>
      </c>
      <c r="H65" s="65">
        <v>0</v>
      </c>
      <c r="I65" s="60">
        <v>0</v>
      </c>
      <c r="J65" s="6" t="s">
        <v>106</v>
      </c>
      <c r="K65" s="2"/>
      <c r="L65" s="2"/>
      <c r="M65" s="2"/>
      <c r="N65" s="2"/>
      <c r="O65" s="2"/>
    </row>
    <row r="66">
      <c r="A66" s="14" t="s">
        <v>100</v>
      </c>
      <c r="B66" s="12" t="s">
        <v>37</v>
      </c>
      <c r="C66" s="12" t="s">
        <v>37</v>
      </c>
      <c r="D66" s="12" t="s">
        <v>37</v>
      </c>
      <c r="E66" s="12" t="s">
        <v>37</v>
      </c>
      <c r="F66" s="12" t="s">
        <v>37</v>
      </c>
      <c r="G66" s="12" t="s">
        <v>37</v>
      </c>
      <c r="H66" s="12" t="s">
        <v>37</v>
      </c>
      <c r="I66" s="35" t="s">
        <v>37</v>
      </c>
      <c r="J66" s="6" t="s">
        <v>101</v>
      </c>
      <c r="K66" s="2"/>
      <c r="L66" s="2"/>
      <c r="M66" s="2"/>
      <c r="N66" s="2"/>
      <c r="O66" s="2"/>
    </row>
    <row r="67">
      <c r="A67" s="14" t="s">
        <v>102</v>
      </c>
      <c r="B67" s="12" t="s">
        <v>37</v>
      </c>
      <c r="C67" s="12" t="s">
        <v>37</v>
      </c>
      <c r="D67" s="12" t="s">
        <v>37</v>
      </c>
      <c r="E67" s="12" t="s">
        <v>37</v>
      </c>
      <c r="F67" s="12" t="s">
        <v>37</v>
      </c>
      <c r="G67" s="12" t="str">
        <f>IF(ISNUMBER(G66),(1+G64)/((1+G65)*(1+G66))-1,"n/a")</f>
        <v>n/a</v>
      </c>
      <c r="H67" s="12" t="str">
        <f>IF(ISNUMBER(H66),(1+H64)/((1+H65)*(1+H66))-1,"n/a")</f>
        <v>n/a</v>
      </c>
      <c r="I67" s="35" t="str">
        <f>IF(ISNUMBER(I66),(1+I64)/((1+I65)*(1+I66))-1,"n/a")</f>
        <v>n/a</v>
      </c>
      <c r="J67" s="6" t="s">
        <v>103</v>
      </c>
      <c r="K67" s="2"/>
      <c r="L67" s="2"/>
      <c r="M67" s="2"/>
      <c r="N67" s="2"/>
      <c r="O67" s="2"/>
    </row>
    <row r="68">
      <c r="A68" s="14" t="s">
        <v>104</v>
      </c>
      <c r="B68" s="12" t="s">
        <v>37</v>
      </c>
      <c r="C68" s="12" t="s">
        <v>37</v>
      </c>
      <c r="D68" s="12" t="s">
        <v>37</v>
      </c>
      <c r="E68" s="12" t="s">
        <v>37</v>
      </c>
      <c r="F68" s="12" t="s">
        <v>37</v>
      </c>
      <c r="G68" s="12">
        <f>IF(ISNUMBER(G65),G64-G65,"n/a")</f>
        <v>0.020000000000000018</v>
      </c>
      <c r="H68" s="12">
        <f>IF(ISNUMBER(H65),H64-H65,"n/a")</f>
        <v>0.0451306413301662</v>
      </c>
      <c r="I68" s="35">
        <f>IF(ISNUMBER(I65),I64-I65,"n/a")</f>
        <v>0.0861028746928747</v>
      </c>
      <c r="J68" s="2"/>
      <c r="K68" s="2"/>
      <c r="L68" s="2"/>
      <c r="M68" s="2"/>
      <c r="N68" s="2"/>
      <c r="O68" s="2"/>
    </row>
    <row r="69">
      <c r="A69" s="36" t="s">
        <v>417</v>
      </c>
      <c r="B69" s="8">
        <v>415</v>
      </c>
      <c r="C69" s="8">
        <v>474</v>
      </c>
      <c r="D69" s="8">
        <v>463</v>
      </c>
      <c r="E69" s="8">
        <v>440</v>
      </c>
      <c r="F69" s="3">
        <f>SUM(B69:E69)</f>
        <v>1792</v>
      </c>
      <c r="G69" s="8">
        <v>436</v>
      </c>
      <c r="H69" s="8">
        <v>485</v>
      </c>
      <c r="I69" s="49">
        <f>'Segment - Payment Services'!I134</f>
        <v>463.1676</v>
      </c>
      <c r="J69" s="2"/>
      <c r="K69" s="2"/>
      <c r="L69" s="2"/>
      <c r="M69" s="2"/>
      <c r="N69" s="2"/>
      <c r="O69" s="2"/>
    </row>
    <row r="70">
      <c r="A70" s="14" t="s">
        <v>95</v>
      </c>
      <c r="B70" s="12" t="s">
        <v>37</v>
      </c>
      <c r="C70" s="12">
        <f>C69/B69-1</f>
        <v>0.14216867469879513</v>
      </c>
      <c r="D70" s="12">
        <f>D69/C69-1</f>
        <v>-0.02320675105485237</v>
      </c>
      <c r="E70" s="12">
        <f>E69/D69-1</f>
        <v>-0.049676025917926525</v>
      </c>
      <c r="F70" s="12" t="s">
        <v>37</v>
      </c>
      <c r="G70" s="12">
        <f>G69/E69-1</f>
        <v>-0.009090909090909038</v>
      </c>
      <c r="H70" s="12">
        <f>H69/G69-1</f>
        <v>0.11238532110091737</v>
      </c>
      <c r="I70" s="35">
        <f>I69/H69-1</f>
        <v>-0.0450152577319588</v>
      </c>
      <c r="J70" s="2"/>
      <c r="K70" s="2"/>
      <c r="L70" s="2"/>
      <c r="M70" s="2"/>
      <c r="N70" s="2"/>
      <c r="O70" s="2"/>
    </row>
    <row r="71">
      <c r="A71" s="14" t="s">
        <v>122</v>
      </c>
      <c r="B71" s="12" t="s">
        <v>37</v>
      </c>
      <c r="C71" s="12" t="s">
        <v>37</v>
      </c>
      <c r="D71" s="12" t="s">
        <v>37</v>
      </c>
      <c r="E71" s="12" t="s">
        <v>37</v>
      </c>
      <c r="F71" s="12" t="s">
        <v>37</v>
      </c>
      <c r="G71" s="12">
        <f>G69/B69-1</f>
        <v>0.050602409638554224</v>
      </c>
      <c r="H71" s="12">
        <f>H69/C69-1</f>
        <v>0.02320675105485237</v>
      </c>
      <c r="I71" s="35">
        <f>I69/D69-1</f>
        <v>0.0003619870410367376</v>
      </c>
      <c r="J71" s="2"/>
      <c r="K71" s="2"/>
      <c r="L71" s="2"/>
      <c r="M71" s="2"/>
      <c r="N71" s="2"/>
      <c r="O71" s="2"/>
    </row>
    <row r="72">
      <c r="A72" s="14" t="s">
        <v>98</v>
      </c>
      <c r="B72" s="12" t="s">
        <v>37</v>
      </c>
      <c r="C72" s="12" t="s">
        <v>37</v>
      </c>
      <c r="D72" s="12" t="s">
        <v>37</v>
      </c>
      <c r="E72" s="12" t="s">
        <v>37</v>
      </c>
      <c r="F72" s="12" t="s">
        <v>37</v>
      </c>
      <c r="G72" s="65">
        <v>0</v>
      </c>
      <c r="H72" s="65">
        <v>0</v>
      </c>
      <c r="I72" s="60">
        <v>0</v>
      </c>
      <c r="J72" s="6" t="s">
        <v>106</v>
      </c>
      <c r="K72" s="2"/>
      <c r="L72" s="2"/>
      <c r="M72" s="2"/>
      <c r="N72" s="2"/>
      <c r="O72" s="2"/>
    </row>
    <row r="73">
      <c r="A73" s="14" t="s">
        <v>100</v>
      </c>
      <c r="B73" s="12" t="s">
        <v>37</v>
      </c>
      <c r="C73" s="12" t="s">
        <v>37</v>
      </c>
      <c r="D73" s="12" t="s">
        <v>37</v>
      </c>
      <c r="E73" s="12" t="s">
        <v>37</v>
      </c>
      <c r="F73" s="12" t="s">
        <v>37</v>
      </c>
      <c r="G73" s="12" t="s">
        <v>37</v>
      </c>
      <c r="H73" s="12" t="s">
        <v>37</v>
      </c>
      <c r="I73" s="35" t="s">
        <v>37</v>
      </c>
      <c r="J73" s="6" t="s">
        <v>101</v>
      </c>
      <c r="K73" s="2"/>
      <c r="L73" s="2"/>
      <c r="M73" s="2"/>
      <c r="N73" s="2"/>
      <c r="O73" s="2"/>
    </row>
    <row r="74">
      <c r="A74" s="14" t="s">
        <v>102</v>
      </c>
      <c r="B74" s="12" t="s">
        <v>37</v>
      </c>
      <c r="C74" s="12" t="s">
        <v>37</v>
      </c>
      <c r="D74" s="12" t="s">
        <v>37</v>
      </c>
      <c r="E74" s="12" t="s">
        <v>37</v>
      </c>
      <c r="F74" s="12" t="s">
        <v>37</v>
      </c>
      <c r="G74" s="12" t="str">
        <f>IF(ISNUMBER(G73),(1+G71)/((1+G72)*(1+G73))-1,"n/a")</f>
        <v>n/a</v>
      </c>
      <c r="H74" s="12" t="str">
        <f>IF(ISNUMBER(H73),(1+H71)/((1+H72)*(1+H73))-1,"n/a")</f>
        <v>n/a</v>
      </c>
      <c r="I74" s="35" t="str">
        <f>IF(ISNUMBER(I73),(1+I71)/((1+I72)*(1+I73))-1,"n/a")</f>
        <v>n/a</v>
      </c>
      <c r="J74" s="6" t="s">
        <v>103</v>
      </c>
      <c r="K74" s="2"/>
      <c r="L74" s="2"/>
      <c r="M74" s="2"/>
      <c r="N74" s="2"/>
      <c r="O74" s="2"/>
    </row>
    <row r="75">
      <c r="A75" s="14" t="s">
        <v>104</v>
      </c>
      <c r="B75" s="12" t="s">
        <v>37</v>
      </c>
      <c r="C75" s="12" t="s">
        <v>37</v>
      </c>
      <c r="D75" s="12" t="s">
        <v>37</v>
      </c>
      <c r="E75" s="12" t="s">
        <v>37</v>
      </c>
      <c r="F75" s="12" t="s">
        <v>37</v>
      </c>
      <c r="G75" s="12">
        <f>IF(ISNUMBER(G72),G71-G72,"n/a")</f>
        <v>0.050602409638554224</v>
      </c>
      <c r="H75" s="12">
        <f>IF(ISNUMBER(H72),H71-H72,"n/a")</f>
        <v>0.02320675105485237</v>
      </c>
      <c r="I75" s="35">
        <f>IF(ISNUMBER(I72),I71-I72,"n/a")</f>
        <v>0.0003619870410367376</v>
      </c>
      <c r="J75" s="2"/>
      <c r="K75" s="2"/>
      <c r="L75" s="2"/>
      <c r="M75" s="2"/>
      <c r="N75" s="2"/>
      <c r="O75" s="2"/>
    </row>
    <row r="76">
      <c r="A76" s="36" t="s">
        <v>210</v>
      </c>
      <c r="B76" s="8">
        <v>680</v>
      </c>
      <c r="C76" s="8">
        <v>703</v>
      </c>
      <c r="D76" s="8">
        <v>730</v>
      </c>
      <c r="E76" s="8">
        <v>756</v>
      </c>
      <c r="F76" s="3">
        <f>SUM(B76:E76)</f>
        <v>2869</v>
      </c>
      <c r="G76" s="8">
        <v>745</v>
      </c>
      <c r="H76" s="8">
        <v>785</v>
      </c>
      <c r="I76" s="49">
        <f>'Segment - WCCIB'!I143+'Segment - Consumer &amp; Business'!I122</f>
        <v>813.9100000000001</v>
      </c>
      <c r="J76" s="2"/>
      <c r="K76" s="2"/>
      <c r="L76" s="2"/>
      <c r="M76" s="2"/>
      <c r="N76" s="2"/>
      <c r="O76" s="2"/>
    </row>
    <row r="77">
      <c r="A77" s="14" t="s">
        <v>95</v>
      </c>
      <c r="B77" s="12" t="s">
        <v>37</v>
      </c>
      <c r="C77" s="12">
        <f>C76/B76-1</f>
        <v>0.03382352941176481</v>
      </c>
      <c r="D77" s="12">
        <f>D76/C76-1</f>
        <v>0.038406827880512084</v>
      </c>
      <c r="E77" s="12">
        <f>E76/D76-1</f>
        <v>0.03561643835616435</v>
      </c>
      <c r="F77" s="12" t="s">
        <v>37</v>
      </c>
      <c r="G77" s="12">
        <f>G76/E76-1</f>
        <v>-0.014550264550264536</v>
      </c>
      <c r="H77" s="12">
        <f>H76/G76-1</f>
        <v>0.05369127516778516</v>
      </c>
      <c r="I77" s="35">
        <f>I76/H76-1</f>
        <v>0.03682802547770714</v>
      </c>
      <c r="J77" s="2"/>
      <c r="K77" s="2"/>
      <c r="L77" s="2"/>
      <c r="M77" s="2"/>
      <c r="N77" s="2"/>
      <c r="O77" s="2"/>
    </row>
    <row r="78">
      <c r="A78" s="14" t="s">
        <v>122</v>
      </c>
      <c r="B78" s="12" t="s">
        <v>37</v>
      </c>
      <c r="C78" s="12" t="s">
        <v>37</v>
      </c>
      <c r="D78" s="12" t="s">
        <v>37</v>
      </c>
      <c r="E78" s="12" t="s">
        <v>37</v>
      </c>
      <c r="F78" s="12" t="s">
        <v>37</v>
      </c>
      <c r="G78" s="12">
        <f>G76/B76-1</f>
        <v>0.09558823529411775</v>
      </c>
      <c r="H78" s="12">
        <f>H76/C76-1</f>
        <v>0.11664295874822184</v>
      </c>
      <c r="I78" s="35">
        <f>I76/D76-1</f>
        <v>0.1149452054794522</v>
      </c>
      <c r="J78" s="2"/>
      <c r="K78" s="2"/>
      <c r="L78" s="2"/>
      <c r="M78" s="2"/>
      <c r="N78" s="2"/>
      <c r="O78" s="2"/>
    </row>
    <row r="79">
      <c r="A79" s="14" t="s">
        <v>98</v>
      </c>
      <c r="B79" s="12" t="s">
        <v>37</v>
      </c>
      <c r="C79" s="12" t="s">
        <v>37</v>
      </c>
      <c r="D79" s="12" t="s">
        <v>37</v>
      </c>
      <c r="E79" s="12" t="s">
        <v>37</v>
      </c>
      <c r="F79" s="12" t="s">
        <v>37</v>
      </c>
      <c r="G79" s="65">
        <v>0</v>
      </c>
      <c r="H79" s="65">
        <v>0</v>
      </c>
      <c r="I79" s="60">
        <v>0</v>
      </c>
      <c r="J79" s="6" t="s">
        <v>106</v>
      </c>
      <c r="K79" s="2"/>
      <c r="L79" s="2"/>
      <c r="M79" s="2"/>
      <c r="N79" s="2"/>
      <c r="O79" s="2"/>
    </row>
    <row r="80">
      <c r="A80" s="14" t="s">
        <v>100</v>
      </c>
      <c r="B80" s="12" t="s">
        <v>37</v>
      </c>
      <c r="C80" s="12" t="s">
        <v>37</v>
      </c>
      <c r="D80" s="12" t="s">
        <v>37</v>
      </c>
      <c r="E80" s="12" t="s">
        <v>37</v>
      </c>
      <c r="F80" s="12" t="s">
        <v>37</v>
      </c>
      <c r="G80" s="12" t="s">
        <v>37</v>
      </c>
      <c r="H80" s="12" t="s">
        <v>37</v>
      </c>
      <c r="I80" s="35" t="s">
        <v>37</v>
      </c>
      <c r="J80" s="6" t="s">
        <v>101</v>
      </c>
      <c r="K80" s="2"/>
      <c r="L80" s="2"/>
      <c r="M80" s="2"/>
      <c r="N80" s="2"/>
      <c r="O80" s="2"/>
    </row>
    <row r="81">
      <c r="A81" s="14" t="s">
        <v>102</v>
      </c>
      <c r="B81" s="12" t="s">
        <v>37</v>
      </c>
      <c r="C81" s="12" t="s">
        <v>37</v>
      </c>
      <c r="D81" s="12" t="s">
        <v>37</v>
      </c>
      <c r="E81" s="12" t="s">
        <v>37</v>
      </c>
      <c r="F81" s="12" t="s">
        <v>37</v>
      </c>
      <c r="G81" s="12" t="str">
        <f>IF(ISNUMBER(G80),(1+G78)/((1+G79)*(1+G80))-1,"n/a")</f>
        <v>n/a</v>
      </c>
      <c r="H81" s="12" t="str">
        <f>IF(ISNUMBER(H80),(1+H78)/((1+H79)*(1+H80))-1,"n/a")</f>
        <v>n/a</v>
      </c>
      <c r="I81" s="35" t="str">
        <f>IF(ISNUMBER(I80),(1+I78)/((1+I79)*(1+I80))-1,"n/a")</f>
        <v>n/a</v>
      </c>
      <c r="J81" s="6" t="s">
        <v>103</v>
      </c>
      <c r="K81" s="2"/>
      <c r="L81" s="2"/>
      <c r="M81" s="2"/>
      <c r="N81" s="2"/>
      <c r="O81" s="2"/>
    </row>
    <row r="82">
      <c r="A82" s="14" t="s">
        <v>104</v>
      </c>
      <c r="B82" s="12" t="s">
        <v>37</v>
      </c>
      <c r="C82" s="12" t="s">
        <v>37</v>
      </c>
      <c r="D82" s="12" t="s">
        <v>37</v>
      </c>
      <c r="E82" s="12" t="s">
        <v>37</v>
      </c>
      <c r="F82" s="12" t="s">
        <v>37</v>
      </c>
      <c r="G82" s="12">
        <f>IF(ISNUMBER(G79),G78-G79,"n/a")</f>
        <v>0.09558823529411775</v>
      </c>
      <c r="H82" s="12">
        <f>IF(ISNUMBER(H79),H78-H79,"n/a")</f>
        <v>0.11664295874822184</v>
      </c>
      <c r="I82" s="35">
        <f>IF(ISNUMBER(I79),I78-I79,"n/a")</f>
        <v>0.1149452054794522</v>
      </c>
      <c r="J82" s="2"/>
      <c r="K82" s="2"/>
      <c r="L82" s="2"/>
      <c r="M82" s="2"/>
      <c r="N82" s="2"/>
      <c r="O82" s="2"/>
    </row>
    <row r="83">
      <c r="A83" s="36" t="s">
        <v>219</v>
      </c>
      <c r="B83" s="8">
        <v>266</v>
      </c>
      <c r="C83" s="8">
        <v>277</v>
      </c>
      <c r="D83" s="8">
        <v>290</v>
      </c>
      <c r="E83" s="8">
        <v>302</v>
      </c>
      <c r="F83" s="3">
        <f>SUM(B83:E83)</f>
        <v>1135</v>
      </c>
      <c r="G83" s="8">
        <v>294</v>
      </c>
      <c r="H83" s="8">
        <v>308</v>
      </c>
      <c r="I83" s="49">
        <f>'Segment - WCCIB'!I168+'Segment - Consumer &amp; Business'!I129</f>
        <v>311.58</v>
      </c>
      <c r="J83" s="2"/>
      <c r="K83" s="2"/>
      <c r="L83" s="2"/>
      <c r="M83" s="2"/>
      <c r="N83" s="2"/>
      <c r="O83" s="2"/>
    </row>
    <row r="84">
      <c r="A84" s="14" t="s">
        <v>95</v>
      </c>
      <c r="B84" s="12" t="s">
        <v>37</v>
      </c>
      <c r="C84" s="12">
        <f>C83/B83-1</f>
        <v>0.041353383458646586</v>
      </c>
      <c r="D84" s="12">
        <f>D83/C83-1</f>
        <v>0.04693140794223827</v>
      </c>
      <c r="E84" s="12">
        <f>E83/D83-1</f>
        <v>0.04137931034482767</v>
      </c>
      <c r="F84" s="12" t="s">
        <v>37</v>
      </c>
      <c r="G84" s="12">
        <f>G83/E83-1</f>
        <v>-0.026490066225165587</v>
      </c>
      <c r="H84" s="12">
        <f>H83/G83-1</f>
        <v>0.04761904761904767</v>
      </c>
      <c r="I84" s="35">
        <f>I83/H83-1</f>
        <v>0.011623376623376647</v>
      </c>
      <c r="J84" s="2"/>
      <c r="K84" s="2"/>
      <c r="L84" s="2"/>
      <c r="M84" s="2"/>
      <c r="N84" s="2"/>
      <c r="O84" s="2"/>
    </row>
    <row r="85">
      <c r="A85" s="14" t="s">
        <v>122</v>
      </c>
      <c r="B85" s="12" t="s">
        <v>37</v>
      </c>
      <c r="C85" s="12" t="s">
        <v>37</v>
      </c>
      <c r="D85" s="12" t="s">
        <v>37</v>
      </c>
      <c r="E85" s="12" t="s">
        <v>37</v>
      </c>
      <c r="F85" s="12" t="s">
        <v>37</v>
      </c>
      <c r="G85" s="12">
        <f>G83/B83-1</f>
        <v>0.10526315789473695</v>
      </c>
      <c r="H85" s="12">
        <f>H83/C83-1</f>
        <v>0.11191335740072206</v>
      </c>
      <c r="I85" s="35">
        <f>I83/D83-1</f>
        <v>0.07441379310344831</v>
      </c>
      <c r="J85" s="2"/>
      <c r="K85" s="2"/>
      <c r="L85" s="2"/>
      <c r="M85" s="2"/>
      <c r="N85" s="2"/>
      <c r="O85" s="2"/>
    </row>
    <row r="86">
      <c r="A86" s="14" t="s">
        <v>98</v>
      </c>
      <c r="B86" s="12" t="s">
        <v>37</v>
      </c>
      <c r="C86" s="12" t="s">
        <v>37</v>
      </c>
      <c r="D86" s="12" t="s">
        <v>37</v>
      </c>
      <c r="E86" s="12" t="s">
        <v>37</v>
      </c>
      <c r="F86" s="12" t="s">
        <v>37</v>
      </c>
      <c r="G86" s="65">
        <v>0</v>
      </c>
      <c r="H86" s="65">
        <v>0</v>
      </c>
      <c r="I86" s="60">
        <v>0</v>
      </c>
      <c r="J86" s="6" t="s">
        <v>106</v>
      </c>
      <c r="K86" s="2"/>
      <c r="L86" s="2"/>
      <c r="M86" s="2"/>
      <c r="N86" s="2"/>
      <c r="O86" s="2"/>
    </row>
    <row r="87">
      <c r="A87" s="14" t="s">
        <v>100</v>
      </c>
      <c r="B87" s="12" t="s">
        <v>37</v>
      </c>
      <c r="C87" s="12" t="s">
        <v>37</v>
      </c>
      <c r="D87" s="12" t="s">
        <v>37</v>
      </c>
      <c r="E87" s="12" t="s">
        <v>37</v>
      </c>
      <c r="F87" s="12" t="s">
        <v>37</v>
      </c>
      <c r="G87" s="12" t="s">
        <v>37</v>
      </c>
      <c r="H87" s="12" t="s">
        <v>37</v>
      </c>
      <c r="I87" s="35" t="s">
        <v>37</v>
      </c>
      <c r="J87" s="6" t="s">
        <v>101</v>
      </c>
      <c r="K87" s="2"/>
      <c r="L87" s="2"/>
      <c r="M87" s="2"/>
      <c r="N87" s="2"/>
      <c r="O87" s="2"/>
    </row>
    <row r="88">
      <c r="A88" s="14" t="s">
        <v>102</v>
      </c>
      <c r="B88" s="12" t="s">
        <v>37</v>
      </c>
      <c r="C88" s="12" t="s">
        <v>37</v>
      </c>
      <c r="D88" s="12" t="s">
        <v>37</v>
      </c>
      <c r="E88" s="12" t="s">
        <v>37</v>
      </c>
      <c r="F88" s="12" t="s">
        <v>37</v>
      </c>
      <c r="G88" s="12" t="str">
        <f>IF(ISNUMBER(G87),(1+G85)/((1+G86)*(1+G87))-1,"n/a")</f>
        <v>n/a</v>
      </c>
      <c r="H88" s="12" t="str">
        <f>IF(ISNUMBER(H87),(1+H85)/((1+H86)*(1+H87))-1,"n/a")</f>
        <v>n/a</v>
      </c>
      <c r="I88" s="35" t="str">
        <f>IF(ISNUMBER(I87),(1+I85)/((1+I86)*(1+I87))-1,"n/a")</f>
        <v>n/a</v>
      </c>
      <c r="J88" s="6" t="s">
        <v>103</v>
      </c>
      <c r="K88" s="2"/>
      <c r="L88" s="2"/>
      <c r="M88" s="2"/>
      <c r="N88" s="2"/>
      <c r="O88" s="2"/>
    </row>
    <row r="89">
      <c r="A89" s="14" t="s">
        <v>104</v>
      </c>
      <c r="B89" s="12" t="s">
        <v>37</v>
      </c>
      <c r="C89" s="12" t="s">
        <v>37</v>
      </c>
      <c r="D89" s="12" t="s">
        <v>37</v>
      </c>
      <c r="E89" s="12" t="s">
        <v>37</v>
      </c>
      <c r="F89" s="12" t="s">
        <v>37</v>
      </c>
      <c r="G89" s="12">
        <f>IF(ISNUMBER(G86),G85-G86,"n/a")</f>
        <v>0.10526315789473695</v>
      </c>
      <c r="H89" s="12">
        <f>IF(ISNUMBER(H86),H85-H86,"n/a")</f>
        <v>0.11191335740072206</v>
      </c>
      <c r="I89" s="35">
        <f>IF(ISNUMBER(I86),I85-I86,"n/a")</f>
        <v>0.07441379310344831</v>
      </c>
      <c r="J89" s="2"/>
      <c r="K89" s="2"/>
      <c r="L89" s="2"/>
      <c r="M89" s="2"/>
      <c r="N89" s="2"/>
      <c r="O89" s="2"/>
    </row>
    <row r="90">
      <c r="A90" s="36" t="s">
        <v>218</v>
      </c>
      <c r="B90" s="8">
        <v>292</v>
      </c>
      <c r="C90" s="8">
        <v>315</v>
      </c>
      <c r="D90" s="8">
        <v>378</v>
      </c>
      <c r="E90" s="8">
        <v>389</v>
      </c>
      <c r="F90" s="3">
        <f>SUM(B90:E90)</f>
        <v>1374</v>
      </c>
      <c r="G90" s="8">
        <v>377</v>
      </c>
      <c r="H90" s="8">
        <v>512</v>
      </c>
      <c r="I90" s="49">
        <f>'Segment - WCCIB'!I161+'Segment - Consumer &amp; Business'!I136+'Segment - Treasury &amp; Corp'!I50</f>
        <v>623.7800000000001</v>
      </c>
      <c r="J90" s="2"/>
      <c r="K90" s="2"/>
      <c r="L90" s="2"/>
      <c r="M90" s="2"/>
      <c r="N90" s="2"/>
      <c r="O90" s="2"/>
    </row>
    <row r="91">
      <c r="A91" s="14" t="s">
        <v>95</v>
      </c>
      <c r="B91" s="12" t="s">
        <v>37</v>
      </c>
      <c r="C91" s="12">
        <f>C90/B90-1</f>
        <v>0.07876712328767121</v>
      </c>
      <c r="D91" s="12">
        <f>D90/C90-1</f>
        <v>0.19999999999999996</v>
      </c>
      <c r="E91" s="12">
        <f>E90/D90-1</f>
        <v>0.02910052910052907</v>
      </c>
      <c r="F91" s="12" t="s">
        <v>37</v>
      </c>
      <c r="G91" s="12">
        <f>G90/E90-1</f>
        <v>-0.03084832904884316</v>
      </c>
      <c r="H91" s="12">
        <f>H90/G90-1</f>
        <v>0.3580901856763925</v>
      </c>
      <c r="I91" s="35">
        <f>I90/H90-1</f>
        <v>0.21832031250000017</v>
      </c>
      <c r="J91" s="2"/>
      <c r="K91" s="2"/>
      <c r="L91" s="2"/>
      <c r="M91" s="2"/>
      <c r="N91" s="2"/>
      <c r="O91" s="2"/>
    </row>
    <row r="92">
      <c r="A92" s="14" t="s">
        <v>122</v>
      </c>
      <c r="B92" s="12" t="s">
        <v>37</v>
      </c>
      <c r="C92" s="12" t="s">
        <v>37</v>
      </c>
      <c r="D92" s="12" t="s">
        <v>37</v>
      </c>
      <c r="E92" s="12" t="s">
        <v>37</v>
      </c>
      <c r="F92" s="12" t="s">
        <v>37</v>
      </c>
      <c r="G92" s="12">
        <f>G90/B90-1</f>
        <v>0.29109589041095885</v>
      </c>
      <c r="H92" s="12">
        <f>H90/C90-1</f>
        <v>0.6253968253968254</v>
      </c>
      <c r="I92" s="35">
        <f>I90/D90-1</f>
        <v>0.6502116402116405</v>
      </c>
      <c r="J92" s="2"/>
      <c r="K92" s="2"/>
      <c r="L92" s="2"/>
      <c r="M92" s="2"/>
      <c r="N92" s="2"/>
      <c r="O92" s="2"/>
    </row>
    <row r="93">
      <c r="A93" s="14" t="s">
        <v>98</v>
      </c>
      <c r="B93" s="12" t="s">
        <v>37</v>
      </c>
      <c r="C93" s="12" t="s">
        <v>37</v>
      </c>
      <c r="D93" s="12" t="s">
        <v>37</v>
      </c>
      <c r="E93" s="12" t="s">
        <v>37</v>
      </c>
      <c r="F93" s="12" t="s">
        <v>37</v>
      </c>
      <c r="G93" s="22">
        <f>'Segment - WCCIB'!G157/B90</f>
        <v>0</v>
      </c>
      <c r="H93" s="22">
        <f>'Segment - WCCIB'!H157/C90</f>
        <v>0.3111111111111111</v>
      </c>
      <c r="I93" s="33">
        <f>'Segment - WCCIB'!I157/D90</f>
        <v>0.5291005291005291</v>
      </c>
      <c r="J93" s="6" t="s">
        <v>99</v>
      </c>
      <c r="K93" s="2"/>
      <c r="L93" s="2"/>
      <c r="M93" s="2"/>
      <c r="N93" s="2"/>
      <c r="O93" s="2"/>
    </row>
    <row r="94">
      <c r="A94" s="14" t="s">
        <v>100</v>
      </c>
      <c r="B94" s="12" t="s">
        <v>37</v>
      </c>
      <c r="C94" s="12" t="s">
        <v>37</v>
      </c>
      <c r="D94" s="12" t="s">
        <v>37</v>
      </c>
      <c r="E94" s="12" t="s">
        <v>37</v>
      </c>
      <c r="F94" s="12" t="s">
        <v>37</v>
      </c>
      <c r="G94" s="12" t="s">
        <v>37</v>
      </c>
      <c r="H94" s="12" t="s">
        <v>37</v>
      </c>
      <c r="I94" s="35" t="s">
        <v>37</v>
      </c>
      <c r="J94" s="6" t="s">
        <v>101</v>
      </c>
      <c r="K94" s="2"/>
      <c r="L94" s="2"/>
      <c r="M94" s="2"/>
      <c r="N94" s="2"/>
      <c r="O94" s="2"/>
    </row>
    <row r="95">
      <c r="A95" s="14" t="s">
        <v>102</v>
      </c>
      <c r="B95" s="12" t="s">
        <v>37</v>
      </c>
      <c r="C95" s="12" t="s">
        <v>37</v>
      </c>
      <c r="D95" s="12" t="s">
        <v>37</v>
      </c>
      <c r="E95" s="12" t="s">
        <v>37</v>
      </c>
      <c r="F95" s="12" t="s">
        <v>37</v>
      </c>
      <c r="G95" s="12" t="str">
        <f>IF(ISNUMBER(G94),(1+G92)/((1+G93)*(1+G94))-1,"n/a")</f>
        <v>n/a</v>
      </c>
      <c r="H95" s="12" t="str">
        <f>IF(ISNUMBER(H94),(1+H92)/((1+H93)*(1+H94))-1,"n/a")</f>
        <v>n/a</v>
      </c>
      <c r="I95" s="35" t="str">
        <f>IF(ISNUMBER(I94),(1+I92)/((1+I93)*(1+I94))-1,"n/a")</f>
        <v>n/a</v>
      </c>
      <c r="J95" s="6" t="s">
        <v>103</v>
      </c>
      <c r="K95" s="2"/>
      <c r="L95" s="2"/>
      <c r="M95" s="2"/>
      <c r="N95" s="2"/>
      <c r="O95" s="2"/>
    </row>
    <row r="96">
      <c r="A96" s="14" t="s">
        <v>104</v>
      </c>
      <c r="B96" s="12" t="s">
        <v>37</v>
      </c>
      <c r="C96" s="12" t="s">
        <v>37</v>
      </c>
      <c r="D96" s="12" t="s">
        <v>37</v>
      </c>
      <c r="E96" s="12" t="s">
        <v>37</v>
      </c>
      <c r="F96" s="12" t="s">
        <v>37</v>
      </c>
      <c r="G96" s="12">
        <f>IF(ISNUMBER(G93),G92-G93,"n/a")</f>
        <v>0.29109589041095885</v>
      </c>
      <c r="H96" s="12">
        <f>IF(ISNUMBER(H93),H92-H93,"n/a")</f>
        <v>0.3142857142857143</v>
      </c>
      <c r="I96" s="35">
        <f>IF(ISNUMBER(I93),I92-I93,"n/a")</f>
        <v>0.12111111111111139</v>
      </c>
      <c r="J96" s="2"/>
      <c r="K96" s="2"/>
      <c r="L96" s="2"/>
      <c r="M96" s="2"/>
      <c r="N96" s="2"/>
      <c r="O96" s="2"/>
    </row>
    <row r="97">
      <c r="A97" s="36" t="s">
        <v>302</v>
      </c>
      <c r="B97" s="8">
        <v>173</v>
      </c>
      <c r="C97" s="8">
        <v>162</v>
      </c>
      <c r="D97" s="8">
        <v>180</v>
      </c>
      <c r="E97" s="8">
        <v>130</v>
      </c>
      <c r="F97" s="3">
        <f>SUM(B97:E97)</f>
        <v>645</v>
      </c>
      <c r="G97" s="8">
        <v>161</v>
      </c>
      <c r="H97" s="8">
        <v>169</v>
      </c>
      <c r="I97" s="49">
        <f>'Segment - Consumer &amp; Business'!I185</f>
        <v>165.89892499987843</v>
      </c>
      <c r="J97" s="2"/>
      <c r="K97" s="2"/>
      <c r="L97" s="2"/>
      <c r="M97" s="2"/>
      <c r="N97" s="2"/>
      <c r="O97" s="2"/>
    </row>
    <row r="98">
      <c r="A98" s="14" t="s">
        <v>95</v>
      </c>
      <c r="B98" s="12" t="s">
        <v>37</v>
      </c>
      <c r="C98" s="12">
        <f>C97/B97-1</f>
        <v>-0.06358381502890176</v>
      </c>
      <c r="D98" s="12">
        <f>D97/C97-1</f>
        <v>0.11111111111111116</v>
      </c>
      <c r="E98" s="12">
        <f>E97/D97-1</f>
        <v>-0.2777777777777778</v>
      </c>
      <c r="F98" s="12" t="s">
        <v>37</v>
      </c>
      <c r="G98" s="12">
        <f>G97/E97-1</f>
        <v>0.2384615384615385</v>
      </c>
      <c r="H98" s="12">
        <f>H97/G97-1</f>
        <v>0.049689440993788914</v>
      </c>
      <c r="I98" s="35">
        <f>I97/H97-1</f>
        <v>-0.018349556213737128</v>
      </c>
      <c r="J98" s="2"/>
      <c r="K98" s="2"/>
      <c r="L98" s="2"/>
      <c r="M98" s="2"/>
      <c r="N98" s="2"/>
      <c r="O98" s="2"/>
    </row>
    <row r="99">
      <c r="A99" s="14" t="s">
        <v>122</v>
      </c>
      <c r="B99" s="12" t="s">
        <v>37</v>
      </c>
      <c r="C99" s="12" t="s">
        <v>37</v>
      </c>
      <c r="D99" s="12" t="s">
        <v>37</v>
      </c>
      <c r="E99" s="12" t="s">
        <v>37</v>
      </c>
      <c r="F99" s="12" t="s">
        <v>37</v>
      </c>
      <c r="G99" s="12">
        <f>G97/B97-1</f>
        <v>-0.06936416184971095</v>
      </c>
      <c r="H99" s="12">
        <f>H97/C97-1</f>
        <v>0.043209876543209846</v>
      </c>
      <c r="I99" s="35">
        <f>I97/D97-1</f>
        <v>-0.07833930555623092</v>
      </c>
      <c r="J99" s="2"/>
      <c r="K99" s="2"/>
      <c r="L99" s="2"/>
      <c r="M99" s="2"/>
      <c r="N99" s="2"/>
      <c r="O99" s="2"/>
    </row>
    <row r="100">
      <c r="A100" s="14" t="s">
        <v>98</v>
      </c>
      <c r="B100" s="12" t="s">
        <v>37</v>
      </c>
      <c r="C100" s="12" t="s">
        <v>37</v>
      </c>
      <c r="D100" s="12" t="s">
        <v>37</v>
      </c>
      <c r="E100" s="12" t="s">
        <v>37</v>
      </c>
      <c r="F100" s="12" t="s">
        <v>37</v>
      </c>
      <c r="G100" s="65">
        <v>0</v>
      </c>
      <c r="H100" s="65">
        <v>0</v>
      </c>
      <c r="I100" s="60">
        <v>0</v>
      </c>
      <c r="J100" s="6" t="s">
        <v>106</v>
      </c>
      <c r="K100" s="2"/>
      <c r="L100" s="2"/>
      <c r="M100" s="2"/>
      <c r="N100" s="2"/>
      <c r="O100" s="2"/>
    </row>
    <row r="101">
      <c r="A101" s="14" t="s">
        <v>100</v>
      </c>
      <c r="B101" s="12" t="s">
        <v>37</v>
      </c>
      <c r="C101" s="12" t="s">
        <v>37</v>
      </c>
      <c r="D101" s="12" t="s">
        <v>37</v>
      </c>
      <c r="E101" s="12" t="s">
        <v>37</v>
      </c>
      <c r="F101" s="12" t="s">
        <v>37</v>
      </c>
      <c r="G101" s="12" t="s">
        <v>37</v>
      </c>
      <c r="H101" s="12" t="s">
        <v>37</v>
      </c>
      <c r="I101" s="35" t="s">
        <v>37</v>
      </c>
      <c r="J101" s="6" t="s">
        <v>101</v>
      </c>
      <c r="K101" s="2"/>
      <c r="L101" s="2"/>
      <c r="M101" s="2"/>
      <c r="N101" s="2"/>
      <c r="O101" s="2"/>
    </row>
    <row r="102">
      <c r="A102" s="14" t="s">
        <v>102</v>
      </c>
      <c r="B102" s="12" t="s">
        <v>37</v>
      </c>
      <c r="C102" s="12" t="s">
        <v>37</v>
      </c>
      <c r="D102" s="12" t="s">
        <v>37</v>
      </c>
      <c r="E102" s="12" t="s">
        <v>37</v>
      </c>
      <c r="F102" s="12" t="s">
        <v>37</v>
      </c>
      <c r="G102" s="12" t="str">
        <f>IF(ISNUMBER(G101),(1+G99)/((1+G100)*(1+G101))-1,"n/a")</f>
        <v>n/a</v>
      </c>
      <c r="H102" s="12" t="str">
        <f>IF(ISNUMBER(H101),(1+H99)/((1+H100)*(1+H101))-1,"n/a")</f>
        <v>n/a</v>
      </c>
      <c r="I102" s="35" t="str">
        <f>IF(ISNUMBER(I101),(1+I99)/((1+I100)*(1+I101))-1,"n/a")</f>
        <v>n/a</v>
      </c>
      <c r="J102" s="6" t="s">
        <v>103</v>
      </c>
      <c r="K102" s="2"/>
      <c r="L102" s="2"/>
      <c r="M102" s="2"/>
      <c r="N102" s="2"/>
      <c r="O102" s="2"/>
    </row>
    <row r="103">
      <c r="A103" s="14" t="s">
        <v>104</v>
      </c>
      <c r="B103" s="12" t="s">
        <v>37</v>
      </c>
      <c r="C103" s="12" t="s">
        <v>37</v>
      </c>
      <c r="D103" s="12" t="s">
        <v>37</v>
      </c>
      <c r="E103" s="12" t="s">
        <v>37</v>
      </c>
      <c r="F103" s="12" t="s">
        <v>37</v>
      </c>
      <c r="G103" s="12">
        <f>IF(ISNUMBER(G100),G99-G100,"n/a")</f>
        <v>-0.06936416184971095</v>
      </c>
      <c r="H103" s="12">
        <f>IF(ISNUMBER(H100),H99-H100,"n/a")</f>
        <v>0.043209876543209846</v>
      </c>
      <c r="I103" s="35">
        <f>IF(ISNUMBER(I100),I99-I100,"n/a")</f>
        <v>-0.07833930555623092</v>
      </c>
      <c r="J103" s="2"/>
      <c r="K103" s="2"/>
      <c r="L103" s="2"/>
      <c r="M103" s="2"/>
      <c r="N103" s="2"/>
      <c r="O103" s="2"/>
    </row>
    <row r="104">
      <c r="A104" s="36" t="s">
        <v>220</v>
      </c>
      <c r="B104" s="8">
        <v>87</v>
      </c>
      <c r="C104" s="8">
        <v>90</v>
      </c>
      <c r="D104" s="8">
        <v>97</v>
      </c>
      <c r="E104" s="8">
        <v>101</v>
      </c>
      <c r="F104" s="3">
        <f>SUM(B104:E104)</f>
        <v>375</v>
      </c>
      <c r="G104" s="8">
        <v>97</v>
      </c>
      <c r="H104" s="8">
        <v>102</v>
      </c>
      <c r="I104" s="49">
        <f>'Segment - WCCIB'!I175</f>
        <v>104.76</v>
      </c>
      <c r="J104" s="2"/>
      <c r="K104" s="2"/>
      <c r="L104" s="2"/>
      <c r="M104" s="2"/>
      <c r="N104" s="2"/>
      <c r="O104" s="2"/>
    </row>
    <row r="105">
      <c r="A105" s="14" t="s">
        <v>95</v>
      </c>
      <c r="B105" s="12" t="s">
        <v>37</v>
      </c>
      <c r="C105" s="12">
        <f>C104/B104-1</f>
        <v>0.034482758620689724</v>
      </c>
      <c r="D105" s="12">
        <f>D104/C104-1</f>
        <v>0.07777777777777772</v>
      </c>
      <c r="E105" s="12">
        <f>E104/D104-1</f>
        <v>0.04123711340206193</v>
      </c>
      <c r="F105" s="12" t="s">
        <v>37</v>
      </c>
      <c r="G105" s="12">
        <f>G104/E104-1</f>
        <v>-0.03960396039603964</v>
      </c>
      <c r="H105" s="12">
        <f>H104/G104-1</f>
        <v>0.05154639175257736</v>
      </c>
      <c r="I105" s="35">
        <f>I104/H104-1</f>
        <v>0.027058823529411802</v>
      </c>
      <c r="J105" s="2"/>
      <c r="K105" s="2"/>
      <c r="L105" s="2"/>
      <c r="M105" s="2"/>
      <c r="N105" s="2"/>
      <c r="O105" s="2"/>
    </row>
    <row r="106">
      <c r="A106" s="14" t="s">
        <v>122</v>
      </c>
      <c r="B106" s="12" t="s">
        <v>37</v>
      </c>
      <c r="C106" s="12" t="s">
        <v>37</v>
      </c>
      <c r="D106" s="12" t="s">
        <v>37</v>
      </c>
      <c r="E106" s="12" t="s">
        <v>37</v>
      </c>
      <c r="F106" s="12" t="s">
        <v>37</v>
      </c>
      <c r="G106" s="12">
        <f>G104/B104-1</f>
        <v>0.11494252873563227</v>
      </c>
      <c r="H106" s="12">
        <f>H104/C104-1</f>
        <v>0.1333333333333333</v>
      </c>
      <c r="I106" s="35">
        <f>I104/D104-1</f>
        <v>0.08000000000000007</v>
      </c>
      <c r="J106" s="2"/>
      <c r="K106" s="2"/>
      <c r="L106" s="2"/>
      <c r="M106" s="2"/>
      <c r="N106" s="2"/>
      <c r="O106" s="2"/>
    </row>
    <row r="107">
      <c r="A107" s="14" t="s">
        <v>98</v>
      </c>
      <c r="B107" s="12" t="s">
        <v>37</v>
      </c>
      <c r="C107" s="12" t="s">
        <v>37</v>
      </c>
      <c r="D107" s="12" t="s">
        <v>37</v>
      </c>
      <c r="E107" s="12" t="s">
        <v>37</v>
      </c>
      <c r="F107" s="12" t="s">
        <v>37</v>
      </c>
      <c r="G107" s="65">
        <v>0</v>
      </c>
      <c r="H107" s="65">
        <v>0</v>
      </c>
      <c r="I107" s="60">
        <v>0</v>
      </c>
      <c r="J107" s="6" t="s">
        <v>106</v>
      </c>
      <c r="K107" s="2"/>
      <c r="L107" s="2"/>
      <c r="M107" s="2"/>
      <c r="N107" s="2"/>
      <c r="O107" s="2"/>
    </row>
    <row r="108">
      <c r="A108" s="14" t="s">
        <v>100</v>
      </c>
      <c r="B108" s="12" t="s">
        <v>37</v>
      </c>
      <c r="C108" s="12" t="s">
        <v>37</v>
      </c>
      <c r="D108" s="12" t="s">
        <v>37</v>
      </c>
      <c r="E108" s="12" t="s">
        <v>37</v>
      </c>
      <c r="F108" s="12" t="s">
        <v>37</v>
      </c>
      <c r="G108" s="12" t="s">
        <v>37</v>
      </c>
      <c r="H108" s="12" t="s">
        <v>37</v>
      </c>
      <c r="I108" s="35" t="s">
        <v>37</v>
      </c>
      <c r="J108" s="6" t="s">
        <v>101</v>
      </c>
      <c r="K108" s="2"/>
      <c r="L108" s="2"/>
      <c r="M108" s="2"/>
      <c r="N108" s="2"/>
      <c r="O108" s="2"/>
    </row>
    <row r="109">
      <c r="A109" s="14" t="s">
        <v>102</v>
      </c>
      <c r="B109" s="12" t="s">
        <v>37</v>
      </c>
      <c r="C109" s="12" t="s">
        <v>37</v>
      </c>
      <c r="D109" s="12" t="s">
        <v>37</v>
      </c>
      <c r="E109" s="12" t="s">
        <v>37</v>
      </c>
      <c r="F109" s="12" t="s">
        <v>37</v>
      </c>
      <c r="G109" s="12" t="str">
        <f>IF(ISNUMBER(G108),(1+G106)/((1+G107)*(1+G108))-1,"n/a")</f>
        <v>n/a</v>
      </c>
      <c r="H109" s="12" t="str">
        <f>IF(ISNUMBER(H108),(1+H106)/((1+H107)*(1+H108))-1,"n/a")</f>
        <v>n/a</v>
      </c>
      <c r="I109" s="35" t="str">
        <f>IF(ISNUMBER(I108),(1+I106)/((1+I107)*(1+I108))-1,"n/a")</f>
        <v>n/a</v>
      </c>
      <c r="J109" s="6" t="s">
        <v>103</v>
      </c>
      <c r="K109" s="2"/>
      <c r="L109" s="2"/>
      <c r="M109" s="2"/>
      <c r="N109" s="2"/>
      <c r="O109" s="2"/>
    </row>
    <row r="110">
      <c r="A110" s="14" t="s">
        <v>104</v>
      </c>
      <c r="B110" s="12" t="s">
        <v>37</v>
      </c>
      <c r="C110" s="12" t="s">
        <v>37</v>
      </c>
      <c r="D110" s="12" t="s">
        <v>37</v>
      </c>
      <c r="E110" s="12" t="s">
        <v>37</v>
      </c>
      <c r="F110" s="12" t="s">
        <v>37</v>
      </c>
      <c r="G110" s="12">
        <f>IF(ISNUMBER(G107),G106-G107,"n/a")</f>
        <v>0.11494252873563227</v>
      </c>
      <c r="H110" s="12">
        <f>IF(ISNUMBER(H107),H106-H107,"n/a")</f>
        <v>0.1333333333333333</v>
      </c>
      <c r="I110" s="35">
        <f>IF(ISNUMBER(I107),I106-I107,"n/a")</f>
        <v>0.08000000000000007</v>
      </c>
      <c r="J110" s="2"/>
      <c r="K110" s="2"/>
      <c r="L110" s="2"/>
      <c r="M110" s="2"/>
      <c r="N110" s="2"/>
      <c r="O110" s="2"/>
    </row>
    <row r="111">
      <c r="A111" s="36" t="s">
        <v>255</v>
      </c>
      <c r="B111" s="8">
        <v>149</v>
      </c>
      <c r="C111" s="8">
        <v>126</v>
      </c>
      <c r="D111" s="8">
        <v>125</v>
      </c>
      <c r="E111" s="8">
        <v>109</v>
      </c>
      <c r="F111" s="3">
        <f>SUM(B111:E111)</f>
        <v>509</v>
      </c>
      <c r="G111" s="8">
        <v>123</v>
      </c>
      <c r="H111" s="8">
        <v>138</v>
      </c>
      <c r="I111" s="49">
        <f>'Segment - WCCIB'!I182+'Segment - Consumer &amp; Business'!I195+'Segment - Payment Services'!I144+'Segment - Treasury &amp; Corp'!I56</f>
        <v>134.35</v>
      </c>
      <c r="J111" s="2"/>
      <c r="K111" s="2"/>
      <c r="L111" s="2"/>
      <c r="M111" s="2"/>
      <c r="N111" s="2"/>
      <c r="O111" s="2"/>
    </row>
    <row r="112">
      <c r="A112" s="14" t="s">
        <v>95</v>
      </c>
      <c r="B112" s="12" t="s">
        <v>37</v>
      </c>
      <c r="C112" s="12">
        <f>C111/B111-1</f>
        <v>-0.15436241610738255</v>
      </c>
      <c r="D112" s="12">
        <f>D111/C111-1</f>
        <v>-0.007936507936507908</v>
      </c>
      <c r="E112" s="12">
        <f>E111/D111-1</f>
        <v>-0.128</v>
      </c>
      <c r="F112" s="12" t="s">
        <v>37</v>
      </c>
      <c r="G112" s="12">
        <f>G111/E111-1</f>
        <v>0.12844036697247696</v>
      </c>
      <c r="H112" s="12">
        <f>H111/G111-1</f>
        <v>0.12195121951219523</v>
      </c>
      <c r="I112" s="35">
        <f>I111/H111-1</f>
        <v>-0.02644927536231889</v>
      </c>
      <c r="J112" s="2"/>
      <c r="K112" s="2"/>
      <c r="L112" s="2"/>
      <c r="M112" s="2"/>
      <c r="N112" s="2"/>
      <c r="O112" s="2"/>
    </row>
    <row r="113">
      <c r="A113" s="14" t="s">
        <v>122</v>
      </c>
      <c r="B113" s="12" t="s">
        <v>37</v>
      </c>
      <c r="C113" s="12" t="s">
        <v>37</v>
      </c>
      <c r="D113" s="12" t="s">
        <v>37</v>
      </c>
      <c r="E113" s="12" t="s">
        <v>37</v>
      </c>
      <c r="F113" s="12" t="s">
        <v>37</v>
      </c>
      <c r="G113" s="12">
        <f>G111/B111-1</f>
        <v>-0.17449664429530198</v>
      </c>
      <c r="H113" s="12">
        <f>H111/C111-1</f>
        <v>0.09523809523809534</v>
      </c>
      <c r="I113" s="35">
        <f>I111/D111-1</f>
        <v>0.07479999999999998</v>
      </c>
      <c r="J113" s="2"/>
      <c r="K113" s="2"/>
      <c r="L113" s="2"/>
      <c r="M113" s="2"/>
      <c r="N113" s="2"/>
      <c r="O113" s="2"/>
    </row>
    <row r="114">
      <c r="A114" s="14" t="s">
        <v>98</v>
      </c>
      <c r="B114" s="12" t="s">
        <v>37</v>
      </c>
      <c r="C114" s="12" t="s">
        <v>37</v>
      </c>
      <c r="D114" s="12" t="s">
        <v>37</v>
      </c>
      <c r="E114" s="12" t="s">
        <v>37</v>
      </c>
      <c r="F114" s="12" t="s">
        <v>37</v>
      </c>
      <c r="G114" s="65">
        <v>0</v>
      </c>
      <c r="H114" s="65">
        <v>0</v>
      </c>
      <c r="I114" s="60">
        <v>0</v>
      </c>
      <c r="J114" s="6" t="s">
        <v>106</v>
      </c>
      <c r="K114" s="2"/>
      <c r="L114" s="2"/>
      <c r="M114" s="2"/>
      <c r="N114" s="2"/>
      <c r="O114" s="2"/>
    </row>
    <row r="115">
      <c r="A115" s="14" t="s">
        <v>100</v>
      </c>
      <c r="B115" s="12" t="s">
        <v>37</v>
      </c>
      <c r="C115" s="12" t="s">
        <v>37</v>
      </c>
      <c r="D115" s="12" t="s">
        <v>37</v>
      </c>
      <c r="E115" s="12" t="s">
        <v>37</v>
      </c>
      <c r="F115" s="12" t="s">
        <v>37</v>
      </c>
      <c r="G115" s="12" t="s">
        <v>37</v>
      </c>
      <c r="H115" s="12" t="s">
        <v>37</v>
      </c>
      <c r="I115" s="35" t="s">
        <v>37</v>
      </c>
      <c r="J115" s="6" t="s">
        <v>101</v>
      </c>
      <c r="K115" s="2"/>
      <c r="L115" s="2"/>
      <c r="M115" s="2"/>
      <c r="N115" s="2"/>
      <c r="O115" s="2"/>
    </row>
    <row r="116">
      <c r="A116" s="14" t="s">
        <v>102</v>
      </c>
      <c r="B116" s="12" t="s">
        <v>37</v>
      </c>
      <c r="C116" s="12" t="s">
        <v>37</v>
      </c>
      <c r="D116" s="12" t="s">
        <v>37</v>
      </c>
      <c r="E116" s="12" t="s">
        <v>37</v>
      </c>
      <c r="F116" s="12" t="s">
        <v>37</v>
      </c>
      <c r="G116" s="12" t="str">
        <f>IF(ISNUMBER(G115),(1+G113)/((1+G114)*(1+G115))-1,"n/a")</f>
        <v>n/a</v>
      </c>
      <c r="H116" s="12" t="str">
        <f>IF(ISNUMBER(H115),(1+H113)/((1+H114)*(1+H115))-1,"n/a")</f>
        <v>n/a</v>
      </c>
      <c r="I116" s="35" t="str">
        <f>IF(ISNUMBER(I115),(1+I113)/((1+I114)*(1+I115))-1,"n/a")</f>
        <v>n/a</v>
      </c>
      <c r="J116" s="6" t="s">
        <v>103</v>
      </c>
      <c r="K116" s="2"/>
      <c r="L116" s="2"/>
      <c r="M116" s="2"/>
      <c r="N116" s="2"/>
      <c r="O116" s="2"/>
    </row>
    <row r="117">
      <c r="A117" s="14" t="s">
        <v>104</v>
      </c>
      <c r="B117" s="12" t="s">
        <v>37</v>
      </c>
      <c r="C117" s="12" t="s">
        <v>37</v>
      </c>
      <c r="D117" s="12" t="s">
        <v>37</v>
      </c>
      <c r="E117" s="12" t="s">
        <v>37</v>
      </c>
      <c r="F117" s="12" t="s">
        <v>37</v>
      </c>
      <c r="G117" s="12">
        <f>IF(ISNUMBER(G114),G113-G114,"n/a")</f>
        <v>-0.17449664429530198</v>
      </c>
      <c r="H117" s="12">
        <f>IF(ISNUMBER(H114),H113-H114,"n/a")</f>
        <v>0.09523809523809534</v>
      </c>
      <c r="I117" s="35">
        <f>IF(ISNUMBER(I114),I113-I114,"n/a")</f>
        <v>0.07479999999999998</v>
      </c>
      <c r="J117" s="2"/>
      <c r="K117" s="2"/>
      <c r="L117" s="2"/>
      <c r="M117" s="2"/>
      <c r="N117" s="2"/>
      <c r="O117" s="2"/>
    </row>
    <row r="118">
      <c r="A118" s="16" t="s">
        <v>418</v>
      </c>
      <c r="B118" s="15">
        <f>B55+B62+B69+B76+B83+B90+B97+B104+B111</f>
        <v>2836</v>
      </c>
      <c r="C118" s="15">
        <f>C55+C62+C69+C76+C83+C90+C97+C104+C111</f>
        <v>2981</v>
      </c>
      <c r="D118" s="15">
        <f>D55+D62+D69+D76+D83+D90+D97+D104+D111</f>
        <v>3085</v>
      </c>
      <c r="E118" s="15">
        <f>E55+E62+E69+E76+E83+E90+E97+E104+E111</f>
        <v>3050</v>
      </c>
      <c r="F118" s="15">
        <f>F55+F62+F69+F76+F83+F90+F97+F104+F111</f>
        <v>11952</v>
      </c>
      <c r="G118" s="15">
        <f>G55+G62+G69+G76+G83+G90+G97+G104+G111</f>
        <v>3032</v>
      </c>
      <c r="H118" s="15">
        <f>H55+H62+H69+H76+H83+H90+H97+H104+H111</f>
        <v>3374</v>
      </c>
      <c r="I118" s="38">
        <f>I55+I62+I69+I76+I83+I90+I97+I104+I111</f>
        <v>3509.8200129998786</v>
      </c>
      <c r="J118" s="2"/>
      <c r="K118" s="2"/>
      <c r="L118" s="2"/>
      <c r="M118" s="2"/>
      <c r="N118" s="2"/>
      <c r="O118" s="2"/>
    </row>
    <row r="119">
      <c r="A119" s="19" t="s">
        <v>97</v>
      </c>
      <c r="B119" s="12" t="s">
        <v>37</v>
      </c>
      <c r="C119" s="12" t="s">
        <v>37</v>
      </c>
      <c r="D119" s="12" t="s">
        <v>37</v>
      </c>
      <c r="E119" s="12" t="s">
        <v>37</v>
      </c>
      <c r="F119" s="12" t="s">
        <v>37</v>
      </c>
      <c r="G119" s="12">
        <f>G118/B118-1</f>
        <v>0.06911142454160779</v>
      </c>
      <c r="H119" s="12">
        <f>H118/C118-1</f>
        <v>0.1318349547131834</v>
      </c>
      <c r="I119" s="35">
        <f>I118/D118-1</f>
        <v>0.13770502852508226</v>
      </c>
      <c r="J119" s="2"/>
      <c r="K119" s="2"/>
      <c r="L119" s="2"/>
      <c r="M119" s="2"/>
      <c r="N119" s="2"/>
      <c r="O119" s="2"/>
    </row>
    <row r="120">
      <c r="A120" s="19" t="s">
        <v>98</v>
      </c>
      <c r="B120" s="12" t="s">
        <v>37</v>
      </c>
      <c r="C120" s="12" t="s">
        <v>37</v>
      </c>
      <c r="D120" s="12" t="s">
        <v>37</v>
      </c>
      <c r="E120" s="12" t="s">
        <v>37</v>
      </c>
      <c r="F120" s="12" t="s">
        <v>37</v>
      </c>
      <c r="G120" s="12">
        <f>G139/B118</f>
        <v>0</v>
      </c>
      <c r="H120" s="12">
        <f>H139/C118</f>
        <v>0.03287487420328749</v>
      </c>
      <c r="I120" s="35">
        <f>I139/D118</f>
        <v>0.06742301458670989</v>
      </c>
      <c r="J120" s="6" t="s">
        <v>99</v>
      </c>
      <c r="K120" s="2"/>
      <c r="L120" s="2"/>
      <c r="M120" s="2"/>
      <c r="N120" s="2"/>
      <c r="O120" s="2"/>
    </row>
    <row r="121">
      <c r="A121" s="19" t="s">
        <v>100</v>
      </c>
      <c r="B121" s="12" t="s">
        <v>37</v>
      </c>
      <c r="C121" s="12" t="s">
        <v>37</v>
      </c>
      <c r="D121" s="12" t="s">
        <v>37</v>
      </c>
      <c r="E121" s="12" t="s">
        <v>37</v>
      </c>
      <c r="F121" s="12" t="s">
        <v>37</v>
      </c>
      <c r="G121" s="12" t="s">
        <v>37</v>
      </c>
      <c r="H121" s="12" t="s">
        <v>37</v>
      </c>
      <c r="I121" s="35" t="s">
        <v>37</v>
      </c>
      <c r="J121" s="6" t="s">
        <v>101</v>
      </c>
      <c r="K121" s="2"/>
      <c r="L121" s="2"/>
      <c r="M121" s="2"/>
      <c r="N121" s="2"/>
      <c r="O121" s="2"/>
    </row>
    <row r="122">
      <c r="A122" s="19" t="s">
        <v>102</v>
      </c>
      <c r="B122" s="12" t="s">
        <v>37</v>
      </c>
      <c r="C122" s="12" t="s">
        <v>37</v>
      </c>
      <c r="D122" s="12" t="s">
        <v>37</v>
      </c>
      <c r="E122" s="12" t="s">
        <v>37</v>
      </c>
      <c r="F122" s="12" t="s">
        <v>37</v>
      </c>
      <c r="G122" s="12" t="str">
        <f>IF(ISNUMBER(G121),(1+G119)/((1+G120)*(1+G121))-1,"n/a")</f>
        <v>n/a</v>
      </c>
      <c r="H122" s="12" t="str">
        <f>IF(ISNUMBER(H121),(1+H119)/((1+H120)*(1+H121))-1,"n/a")</f>
        <v>n/a</v>
      </c>
      <c r="I122" s="35" t="str">
        <f>IF(ISNUMBER(I121),(1+I119)/((1+I120)*(1+I121))-1,"n/a")</f>
        <v>n/a</v>
      </c>
      <c r="J122" s="6" t="s">
        <v>103</v>
      </c>
      <c r="K122" s="2"/>
      <c r="L122" s="2"/>
      <c r="M122" s="2"/>
      <c r="N122" s="2"/>
      <c r="O122" s="2"/>
    </row>
    <row r="123">
      <c r="A123" s="19" t="s">
        <v>104</v>
      </c>
      <c r="B123" s="12" t="s">
        <v>37</v>
      </c>
      <c r="C123" s="12" t="s">
        <v>37</v>
      </c>
      <c r="D123" s="12" t="s">
        <v>37</v>
      </c>
      <c r="E123" s="12" t="s">
        <v>37</v>
      </c>
      <c r="F123" s="12" t="s">
        <v>37</v>
      </c>
      <c r="G123" s="12">
        <f>IF(ISNUMBER(G120),G119-G120,"n/a")</f>
        <v>0.06911142454160779</v>
      </c>
      <c r="H123" s="12">
        <f>IF(ISNUMBER(H120),H119-H120,"n/a")</f>
        <v>0.09896008050989591</v>
      </c>
      <c r="I123" s="35">
        <f>IF(ISNUMBER(I120),I119-I120,"n/a")</f>
        <v>0.07028201393837237</v>
      </c>
      <c r="J123" s="2"/>
      <c r="K123" s="2"/>
      <c r="L123" s="2"/>
      <c r="M123" s="2"/>
      <c r="N123" s="2"/>
      <c r="O123" s="2"/>
    </row>
    <row r="124">
      <c r="A124" s="19" t="s">
        <v>95</v>
      </c>
      <c r="B124" s="12" t="s">
        <v>37</v>
      </c>
      <c r="C124" s="12">
        <f>C118/B118-1</f>
        <v>0.0511283497884345</v>
      </c>
      <c r="D124" s="12">
        <f>D118/C118-1</f>
        <v>0.034887621603488794</v>
      </c>
      <c r="E124" s="12">
        <f>E118/D118-1</f>
        <v>-0.011345218800648316</v>
      </c>
      <c r="F124" s="12" t="s">
        <v>37</v>
      </c>
      <c r="G124" s="12">
        <f>G118/E118-1</f>
        <v>-0.005901639344262244</v>
      </c>
      <c r="H124" s="12">
        <f>H118/G118-1</f>
        <v>0.11279683377308714</v>
      </c>
      <c r="I124" s="35">
        <f>I118/H118-1</f>
        <v>0.04025489419083539</v>
      </c>
      <c r="J124" s="2"/>
      <c r="K124" s="2"/>
      <c r="L124" s="2"/>
      <c r="M124" s="2"/>
      <c r="N124" s="2"/>
      <c r="O124" s="2"/>
    </row>
    <row r="125">
      <c r="A125" s="36" t="s">
        <v>124</v>
      </c>
      <c r="B125" s="8">
        <v>0</v>
      </c>
      <c r="C125" s="8">
        <v>-57</v>
      </c>
      <c r="D125" s="8">
        <v>-7</v>
      </c>
      <c r="E125" s="8">
        <v>3</v>
      </c>
      <c r="F125" s="3">
        <f>SUM(B125:E125)</f>
        <v>-61</v>
      </c>
      <c r="G125" s="8">
        <v>-35</v>
      </c>
      <c r="H125" s="8">
        <v>-49</v>
      </c>
      <c r="I125" s="49">
        <f>'Segment - Treasury &amp; Corp'!I53</f>
        <v>-30</v>
      </c>
      <c r="J125" s="6" t="s">
        <v>419</v>
      </c>
      <c r="K125" s="2"/>
      <c r="L125" s="2"/>
      <c r="M125" s="2"/>
      <c r="N125" s="2"/>
      <c r="O125" s="2"/>
    </row>
    <row r="126">
      <c r="A126" s="16" t="s">
        <v>222</v>
      </c>
      <c r="B126" s="15">
        <f>B118+B125</f>
        <v>2836</v>
      </c>
      <c r="C126" s="15">
        <f>C118+C125</f>
        <v>2924</v>
      </c>
      <c r="D126" s="15">
        <f>D118+D125</f>
        <v>3078</v>
      </c>
      <c r="E126" s="15">
        <f>E118+E125</f>
        <v>3053</v>
      </c>
      <c r="F126" s="15">
        <f>F118+F125</f>
        <v>11891</v>
      </c>
      <c r="G126" s="15">
        <f>G118+G125</f>
        <v>2997</v>
      </c>
      <c r="H126" s="15">
        <f>H118+H125</f>
        <v>3325</v>
      </c>
      <c r="I126" s="38">
        <f>I118+I125</f>
        <v>3479.8200129998786</v>
      </c>
      <c r="J126" s="2"/>
      <c r="K126" s="2"/>
      <c r="L126" s="2"/>
      <c r="M126" s="2"/>
      <c r="N126" s="2"/>
      <c r="O126" s="2"/>
    </row>
    <row r="127">
      <c r="A127" s="19" t="s">
        <v>122</v>
      </c>
      <c r="B127" s="12" t="s">
        <v>37</v>
      </c>
      <c r="C127" s="12" t="s">
        <v>37</v>
      </c>
      <c r="D127" s="12" t="s">
        <v>37</v>
      </c>
      <c r="E127" s="12" t="s">
        <v>37</v>
      </c>
      <c r="F127" s="12" t="s">
        <v>37</v>
      </c>
      <c r="G127" s="12">
        <f>G126/B126-1</f>
        <v>0.056770098730606566</v>
      </c>
      <c r="H127" s="12">
        <f>H126/C126-1</f>
        <v>0.13714090287277703</v>
      </c>
      <c r="I127" s="35">
        <f>I126/D126-1</f>
        <v>0.13054581319034386</v>
      </c>
      <c r="J127" s="2"/>
      <c r="K127" s="2"/>
      <c r="L127" s="2"/>
      <c r="M127" s="2"/>
      <c r="N127" s="2"/>
      <c r="O127" s="2"/>
    </row>
    <row r="128">
      <c r="A128" s="19" t="s">
        <v>223</v>
      </c>
      <c r="B128" s="10">
        <v>2836</v>
      </c>
      <c r="C128" s="10">
        <v>2924</v>
      </c>
      <c r="D128" s="10">
        <v>3078</v>
      </c>
      <c r="E128" s="10">
        <v>3053</v>
      </c>
      <c r="F128" s="1">
        <f>SUM(B128:E128)</f>
        <v>11891</v>
      </c>
      <c r="G128" s="10">
        <v>2997</v>
      </c>
      <c r="H128" s="10">
        <v>3325</v>
      </c>
      <c r="I128" s="13" t="s">
        <v>37</v>
      </c>
      <c r="J128" s="2"/>
      <c r="K128" s="2"/>
      <c r="L128" s="2"/>
      <c r="M128" s="2"/>
      <c r="N128" s="2"/>
      <c r="O128" s="2"/>
    </row>
    <row r="129">
      <c r="A129" s="26" t="s">
        <v>413</v>
      </c>
      <c r="B129" s="1">
        <f>B126-B128</f>
        <v>0</v>
      </c>
      <c r="C129" s="1">
        <f>C126-C128</f>
        <v>0</v>
      </c>
      <c r="D129" s="1">
        <f>D126-D128</f>
        <v>0</v>
      </c>
      <c r="E129" s="1">
        <f>E126-E128</f>
        <v>0</v>
      </c>
      <c r="F129" s="1">
        <f>F126-F128</f>
        <v>0</v>
      </c>
      <c r="G129" s="1">
        <f>G126-G128</f>
        <v>0</v>
      </c>
      <c r="H129" s="1">
        <f>H126-H128</f>
        <v>0</v>
      </c>
      <c r="I129" s="2"/>
      <c r="J129" s="2"/>
      <c r="K129" s="2"/>
      <c r="L129" s="2"/>
      <c r="M129" s="2"/>
      <c r="N129" s="2"/>
      <c r="O129" s="2"/>
    </row>
    <row r="130">
      <c r="A130" s="16" t="s">
        <v>34</v>
      </c>
      <c r="B130" s="15">
        <f>B46+B126</f>
        <v>6958</v>
      </c>
      <c r="C130" s="15">
        <f>C46+C126</f>
        <v>7004</v>
      </c>
      <c r="D130" s="15">
        <f>D46+D126</f>
        <v>7329</v>
      </c>
      <c r="E130" s="15">
        <f>E46+E126</f>
        <v>7365</v>
      </c>
      <c r="F130" s="15">
        <f>F46+F126</f>
        <v>28656</v>
      </c>
      <c r="G130" s="15">
        <f>G46+G126</f>
        <v>7288</v>
      </c>
      <c r="H130" s="15">
        <f>H46+H126</f>
        <v>7712</v>
      </c>
      <c r="I130" s="38">
        <f>I46+I126</f>
        <v>7989.440411871112</v>
      </c>
      <c r="J130" s="6" t="s">
        <v>420</v>
      </c>
      <c r="K130" s="2"/>
      <c r="L130" s="2"/>
      <c r="M130" s="2"/>
      <c r="N130" s="2"/>
      <c r="O130" s="2"/>
    </row>
    <row r="131">
      <c r="A131" s="19" t="s">
        <v>97</v>
      </c>
      <c r="B131" s="12" t="s">
        <v>37</v>
      </c>
      <c r="C131" s="12" t="s">
        <v>37</v>
      </c>
      <c r="D131" s="12" t="s">
        <v>37</v>
      </c>
      <c r="E131" s="12" t="s">
        <v>37</v>
      </c>
      <c r="F131" s="12" t="s">
        <v>37</v>
      </c>
      <c r="G131" s="12">
        <f>G130/B130-1</f>
        <v>0.04742742167289449</v>
      </c>
      <c r="H131" s="12">
        <f>H130/C130-1</f>
        <v>0.10108509423186751</v>
      </c>
      <c r="I131" s="35">
        <f>I130/D130-1</f>
        <v>0.09011330493534064</v>
      </c>
      <c r="J131" s="2"/>
      <c r="K131" s="2"/>
      <c r="L131" s="2"/>
      <c r="M131" s="2"/>
      <c r="N131" s="2"/>
      <c r="O131" s="2"/>
    </row>
    <row r="132">
      <c r="A132" s="19" t="s">
        <v>98</v>
      </c>
      <c r="B132" s="12" t="s">
        <v>37</v>
      </c>
      <c r="C132" s="12" t="s">
        <v>37</v>
      </c>
      <c r="D132" s="12" t="s">
        <v>37</v>
      </c>
      <c r="E132" s="12" t="s">
        <v>37</v>
      </c>
      <c r="F132" s="12" t="s">
        <v>37</v>
      </c>
      <c r="G132" s="12">
        <f>G140/B130</f>
        <v>0</v>
      </c>
      <c r="H132" s="12">
        <f>H140/C130</f>
        <v>0.013992004568817818</v>
      </c>
      <c r="I132" s="35">
        <f>I140/D130</f>
        <v>0.03274662300450266</v>
      </c>
      <c r="J132" s="6" t="s">
        <v>99</v>
      </c>
      <c r="K132" s="2"/>
      <c r="L132" s="2"/>
      <c r="M132" s="2"/>
      <c r="N132" s="2"/>
      <c r="O132" s="2"/>
    </row>
    <row r="133">
      <c r="A133" s="19" t="s">
        <v>100</v>
      </c>
      <c r="B133" s="12" t="s">
        <v>37</v>
      </c>
      <c r="C133" s="12" t="s">
        <v>37</v>
      </c>
      <c r="D133" s="12" t="s">
        <v>37</v>
      </c>
      <c r="E133" s="12" t="s">
        <v>37</v>
      </c>
      <c r="F133" s="12" t="s">
        <v>37</v>
      </c>
      <c r="G133" s="12" t="s">
        <v>37</v>
      </c>
      <c r="H133" s="12" t="s">
        <v>37</v>
      </c>
      <c r="I133" s="35" t="s">
        <v>37</v>
      </c>
      <c r="J133" s="6" t="s">
        <v>101</v>
      </c>
      <c r="K133" s="2"/>
      <c r="L133" s="2"/>
      <c r="M133" s="2"/>
      <c r="N133" s="2"/>
      <c r="O133" s="2"/>
    </row>
    <row r="134">
      <c r="A134" s="19" t="s">
        <v>102</v>
      </c>
      <c r="B134" s="12" t="s">
        <v>37</v>
      </c>
      <c r="C134" s="12" t="s">
        <v>37</v>
      </c>
      <c r="D134" s="12" t="s">
        <v>37</v>
      </c>
      <c r="E134" s="12" t="s">
        <v>37</v>
      </c>
      <c r="F134" s="12" t="s">
        <v>37</v>
      </c>
      <c r="G134" s="12" t="str">
        <f>IF(ISNUMBER(G133),(1+G131)/((1+G132)*(1+G133))-1,"n/a")</f>
        <v>n/a</v>
      </c>
      <c r="H134" s="12" t="str">
        <f>IF(ISNUMBER(H133),(1+H131)/((1+H132)*(1+H133))-1,"n/a")</f>
        <v>n/a</v>
      </c>
      <c r="I134" s="35" t="str">
        <f>IF(ISNUMBER(I133),(1+I131)/((1+I132)*(1+I133))-1,"n/a")</f>
        <v>n/a</v>
      </c>
      <c r="J134" s="6" t="s">
        <v>103</v>
      </c>
      <c r="K134" s="2"/>
      <c r="L134" s="2"/>
      <c r="M134" s="2"/>
      <c r="N134" s="2"/>
      <c r="O134" s="2"/>
    </row>
    <row r="135">
      <c r="A135" s="19" t="s">
        <v>104</v>
      </c>
      <c r="B135" s="12" t="s">
        <v>37</v>
      </c>
      <c r="C135" s="12" t="s">
        <v>37</v>
      </c>
      <c r="D135" s="12" t="s">
        <v>37</v>
      </c>
      <c r="E135" s="12" t="s">
        <v>37</v>
      </c>
      <c r="F135" s="12" t="s">
        <v>37</v>
      </c>
      <c r="G135" s="12">
        <f>IF(ISNUMBER(G132),G131-G132,"n/a")</f>
        <v>0.04742742167289449</v>
      </c>
      <c r="H135" s="12">
        <f>IF(ISNUMBER(H132),H131-H132,"n/a")</f>
        <v>0.0870930896630497</v>
      </c>
      <c r="I135" s="35">
        <f>IF(ISNUMBER(I132),I131-I132,"n/a")</f>
        <v>0.057366681930837986</v>
      </c>
      <c r="J135" s="2"/>
      <c r="K135" s="2"/>
      <c r="L135" s="2"/>
      <c r="M135" s="2"/>
      <c r="N135" s="2"/>
      <c r="O135" s="2"/>
    </row>
    <row r="136">
      <c r="A136" s="19" t="s">
        <v>95</v>
      </c>
      <c r="B136" s="12" t="s">
        <v>37</v>
      </c>
      <c r="C136" s="12">
        <f>C130/B130-1</f>
        <v>0.006611095142282197</v>
      </c>
      <c r="D136" s="12">
        <f>D130/C130-1</f>
        <v>0.046402055968018274</v>
      </c>
      <c r="E136" s="12">
        <f>E130/D130-1</f>
        <v>0.004911993450675389</v>
      </c>
      <c r="F136" s="12" t="s">
        <v>37</v>
      </c>
      <c r="G136" s="12">
        <f>G130/E130-1</f>
        <v>-0.010454854039375405</v>
      </c>
      <c r="H136" s="12">
        <f>H130/G130-1</f>
        <v>0.05817782656421522</v>
      </c>
      <c r="I136" s="35">
        <f>I130/H130-1</f>
        <v>0.035975157140963665</v>
      </c>
      <c r="J136" s="2"/>
      <c r="K136" s="2"/>
      <c r="L136" s="2"/>
      <c r="M136" s="2"/>
      <c r="N136" s="2"/>
      <c r="O136" s="2"/>
    </row>
    <row r="137">
      <c r="A137" s="36" t="s">
        <v>421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>
      <c r="A138" s="62" t="s">
        <v>422</v>
      </c>
      <c r="B138" s="23">
        <f>'Segment - Payment Services'!B168</f>
        <v>0</v>
      </c>
      <c r="C138" s="23">
        <f>'Segment - Payment Services'!C168</f>
        <v>0</v>
      </c>
      <c r="D138" s="23">
        <f>'Segment - Payment Services'!D168</f>
        <v>0</v>
      </c>
      <c r="E138" s="23">
        <f>'Segment - Payment Services'!E168</f>
        <v>0</v>
      </c>
      <c r="F138" s="23">
        <f>'Segment - Payment Services'!F168</f>
        <v>0</v>
      </c>
      <c r="G138" s="23">
        <f>'Segment - Payment Services'!G168</f>
        <v>0</v>
      </c>
      <c r="H138" s="23">
        <f>'Segment - Payment Services'!H168</f>
        <v>0</v>
      </c>
      <c r="I138" s="49">
        <f>'Segment - Payment Services'!I168</f>
        <v>32</v>
      </c>
      <c r="J138" s="2"/>
      <c r="K138" s="2"/>
      <c r="L138" s="2"/>
      <c r="M138" s="2"/>
      <c r="N138" s="2"/>
      <c r="O138" s="2"/>
    </row>
    <row r="139">
      <c r="A139" s="62" t="s">
        <v>423</v>
      </c>
      <c r="B139" s="23">
        <f>'Segment - WCCIB'!B157+'Segment - Payment Services'!B169</f>
        <v>0</v>
      </c>
      <c r="C139" s="23">
        <f>'Segment - WCCIB'!C157+'Segment - Payment Services'!C169</f>
        <v>0</v>
      </c>
      <c r="D139" s="23">
        <f>'Segment - WCCIB'!D157+'Segment - Payment Services'!D169</f>
        <v>0</v>
      </c>
      <c r="E139" s="23">
        <f>'Segment - WCCIB'!E157+'Segment - Payment Services'!E169</f>
        <v>0</v>
      </c>
      <c r="F139" s="23">
        <f>'Segment - WCCIB'!F157+'Segment - Payment Services'!F169</f>
        <v>0</v>
      </c>
      <c r="G139" s="23">
        <f>'Segment - WCCIB'!G157+'Segment - Payment Services'!G169</f>
        <v>0</v>
      </c>
      <c r="H139" s="23">
        <f>'Segment - WCCIB'!H157+'Segment - Payment Services'!H169</f>
        <v>98</v>
      </c>
      <c r="I139" s="49">
        <f>'Segment - WCCIB'!I157+'Segment - Payment Services'!I169</f>
        <v>208</v>
      </c>
      <c r="J139" s="2"/>
      <c r="K139" s="2"/>
      <c r="L139" s="2"/>
      <c r="M139" s="2"/>
      <c r="N139" s="2"/>
      <c r="O139" s="2"/>
    </row>
    <row r="140">
      <c r="A140" s="73" t="s">
        <v>119</v>
      </c>
      <c r="B140" s="15">
        <f>B138+B139</f>
        <v>0</v>
      </c>
      <c r="C140" s="15">
        <f>C138+C139</f>
        <v>0</v>
      </c>
      <c r="D140" s="15">
        <f>D138+D139</f>
        <v>0</v>
      </c>
      <c r="E140" s="15">
        <f>E138+E139</f>
        <v>0</v>
      </c>
      <c r="F140" s="15">
        <f>F138+F139</f>
        <v>0</v>
      </c>
      <c r="G140" s="15">
        <f>G138+G139</f>
        <v>0</v>
      </c>
      <c r="H140" s="15">
        <f>H138+H139</f>
        <v>98</v>
      </c>
      <c r="I140" s="38">
        <f>I138+I139</f>
        <v>240</v>
      </c>
      <c r="J140" s="2"/>
      <c r="K140" s="2"/>
      <c r="L140" s="2"/>
      <c r="M140" s="2"/>
      <c r="N140" s="2"/>
      <c r="O140" s="2"/>
    </row>
    <row r="141">
      <c r="A141" s="61" t="s">
        <v>340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>
      <c r="A143" s="16" t="s">
        <v>424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>
      <c r="A144" s="36" t="s">
        <v>226</v>
      </c>
      <c r="B144" s="8">
        <v>2637</v>
      </c>
      <c r="C144" s="8">
        <v>2600</v>
      </c>
      <c r="D144" s="8">
        <v>2561</v>
      </c>
      <c r="E144" s="8">
        <v>2529</v>
      </c>
      <c r="F144" s="3">
        <f>SUM(B144:E144)</f>
        <v>10327</v>
      </c>
      <c r="G144" s="8">
        <v>2628</v>
      </c>
      <c r="H144" s="8">
        <v>2685</v>
      </c>
      <c r="I144" s="46">
        <f>H144*(1+I145)</f>
        <v>2744.07</v>
      </c>
      <c r="J144" s="6" t="s">
        <v>425</v>
      </c>
      <c r="K144" s="2"/>
      <c r="L144" s="2"/>
      <c r="M144" s="2"/>
      <c r="N144" s="2"/>
      <c r="O144" s="2"/>
    </row>
    <row r="145">
      <c r="A145" s="14" t="s">
        <v>95</v>
      </c>
      <c r="B145" s="12" t="s">
        <v>37</v>
      </c>
      <c r="C145" s="12">
        <f>C144/B144-1</f>
        <v>-0.01403109594235874</v>
      </c>
      <c r="D145" s="12">
        <f>D144/C144-1</f>
        <v>-0.015000000000000013</v>
      </c>
      <c r="E145" s="12">
        <f>E144/D144-1</f>
        <v>-0.012495119094103835</v>
      </c>
      <c r="F145" s="12" t="s">
        <v>37</v>
      </c>
      <c r="G145" s="12">
        <f>G144/E144-1</f>
        <v>0.039145907473309594</v>
      </c>
      <c r="H145" s="12">
        <f>H144/G144-1</f>
        <v>0.02168949771689488</v>
      </c>
      <c r="I145" s="60">
        <v>0.022</v>
      </c>
      <c r="J145" s="6" t="s">
        <v>138</v>
      </c>
      <c r="K145" s="2"/>
      <c r="L145" s="2"/>
      <c r="M145" s="2"/>
      <c r="N145" s="2"/>
      <c r="O145" s="2"/>
    </row>
    <row r="146">
      <c r="A146" s="14" t="s">
        <v>122</v>
      </c>
      <c r="B146" s="12" t="s">
        <v>37</v>
      </c>
      <c r="C146" s="12" t="s">
        <v>37</v>
      </c>
      <c r="D146" s="12" t="s">
        <v>37</v>
      </c>
      <c r="E146" s="12" t="s">
        <v>37</v>
      </c>
      <c r="F146" s="12" t="s">
        <v>37</v>
      </c>
      <c r="G146" s="12">
        <f>G144/B144-1</f>
        <v>-0.0034129692832765013</v>
      </c>
      <c r="H146" s="12">
        <f>H144/C144-1</f>
        <v>0.0326923076923078</v>
      </c>
      <c r="I146" s="35">
        <f>I144/D144-1</f>
        <v>0.071483795392425</v>
      </c>
      <c r="J146" s="2"/>
      <c r="K146" s="2"/>
      <c r="L146" s="2"/>
      <c r="M146" s="2"/>
      <c r="N146" s="2"/>
      <c r="O146" s="2"/>
    </row>
    <row r="147">
      <c r="A147" s="14" t="s">
        <v>110</v>
      </c>
      <c r="B147" s="1" t="s">
        <v>37</v>
      </c>
      <c r="C147" s="1">
        <f>IF(AND(ISNUMBER(C144),ISNUMBER(B144)),C144-B144,"n/a")</f>
        <v>-37</v>
      </c>
      <c r="D147" s="1">
        <f>IF(AND(ISNUMBER(D144),ISNUMBER(C144)),D144-C144,"n/a")</f>
        <v>-39</v>
      </c>
      <c r="E147" s="1">
        <f>IF(AND(ISNUMBER(E144),ISNUMBER(D144)),E144-D144,"n/a")</f>
        <v>-32</v>
      </c>
      <c r="F147" s="1" t="s">
        <v>37</v>
      </c>
      <c r="G147" s="1">
        <f>IF(AND(ISNUMBER(G144),ISNUMBER(E144)),G144-E144,"n/a")</f>
        <v>99</v>
      </c>
      <c r="H147" s="1">
        <f>IF(AND(ISNUMBER(H144),ISNUMBER(G144)),H144-G144,"n/a")</f>
        <v>57</v>
      </c>
      <c r="I147" s="13">
        <f>IF(AND(ISNUMBER(I144),ISNUMBER(H144)),I144-H144,"n/a")</f>
        <v>59.070000000000164</v>
      </c>
      <c r="J147" s="2"/>
      <c r="K147" s="2"/>
      <c r="L147" s="2"/>
      <c r="M147" s="2"/>
      <c r="N147" s="2"/>
      <c r="O147" s="2"/>
    </row>
    <row r="148">
      <c r="A148" s="36" t="s">
        <v>426</v>
      </c>
      <c r="B148" s="8">
        <v>306</v>
      </c>
      <c r="C148" s="8">
        <v>301</v>
      </c>
      <c r="D148" s="8">
        <v>300</v>
      </c>
      <c r="E148" s="8">
        <v>320</v>
      </c>
      <c r="F148" s="3">
        <f>SUM(B148:E148)</f>
        <v>1227</v>
      </c>
      <c r="G148" s="8">
        <v>304</v>
      </c>
      <c r="H148" s="8">
        <v>303</v>
      </c>
      <c r="I148" s="46">
        <f>H148*(1+I149)</f>
        <v>306.03000000000003</v>
      </c>
      <c r="J148" s="2"/>
      <c r="K148" s="2"/>
      <c r="L148" s="2"/>
      <c r="M148" s="2"/>
      <c r="N148" s="2"/>
      <c r="O148" s="2"/>
    </row>
    <row r="149">
      <c r="A149" s="14" t="s">
        <v>95</v>
      </c>
      <c r="B149" s="12" t="s">
        <v>37</v>
      </c>
      <c r="C149" s="12">
        <f>C148/B148-1</f>
        <v>-0.016339869281045805</v>
      </c>
      <c r="D149" s="12">
        <f>D148/C148-1</f>
        <v>-0.0033222591362126463</v>
      </c>
      <c r="E149" s="12">
        <f>E148/D148-1</f>
        <v>0.06666666666666665</v>
      </c>
      <c r="F149" s="12" t="s">
        <v>37</v>
      </c>
      <c r="G149" s="12">
        <f>G148/E148-1</f>
        <v>-0.050000000000000044</v>
      </c>
      <c r="H149" s="12">
        <f>H148/G148-1</f>
        <v>-0.003289473684210509</v>
      </c>
      <c r="I149" s="60">
        <v>0.01</v>
      </c>
      <c r="J149" s="6" t="s">
        <v>138</v>
      </c>
      <c r="K149" s="2"/>
      <c r="L149" s="2"/>
      <c r="M149" s="2"/>
      <c r="N149" s="2"/>
      <c r="O149" s="2"/>
    </row>
    <row r="150">
      <c r="A150" s="14" t="s">
        <v>122</v>
      </c>
      <c r="B150" s="12" t="s">
        <v>37</v>
      </c>
      <c r="C150" s="12" t="s">
        <v>37</v>
      </c>
      <c r="D150" s="12" t="s">
        <v>37</v>
      </c>
      <c r="E150" s="12" t="s">
        <v>37</v>
      </c>
      <c r="F150" s="12" t="s">
        <v>37</v>
      </c>
      <c r="G150" s="12">
        <f>G148/B148-1</f>
        <v>-0.006535947712418277</v>
      </c>
      <c r="H150" s="12">
        <f>H148/C148-1</f>
        <v>0.006644518272425293</v>
      </c>
      <c r="I150" s="35">
        <f>I148/D148-1</f>
        <v>0.020100000000000007</v>
      </c>
      <c r="J150" s="2"/>
      <c r="K150" s="2"/>
      <c r="L150" s="2"/>
      <c r="M150" s="2"/>
      <c r="N150" s="2"/>
      <c r="O150" s="2"/>
    </row>
    <row r="151">
      <c r="A151" s="14" t="s">
        <v>110</v>
      </c>
      <c r="B151" s="1" t="s">
        <v>37</v>
      </c>
      <c r="C151" s="1">
        <f>IF(AND(ISNUMBER(C148),ISNUMBER(B148)),C148-B148,"n/a")</f>
        <v>-5</v>
      </c>
      <c r="D151" s="1">
        <f>IF(AND(ISNUMBER(D148),ISNUMBER(C148)),D148-C148,"n/a")</f>
        <v>-1</v>
      </c>
      <c r="E151" s="1">
        <f>IF(AND(ISNUMBER(E148),ISNUMBER(D148)),E148-D148,"n/a")</f>
        <v>20</v>
      </c>
      <c r="F151" s="1" t="s">
        <v>37</v>
      </c>
      <c r="G151" s="1">
        <f>IF(AND(ISNUMBER(G148),ISNUMBER(E148)),G148-E148,"n/a")</f>
        <v>-16</v>
      </c>
      <c r="H151" s="1">
        <f>IF(AND(ISNUMBER(H148),ISNUMBER(G148)),H148-G148,"n/a")</f>
        <v>-1</v>
      </c>
      <c r="I151" s="13">
        <f>IF(AND(ISNUMBER(I148),ISNUMBER(H148)),I148-H148,"n/a")</f>
        <v>3.0300000000000296</v>
      </c>
      <c r="J151" s="2"/>
      <c r="K151" s="2"/>
      <c r="L151" s="2"/>
      <c r="M151" s="2"/>
      <c r="N151" s="2"/>
      <c r="O151" s="2"/>
    </row>
    <row r="152">
      <c r="A152" s="36" t="s">
        <v>427</v>
      </c>
      <c r="B152" s="8">
        <v>98</v>
      </c>
      <c r="C152" s="8">
        <v>109</v>
      </c>
      <c r="D152" s="8">
        <v>117</v>
      </c>
      <c r="E152" s="8">
        <v>144</v>
      </c>
      <c r="F152" s="3">
        <f>SUM(B152:E152)</f>
        <v>468</v>
      </c>
      <c r="G152" s="8">
        <v>92</v>
      </c>
      <c r="H152" s="8">
        <v>112</v>
      </c>
      <c r="I152" s="46">
        <f>H152*(1+I153)</f>
        <v>124.99200000000002</v>
      </c>
      <c r="J152" s="6" t="s">
        <v>428</v>
      </c>
      <c r="K152" s="2"/>
      <c r="L152" s="2"/>
      <c r="M152" s="2"/>
      <c r="N152" s="2"/>
      <c r="O152" s="2"/>
    </row>
    <row r="153">
      <c r="A153" s="14" t="s">
        <v>95</v>
      </c>
      <c r="B153" s="12" t="s">
        <v>37</v>
      </c>
      <c r="C153" s="12">
        <f>C152/B152-1</f>
        <v>0.11224489795918369</v>
      </c>
      <c r="D153" s="12">
        <f>D152/C152-1</f>
        <v>0.07339449541284404</v>
      </c>
      <c r="E153" s="12">
        <f>E152/D152-1</f>
        <v>0.23076923076923084</v>
      </c>
      <c r="F153" s="12" t="s">
        <v>37</v>
      </c>
      <c r="G153" s="12">
        <f>G152/E152-1</f>
        <v>-0.36111111111111116</v>
      </c>
      <c r="H153" s="12">
        <f>H152/G152-1</f>
        <v>0.21739130434782616</v>
      </c>
      <c r="I153" s="60">
        <v>0.116</v>
      </c>
      <c r="J153" s="6" t="s">
        <v>138</v>
      </c>
      <c r="K153" s="2"/>
      <c r="L153" s="2"/>
      <c r="M153" s="2"/>
      <c r="N153" s="2"/>
      <c r="O153" s="2"/>
    </row>
    <row r="154">
      <c r="A154" s="14" t="s">
        <v>122</v>
      </c>
      <c r="B154" s="12" t="s">
        <v>37</v>
      </c>
      <c r="C154" s="12" t="s">
        <v>37</v>
      </c>
      <c r="D154" s="12" t="s">
        <v>37</v>
      </c>
      <c r="E154" s="12" t="s">
        <v>37</v>
      </c>
      <c r="F154" s="12" t="s">
        <v>37</v>
      </c>
      <c r="G154" s="12">
        <f>G152/B152-1</f>
        <v>-0.061224489795918324</v>
      </c>
      <c r="H154" s="12">
        <f>H152/C152-1</f>
        <v>0.02752293577981657</v>
      </c>
      <c r="I154" s="35">
        <f>I152/D152-1</f>
        <v>0.0683076923076924</v>
      </c>
      <c r="J154" s="2"/>
      <c r="K154" s="2"/>
      <c r="L154" s="2"/>
      <c r="M154" s="2"/>
      <c r="N154" s="2"/>
      <c r="O154" s="2"/>
    </row>
    <row r="155">
      <c r="A155" s="14" t="s">
        <v>110</v>
      </c>
      <c r="B155" s="1" t="s">
        <v>37</v>
      </c>
      <c r="C155" s="1">
        <f>IF(AND(ISNUMBER(C152),ISNUMBER(B152)),C152-B152,"n/a")</f>
        <v>11</v>
      </c>
      <c r="D155" s="1">
        <f>IF(AND(ISNUMBER(D152),ISNUMBER(C152)),D152-C152,"n/a")</f>
        <v>8</v>
      </c>
      <c r="E155" s="1">
        <f>IF(AND(ISNUMBER(E152),ISNUMBER(D152)),E152-D152,"n/a")</f>
        <v>27</v>
      </c>
      <c r="F155" s="1" t="s">
        <v>37</v>
      </c>
      <c r="G155" s="1">
        <f>IF(AND(ISNUMBER(G152),ISNUMBER(E152)),G152-E152,"n/a")</f>
        <v>-52</v>
      </c>
      <c r="H155" s="1">
        <f>IF(AND(ISNUMBER(H152),ISNUMBER(G152)),H152-G152,"n/a")</f>
        <v>20</v>
      </c>
      <c r="I155" s="13">
        <f>IF(AND(ISNUMBER(I152),ISNUMBER(H152)),I152-H152,"n/a")</f>
        <v>12.992000000000019</v>
      </c>
      <c r="J155" s="2"/>
      <c r="K155" s="2"/>
      <c r="L155" s="2"/>
      <c r="M155" s="2"/>
      <c r="N155" s="2"/>
      <c r="O155" s="2"/>
    </row>
    <row r="156">
      <c r="A156" s="36" t="s">
        <v>429</v>
      </c>
      <c r="B156" s="8">
        <v>182</v>
      </c>
      <c r="C156" s="8">
        <v>161</v>
      </c>
      <c r="D156" s="8">
        <v>175</v>
      </c>
      <c r="E156" s="8">
        <v>187</v>
      </c>
      <c r="F156" s="3">
        <f>SUM(B156:E156)</f>
        <v>705</v>
      </c>
      <c r="G156" s="8">
        <v>217</v>
      </c>
      <c r="H156" s="8">
        <v>216</v>
      </c>
      <c r="I156" s="46">
        <f>H156*(1+I157)</f>
        <v>220.10399999999998</v>
      </c>
      <c r="J156" s="6" t="s">
        <v>430</v>
      </c>
      <c r="K156" s="2"/>
      <c r="L156" s="2"/>
      <c r="M156" s="2"/>
      <c r="N156" s="2"/>
      <c r="O156" s="2"/>
    </row>
    <row r="157">
      <c r="A157" s="14" t="s">
        <v>95</v>
      </c>
      <c r="B157" s="12" t="s">
        <v>37</v>
      </c>
      <c r="C157" s="12">
        <f>C156/B156-1</f>
        <v>-0.11538461538461542</v>
      </c>
      <c r="D157" s="12">
        <f>D156/C156-1</f>
        <v>0.08695652173913038</v>
      </c>
      <c r="E157" s="12">
        <f>E156/D156-1</f>
        <v>0.0685714285714285</v>
      </c>
      <c r="F157" s="12" t="s">
        <v>37</v>
      </c>
      <c r="G157" s="12">
        <f>G156/E156-1</f>
        <v>0.160427807486631</v>
      </c>
      <c r="H157" s="12">
        <f>H156/G156-1</f>
        <v>-0.004608294930875556</v>
      </c>
      <c r="I157" s="60">
        <v>0.019</v>
      </c>
      <c r="J157" s="6" t="s">
        <v>138</v>
      </c>
      <c r="K157" s="2"/>
      <c r="L157" s="2"/>
      <c r="M157" s="2"/>
      <c r="N157" s="2"/>
      <c r="O157" s="2"/>
    </row>
    <row r="158">
      <c r="A158" s="14" t="s">
        <v>122</v>
      </c>
      <c r="B158" s="12" t="s">
        <v>37</v>
      </c>
      <c r="C158" s="12" t="s">
        <v>37</v>
      </c>
      <c r="D158" s="12" t="s">
        <v>37</v>
      </c>
      <c r="E158" s="12" t="s">
        <v>37</v>
      </c>
      <c r="F158" s="12" t="s">
        <v>37</v>
      </c>
      <c r="G158" s="12">
        <f>G156/B156-1</f>
        <v>0.1923076923076923</v>
      </c>
      <c r="H158" s="12">
        <f>H156/C156-1</f>
        <v>0.3416149068322982</v>
      </c>
      <c r="I158" s="35">
        <f>I156/D156-1</f>
        <v>0.25773714285714266</v>
      </c>
      <c r="J158" s="2"/>
      <c r="K158" s="2"/>
      <c r="L158" s="2"/>
      <c r="M158" s="2"/>
      <c r="N158" s="2"/>
      <c r="O158" s="2"/>
    </row>
    <row r="159">
      <c r="A159" s="14" t="s">
        <v>110</v>
      </c>
      <c r="B159" s="1" t="s">
        <v>37</v>
      </c>
      <c r="C159" s="1">
        <f>IF(AND(ISNUMBER(C156),ISNUMBER(B156)),C156-B156,"n/a")</f>
        <v>-21</v>
      </c>
      <c r="D159" s="1">
        <f>IF(AND(ISNUMBER(D156),ISNUMBER(C156)),D156-C156,"n/a")</f>
        <v>14</v>
      </c>
      <c r="E159" s="1">
        <f>IF(AND(ISNUMBER(E156),ISNUMBER(D156)),E156-D156,"n/a")</f>
        <v>12</v>
      </c>
      <c r="F159" s="1" t="s">
        <v>37</v>
      </c>
      <c r="G159" s="1">
        <f>IF(AND(ISNUMBER(G156),ISNUMBER(E156)),G156-E156,"n/a")</f>
        <v>30</v>
      </c>
      <c r="H159" s="1">
        <f>IF(AND(ISNUMBER(H156),ISNUMBER(G156)),H156-G156,"n/a")</f>
        <v>-1</v>
      </c>
      <c r="I159" s="13">
        <f>IF(AND(ISNUMBER(I156),ISNUMBER(H156)),I156-H156,"n/a")</f>
        <v>4.103999999999985</v>
      </c>
      <c r="J159" s="2"/>
      <c r="K159" s="2"/>
      <c r="L159" s="2"/>
      <c r="M159" s="2"/>
      <c r="N159" s="2"/>
      <c r="O159" s="2"/>
    </row>
    <row r="160">
      <c r="A160" s="36" t="s">
        <v>431</v>
      </c>
      <c r="B160" s="8">
        <v>533</v>
      </c>
      <c r="C160" s="8">
        <v>534</v>
      </c>
      <c r="D160" s="8">
        <v>560</v>
      </c>
      <c r="E160" s="8">
        <v>584</v>
      </c>
      <c r="F160" s="3">
        <f>SUM(B160:E160)</f>
        <v>2211</v>
      </c>
      <c r="G160" s="8">
        <v>573</v>
      </c>
      <c r="H160" s="8">
        <v>601</v>
      </c>
      <c r="I160" s="46">
        <f>H160*(1+I161)</f>
        <v>610.015</v>
      </c>
      <c r="J160" s="2"/>
      <c r="K160" s="2"/>
      <c r="L160" s="2"/>
      <c r="M160" s="2"/>
      <c r="N160" s="2"/>
      <c r="O160" s="2"/>
    </row>
    <row r="161">
      <c r="A161" s="14" t="s">
        <v>95</v>
      </c>
      <c r="B161" s="12" t="s">
        <v>37</v>
      </c>
      <c r="C161" s="12">
        <f>C160/B160-1</f>
        <v>0.0018761726078799779</v>
      </c>
      <c r="D161" s="12">
        <f>D160/C160-1</f>
        <v>0.04868913857677892</v>
      </c>
      <c r="E161" s="12">
        <f>E160/D160-1</f>
        <v>0.04285714285714293</v>
      </c>
      <c r="F161" s="12" t="s">
        <v>37</v>
      </c>
      <c r="G161" s="12">
        <f>G160/E160-1</f>
        <v>-0.018835616438356184</v>
      </c>
      <c r="H161" s="12">
        <f>H160/G160-1</f>
        <v>0.048865619546247796</v>
      </c>
      <c r="I161" s="60">
        <v>0.015</v>
      </c>
      <c r="J161" s="6" t="s">
        <v>138</v>
      </c>
      <c r="K161" s="2"/>
      <c r="L161" s="2"/>
      <c r="M161" s="2"/>
      <c r="N161" s="2"/>
      <c r="O161" s="2"/>
    </row>
    <row r="162">
      <c r="A162" s="14" t="s">
        <v>122</v>
      </c>
      <c r="B162" s="12" t="s">
        <v>37</v>
      </c>
      <c r="C162" s="12" t="s">
        <v>37</v>
      </c>
      <c r="D162" s="12" t="s">
        <v>37</v>
      </c>
      <c r="E162" s="12" t="s">
        <v>37</v>
      </c>
      <c r="F162" s="12" t="s">
        <v>37</v>
      </c>
      <c r="G162" s="12">
        <f>G160/B160-1</f>
        <v>0.0750469043151969</v>
      </c>
      <c r="H162" s="12">
        <f>H160/C160-1</f>
        <v>0.12546816479400746</v>
      </c>
      <c r="I162" s="35">
        <f>I160/D160-1</f>
        <v>0.0893124999999999</v>
      </c>
      <c r="J162" s="2"/>
      <c r="K162" s="2"/>
      <c r="L162" s="2"/>
      <c r="M162" s="2"/>
      <c r="N162" s="2"/>
      <c r="O162" s="2"/>
    </row>
    <row r="163">
      <c r="A163" s="14" t="s">
        <v>110</v>
      </c>
      <c r="B163" s="1" t="s">
        <v>37</v>
      </c>
      <c r="C163" s="1">
        <f>IF(AND(ISNUMBER(C160),ISNUMBER(B160)),C160-B160,"n/a")</f>
        <v>1</v>
      </c>
      <c r="D163" s="1">
        <f>IF(AND(ISNUMBER(D160),ISNUMBER(C160)),D160-C160,"n/a")</f>
        <v>26</v>
      </c>
      <c r="E163" s="1">
        <f>IF(AND(ISNUMBER(E160),ISNUMBER(D160)),E160-D160,"n/a")</f>
        <v>24</v>
      </c>
      <c r="F163" s="1" t="s">
        <v>37</v>
      </c>
      <c r="G163" s="1">
        <f>IF(AND(ISNUMBER(G160),ISNUMBER(E160)),G160-E160,"n/a")</f>
        <v>-11</v>
      </c>
      <c r="H163" s="1">
        <f>IF(AND(ISNUMBER(H160),ISNUMBER(G160)),H160-G160,"n/a")</f>
        <v>28</v>
      </c>
      <c r="I163" s="13">
        <f>IF(AND(ISNUMBER(I160),ISNUMBER(H160)),I160-H160,"n/a")</f>
        <v>9.014999999999986</v>
      </c>
      <c r="J163" s="2"/>
      <c r="K163" s="2"/>
      <c r="L163" s="2"/>
      <c r="M163" s="2"/>
      <c r="N163" s="2"/>
      <c r="O163" s="2"/>
    </row>
    <row r="164">
      <c r="A164" s="36" t="s">
        <v>228</v>
      </c>
      <c r="B164" s="8">
        <v>123</v>
      </c>
      <c r="C164" s="8">
        <v>124</v>
      </c>
      <c r="D164" s="8">
        <v>125</v>
      </c>
      <c r="E164" s="8">
        <v>126</v>
      </c>
      <c r="F164" s="3">
        <f>SUM(B164:E164)</f>
        <v>498</v>
      </c>
      <c r="G164" s="8">
        <v>110</v>
      </c>
      <c r="H164" s="8">
        <v>114</v>
      </c>
      <c r="I164" s="46">
        <f>H164*(1+I165)</f>
        <v>117.99</v>
      </c>
      <c r="J164" s="6" t="s">
        <v>432</v>
      </c>
      <c r="K164" s="2"/>
      <c r="L164" s="2"/>
      <c r="M164" s="2"/>
      <c r="N164" s="2"/>
      <c r="O164" s="2"/>
    </row>
    <row r="165">
      <c r="A165" s="14" t="s">
        <v>95</v>
      </c>
      <c r="B165" s="12" t="s">
        <v>37</v>
      </c>
      <c r="C165" s="12">
        <f>C164/B164-1</f>
        <v>0.008130081300812941</v>
      </c>
      <c r="D165" s="12">
        <f>D164/C164-1</f>
        <v>0.008064516129032251</v>
      </c>
      <c r="E165" s="12">
        <f>E164/D164-1</f>
        <v>0.008000000000000007</v>
      </c>
      <c r="F165" s="12" t="s">
        <v>37</v>
      </c>
      <c r="G165" s="12">
        <f>G164/E164-1</f>
        <v>-0.12698412698412698</v>
      </c>
      <c r="H165" s="12">
        <f>H164/G164-1</f>
        <v>0.036363636363636376</v>
      </c>
      <c r="I165" s="60">
        <v>0.035</v>
      </c>
      <c r="J165" s="6" t="s">
        <v>138</v>
      </c>
      <c r="K165" s="2"/>
      <c r="L165" s="2"/>
      <c r="M165" s="2"/>
      <c r="N165" s="2"/>
      <c r="O165" s="2"/>
    </row>
    <row r="166">
      <c r="A166" s="14" t="s">
        <v>122</v>
      </c>
      <c r="B166" s="12" t="s">
        <v>37</v>
      </c>
      <c r="C166" s="12" t="s">
        <v>37</v>
      </c>
      <c r="D166" s="12" t="s">
        <v>37</v>
      </c>
      <c r="E166" s="12" t="s">
        <v>37</v>
      </c>
      <c r="F166" s="12" t="s">
        <v>37</v>
      </c>
      <c r="G166" s="12">
        <f>G164/B164-1</f>
        <v>-0.10569105691056913</v>
      </c>
      <c r="H166" s="12">
        <f>H164/C164-1</f>
        <v>-0.08064516129032262</v>
      </c>
      <c r="I166" s="35">
        <f>I164/D164-1</f>
        <v>-0.05608000000000002</v>
      </c>
      <c r="J166" s="2"/>
      <c r="K166" s="2"/>
      <c r="L166" s="2"/>
      <c r="M166" s="2"/>
      <c r="N166" s="2"/>
      <c r="O166" s="2"/>
    </row>
    <row r="167">
      <c r="A167" s="14" t="s">
        <v>110</v>
      </c>
      <c r="B167" s="1" t="s">
        <v>37</v>
      </c>
      <c r="C167" s="1">
        <f>IF(AND(ISNUMBER(C164),ISNUMBER(B164)),C164-B164,"n/a")</f>
        <v>1</v>
      </c>
      <c r="D167" s="1">
        <f>IF(AND(ISNUMBER(D164),ISNUMBER(C164)),D164-C164,"n/a")</f>
        <v>1</v>
      </c>
      <c r="E167" s="1">
        <f>IF(AND(ISNUMBER(E164),ISNUMBER(D164)),E164-D164,"n/a")</f>
        <v>1</v>
      </c>
      <c r="F167" s="1" t="s">
        <v>37</v>
      </c>
      <c r="G167" s="1">
        <f>IF(AND(ISNUMBER(G164),ISNUMBER(E164)),G164-E164,"n/a")</f>
        <v>-16</v>
      </c>
      <c r="H167" s="1">
        <f>IF(AND(ISNUMBER(H164),ISNUMBER(G164)),H164-G164,"n/a")</f>
        <v>4</v>
      </c>
      <c r="I167" s="13">
        <f>IF(AND(ISNUMBER(I164),ISNUMBER(H164)),I164-H164,"n/a")</f>
        <v>3.989999999999995</v>
      </c>
      <c r="J167" s="2"/>
      <c r="K167" s="2"/>
      <c r="L167" s="2"/>
      <c r="M167" s="2"/>
      <c r="N167" s="2"/>
      <c r="O167" s="2"/>
    </row>
    <row r="168">
      <c r="A168" s="36" t="s">
        <v>255</v>
      </c>
      <c r="B168" s="8">
        <v>353</v>
      </c>
      <c r="C168" s="8">
        <v>352</v>
      </c>
      <c r="D168" s="8">
        <v>359</v>
      </c>
      <c r="E168" s="8">
        <v>337</v>
      </c>
      <c r="F168" s="3">
        <f>SUM(B168:E168)</f>
        <v>1401</v>
      </c>
      <c r="G168" s="8">
        <v>341</v>
      </c>
      <c r="H168" s="8">
        <v>397</v>
      </c>
      <c r="I168" s="46">
        <f>H168*(1+I169)</f>
        <v>404.94</v>
      </c>
      <c r="J168" s="2"/>
      <c r="K168" s="2"/>
      <c r="L168" s="2"/>
      <c r="M168" s="2"/>
      <c r="N168" s="2"/>
      <c r="O168" s="2"/>
    </row>
    <row r="169">
      <c r="A169" s="14" t="s">
        <v>95</v>
      </c>
      <c r="B169" s="12" t="s">
        <v>37</v>
      </c>
      <c r="C169" s="12">
        <f>C168/B168-1</f>
        <v>-0.0028328611898017497</v>
      </c>
      <c r="D169" s="12">
        <f>D168/C168-1</f>
        <v>0.019886363636363535</v>
      </c>
      <c r="E169" s="12">
        <f>E168/D168-1</f>
        <v>-0.06128133704735372</v>
      </c>
      <c r="F169" s="12" t="s">
        <v>37</v>
      </c>
      <c r="G169" s="12">
        <f>G168/E168-1</f>
        <v>0.011869436201780381</v>
      </c>
      <c r="H169" s="12">
        <f>H168/G168-1</f>
        <v>0.16422287390029333</v>
      </c>
      <c r="I169" s="60">
        <v>0.02</v>
      </c>
      <c r="J169" s="6" t="s">
        <v>138</v>
      </c>
      <c r="K169" s="2"/>
      <c r="L169" s="2"/>
      <c r="M169" s="2"/>
      <c r="N169" s="2"/>
      <c r="O169" s="2"/>
    </row>
    <row r="170">
      <c r="A170" s="14" t="s">
        <v>122</v>
      </c>
      <c r="B170" s="12" t="s">
        <v>37</v>
      </c>
      <c r="C170" s="12" t="s">
        <v>37</v>
      </c>
      <c r="D170" s="12" t="s">
        <v>37</v>
      </c>
      <c r="E170" s="12" t="s">
        <v>37</v>
      </c>
      <c r="F170" s="12" t="s">
        <v>37</v>
      </c>
      <c r="G170" s="12">
        <f>G168/B168-1</f>
        <v>-0.03399433427762044</v>
      </c>
      <c r="H170" s="12">
        <f>H168/C168-1</f>
        <v>0.12784090909090917</v>
      </c>
      <c r="I170" s="35">
        <f>I168/D168-1</f>
        <v>0.12796657381615595</v>
      </c>
      <c r="J170" s="2"/>
      <c r="K170" s="2"/>
      <c r="L170" s="2"/>
      <c r="M170" s="2"/>
      <c r="N170" s="2"/>
      <c r="O170" s="2"/>
    </row>
    <row r="171">
      <c r="A171" s="14" t="s">
        <v>110</v>
      </c>
      <c r="B171" s="1" t="s">
        <v>37</v>
      </c>
      <c r="C171" s="1">
        <f>IF(AND(ISNUMBER(C168),ISNUMBER(B168)),C168-B168,"n/a")</f>
        <v>-1</v>
      </c>
      <c r="D171" s="1">
        <f>IF(AND(ISNUMBER(D168),ISNUMBER(C168)),D168-C168,"n/a")</f>
        <v>7</v>
      </c>
      <c r="E171" s="1">
        <f>IF(AND(ISNUMBER(E168),ISNUMBER(D168)),E168-D168,"n/a")</f>
        <v>-22</v>
      </c>
      <c r="F171" s="1" t="s">
        <v>37</v>
      </c>
      <c r="G171" s="1">
        <f>IF(AND(ISNUMBER(G168),ISNUMBER(E168)),G168-E168,"n/a")</f>
        <v>4</v>
      </c>
      <c r="H171" s="1">
        <f>IF(AND(ISNUMBER(H168),ISNUMBER(G168)),H168-G168,"n/a")</f>
        <v>56</v>
      </c>
      <c r="I171" s="13">
        <f>IF(AND(ISNUMBER(I168),ISNUMBER(H168)),I168-H168,"n/a")</f>
        <v>7.939999999999998</v>
      </c>
      <c r="J171" s="2"/>
      <c r="K171" s="2"/>
      <c r="L171" s="2"/>
      <c r="M171" s="2"/>
      <c r="N171" s="2"/>
      <c r="O171" s="2"/>
    </row>
    <row r="172">
      <c r="A172" s="16" t="s">
        <v>231</v>
      </c>
      <c r="B172" s="15">
        <f>B144+B148+B152+B156+B160+B164+B168</f>
        <v>4232</v>
      </c>
      <c r="C172" s="15">
        <f>C144+C148+C152+C156+C160+C164+C168</f>
        <v>4181</v>
      </c>
      <c r="D172" s="15">
        <f>D144+D148+D152+D156+D160+D164+D168</f>
        <v>4197</v>
      </c>
      <c r="E172" s="15">
        <f>E144+E148+E152+E156+E160+E164+E168</f>
        <v>4227</v>
      </c>
      <c r="F172" s="15">
        <f>F144+F148+F152+F156+F160+F164+F168</f>
        <v>16837</v>
      </c>
      <c r="G172" s="15">
        <f>G144+G148+G152+G156+G160+G164+G168</f>
        <v>4265</v>
      </c>
      <c r="H172" s="15">
        <f>H144+H148+H152+H156+H160+H164+H168</f>
        <v>4428</v>
      </c>
      <c r="I172" s="38">
        <f>I144+I148+I152+I156+I160+I164+I168</f>
        <v>4528.141</v>
      </c>
      <c r="J172" s="2" t="s">
        <v>433</v>
      </c>
      <c r="K172" s="2"/>
      <c r="L172" s="2"/>
      <c r="M172" s="2"/>
      <c r="N172" s="2"/>
      <c r="O172" s="2"/>
    </row>
    <row r="173">
      <c r="A173" s="19" t="s">
        <v>122</v>
      </c>
      <c r="B173" s="12" t="s">
        <v>37</v>
      </c>
      <c r="C173" s="12" t="s">
        <v>37</v>
      </c>
      <c r="D173" s="12" t="s">
        <v>37</v>
      </c>
      <c r="E173" s="12" t="s">
        <v>37</v>
      </c>
      <c r="F173" s="12" t="s">
        <v>37</v>
      </c>
      <c r="G173" s="12">
        <f>G172/B172-1</f>
        <v>0.007797731568998101</v>
      </c>
      <c r="H173" s="12">
        <f>H172/C172-1</f>
        <v>0.059076775890935185</v>
      </c>
      <c r="I173" s="35">
        <f>I172/D172-1</f>
        <v>0.07889945198951631</v>
      </c>
      <c r="J173" s="2"/>
      <c r="K173" s="2"/>
      <c r="L173" s="2"/>
      <c r="M173" s="2"/>
      <c r="N173" s="2"/>
      <c r="O173" s="2"/>
    </row>
    <row r="174">
      <c r="A174" s="19" t="s">
        <v>95</v>
      </c>
      <c r="B174" s="12" t="s">
        <v>37</v>
      </c>
      <c r="C174" s="12">
        <f>C172/B172-1</f>
        <v>-0.01205103969754251</v>
      </c>
      <c r="D174" s="12">
        <f>D172/C172-1</f>
        <v>0.003826835685242669</v>
      </c>
      <c r="E174" s="12">
        <f>E172/D172-1</f>
        <v>0.0071479628305932685</v>
      </c>
      <c r="F174" s="12" t="s">
        <v>37</v>
      </c>
      <c r="G174" s="12">
        <f>G172/E172-1</f>
        <v>0.008989827300686093</v>
      </c>
      <c r="H174" s="12">
        <f>H172/G172-1</f>
        <v>0.038218053927315365</v>
      </c>
      <c r="I174" s="35">
        <f>I172/H172-1</f>
        <v>0.022615401987353012</v>
      </c>
      <c r="J174" s="2"/>
      <c r="K174" s="2"/>
      <c r="L174" s="2"/>
      <c r="M174" s="2"/>
      <c r="N174" s="2"/>
      <c r="O174" s="2"/>
    </row>
    <row r="175">
      <c r="A175" s="19" t="s">
        <v>434</v>
      </c>
      <c r="B175" s="10">
        <v>4232</v>
      </c>
      <c r="C175" s="10">
        <v>4181</v>
      </c>
      <c r="D175" s="10">
        <v>4197</v>
      </c>
      <c r="E175" s="10">
        <v>4227</v>
      </c>
      <c r="F175" s="1">
        <f>SUM(B175:E175)</f>
        <v>16837</v>
      </c>
      <c r="G175" s="10">
        <v>4265</v>
      </c>
      <c r="H175" s="10">
        <v>4428</v>
      </c>
      <c r="I175" s="13" t="s">
        <v>37</v>
      </c>
      <c r="J175" s="2"/>
      <c r="K175" s="2"/>
      <c r="L175" s="2"/>
      <c r="M175" s="2"/>
      <c r="N175" s="2"/>
      <c r="O175" s="2"/>
    </row>
    <row r="176">
      <c r="A176" s="26" t="s">
        <v>413</v>
      </c>
      <c r="B176" s="1">
        <f>B172-B175</f>
        <v>0</v>
      </c>
      <c r="C176" s="1">
        <f>C172-C175</f>
        <v>0</v>
      </c>
      <c r="D176" s="1">
        <f>D172-D175</f>
        <v>0</v>
      </c>
      <c r="E176" s="1">
        <f>E172-E175</f>
        <v>0</v>
      </c>
      <c r="F176" s="1">
        <f>F172-F175</f>
        <v>0</v>
      </c>
      <c r="G176" s="1">
        <f>G172-G175</f>
        <v>0</v>
      </c>
      <c r="H176" s="1">
        <f>H172-H175</f>
        <v>0</v>
      </c>
      <c r="I176" s="2"/>
      <c r="J176" s="2"/>
      <c r="K176" s="2"/>
      <c r="L176" s="2"/>
      <c r="M176" s="2"/>
      <c r="N176" s="2"/>
      <c r="O176" s="2"/>
    </row>
    <row r="177">
      <c r="A177" s="16" t="s">
        <v>435</v>
      </c>
      <c r="B177" s="15">
        <f>B130-B172</f>
        <v>2726</v>
      </c>
      <c r="C177" s="15">
        <f>C130-C172</f>
        <v>2823</v>
      </c>
      <c r="D177" s="15">
        <f>D130-D172</f>
        <v>3132</v>
      </c>
      <c r="E177" s="15">
        <f>E130-E172</f>
        <v>3138</v>
      </c>
      <c r="F177" s="15">
        <f>F130-F172</f>
        <v>11819</v>
      </c>
      <c r="G177" s="15">
        <f>G130-G172</f>
        <v>3023</v>
      </c>
      <c r="H177" s="15">
        <f>H130-H172</f>
        <v>3284</v>
      </c>
      <c r="I177" s="38">
        <f>I130-I172</f>
        <v>3461.299411871112</v>
      </c>
      <c r="J177" s="2"/>
      <c r="K177" s="2"/>
      <c r="L177" s="2"/>
      <c r="M177" s="2"/>
      <c r="N177" s="2"/>
      <c r="O177" s="2"/>
    </row>
    <row r="178">
      <c r="A178" s="19" t="s">
        <v>122</v>
      </c>
      <c r="B178" s="12" t="s">
        <v>37</v>
      </c>
      <c r="C178" s="12" t="s">
        <v>37</v>
      </c>
      <c r="D178" s="12" t="s">
        <v>37</v>
      </c>
      <c r="E178" s="12" t="s">
        <v>37</v>
      </c>
      <c r="F178" s="12" t="s">
        <v>37</v>
      </c>
      <c r="G178" s="12">
        <f>G177/B177-1</f>
        <v>0.10895084372707253</v>
      </c>
      <c r="H178" s="12">
        <f>H177/C177-1</f>
        <v>0.16330145235564997</v>
      </c>
      <c r="I178" s="35">
        <f>I177/D177-1</f>
        <v>0.10514029753228349</v>
      </c>
      <c r="J178" s="2"/>
      <c r="K178" s="2"/>
      <c r="L178" s="2"/>
      <c r="M178" s="2"/>
      <c r="N178" s="2"/>
      <c r="O178" s="2"/>
    </row>
    <row r="179">
      <c r="A179" s="6" t="s">
        <v>243</v>
      </c>
      <c r="B179" s="8">
        <v>537</v>
      </c>
      <c r="C179" s="8">
        <v>501</v>
      </c>
      <c r="D179" s="8">
        <v>571</v>
      </c>
      <c r="E179" s="8">
        <v>577</v>
      </c>
      <c r="F179" s="3">
        <f>SUM(B179:E179)</f>
        <v>2186</v>
      </c>
      <c r="G179" s="8">
        <v>576</v>
      </c>
      <c r="H179" s="8">
        <v>538</v>
      </c>
      <c r="I179" s="49">
        <f>'Segment - WCCIB'!I251+'Segment - Consumer &amp; Business'!I268+'Segment - Payment Services'!I220+'Segment - Treasury &amp; Corp'!I86</f>
        <v>741.6114442520549</v>
      </c>
      <c r="J179" s="6" t="s">
        <v>436</v>
      </c>
      <c r="K179" s="2"/>
      <c r="L179" s="2"/>
      <c r="M179" s="2"/>
      <c r="N179" s="2"/>
      <c r="O179" s="2"/>
    </row>
    <row r="180">
      <c r="A180" s="19" t="s">
        <v>122</v>
      </c>
      <c r="B180" s="12" t="s">
        <v>37</v>
      </c>
      <c r="C180" s="12" t="s">
        <v>37</v>
      </c>
      <c r="D180" s="12" t="s">
        <v>37</v>
      </c>
      <c r="E180" s="12" t="s">
        <v>37</v>
      </c>
      <c r="F180" s="12" t="s">
        <v>37</v>
      </c>
      <c r="G180" s="12">
        <f>G179/B179-1</f>
        <v>0.07262569832402233</v>
      </c>
      <c r="H180" s="12">
        <f>H179/C179-1</f>
        <v>0.07385229540918159</v>
      </c>
      <c r="I180" s="35">
        <f>I179/D179-1</f>
        <v>0.29879412303337105</v>
      </c>
      <c r="J180" s="2"/>
      <c r="K180" s="2"/>
      <c r="L180" s="2"/>
      <c r="M180" s="2"/>
      <c r="N180" s="2"/>
      <c r="O180" s="2"/>
    </row>
    <row r="181">
      <c r="A181" s="19" t="s">
        <v>110</v>
      </c>
      <c r="B181" s="1" t="s">
        <v>37</v>
      </c>
      <c r="C181" s="1">
        <f>IF(AND(ISNUMBER(C179),ISNUMBER(B179)),C179-B179,"n/a")</f>
        <v>-36</v>
      </c>
      <c r="D181" s="1">
        <f>IF(AND(ISNUMBER(D179),ISNUMBER(C179)),D179-C179,"n/a")</f>
        <v>70</v>
      </c>
      <c r="E181" s="1">
        <f>IF(AND(ISNUMBER(E179),ISNUMBER(D179)),E179-D179,"n/a")</f>
        <v>6</v>
      </c>
      <c r="F181" s="1" t="s">
        <v>37</v>
      </c>
      <c r="G181" s="1">
        <f>IF(AND(ISNUMBER(G179),ISNUMBER(E179)),G179-E179,"n/a")</f>
        <v>-1</v>
      </c>
      <c r="H181" s="1">
        <f>IF(AND(ISNUMBER(H179),ISNUMBER(G179)),H179-G179,"n/a")</f>
        <v>-38</v>
      </c>
      <c r="I181" s="13">
        <f>IF(AND(ISNUMBER(I179),ISNUMBER(H179)),I179-H179,"n/a")</f>
        <v>203.61144425205487</v>
      </c>
      <c r="J181" s="2"/>
      <c r="K181" s="2"/>
      <c r="L181" s="2"/>
      <c r="M181" s="2"/>
      <c r="N181" s="2"/>
      <c r="O181" s="2"/>
    </row>
    <row r="182">
      <c r="A182" s="16" t="s">
        <v>437</v>
      </c>
      <c r="B182" s="15">
        <f>B40+B126-B172-B179</f>
        <v>2159</v>
      </c>
      <c r="C182" s="15">
        <f>C40+C126-C172-C179</f>
        <v>2293</v>
      </c>
      <c r="D182" s="15">
        <f>D40+D126-D172-D179</f>
        <v>2532</v>
      </c>
      <c r="E182" s="15">
        <f>E40+E126-E172-E179</f>
        <v>2533</v>
      </c>
      <c r="F182" s="15">
        <f>F40+F126-F172-F179</f>
        <v>9517</v>
      </c>
      <c r="G182" s="15">
        <f>G40+G126-G172-G179</f>
        <v>2419</v>
      </c>
      <c r="H182" s="15">
        <f>H40+H126-H172-H179</f>
        <v>2720</v>
      </c>
      <c r="I182" s="38">
        <f>I40+I126-I172-I179</f>
        <v>2693.6879676190574</v>
      </c>
      <c r="J182" s="2"/>
      <c r="K182" s="2"/>
      <c r="L182" s="2"/>
      <c r="M182" s="2"/>
      <c r="N182" s="2"/>
      <c r="O182" s="2"/>
    </row>
    <row r="183">
      <c r="A183" s="19" t="s">
        <v>122</v>
      </c>
      <c r="B183" s="12" t="s">
        <v>37</v>
      </c>
      <c r="C183" s="12" t="s">
        <v>37</v>
      </c>
      <c r="D183" s="12" t="s">
        <v>37</v>
      </c>
      <c r="E183" s="12" t="s">
        <v>37</v>
      </c>
      <c r="F183" s="12" t="s">
        <v>37</v>
      </c>
      <c r="G183" s="12">
        <f>G182/B182-1</f>
        <v>0.12042612320518753</v>
      </c>
      <c r="H183" s="12">
        <f>H182/C182-1</f>
        <v>0.18621892716964683</v>
      </c>
      <c r="I183" s="35">
        <f>I182/D182-1</f>
        <v>0.06385780711653144</v>
      </c>
      <c r="J183" s="2"/>
      <c r="K183" s="2"/>
      <c r="L183" s="2"/>
      <c r="M183" s="2"/>
      <c r="N183" s="2"/>
      <c r="O183" s="2"/>
    </row>
    <row r="184">
      <c r="A184" s="19" t="s">
        <v>95</v>
      </c>
      <c r="B184" s="12" t="s">
        <v>37</v>
      </c>
      <c r="C184" s="12">
        <f>C182/B182-1</f>
        <v>0.062065771190365826</v>
      </c>
      <c r="D184" s="12">
        <f>D182/C182-1</f>
        <v>0.10423026602703889</v>
      </c>
      <c r="E184" s="12">
        <f>E182/D182-1</f>
        <v>0.0003949447077409296</v>
      </c>
      <c r="F184" s="12" t="s">
        <v>37</v>
      </c>
      <c r="G184" s="12">
        <f>G182/E182-1</f>
        <v>-0.04500592183181995</v>
      </c>
      <c r="H184" s="12">
        <f>H182/G182-1</f>
        <v>0.12443158329888382</v>
      </c>
      <c r="I184" s="35">
        <f>I182/H182-1</f>
        <v>-0.009673541316522982</v>
      </c>
      <c r="J184" s="2"/>
      <c r="K184" s="2"/>
      <c r="L184" s="2"/>
      <c r="M184" s="2"/>
      <c r="N184" s="2"/>
      <c r="O184" s="2"/>
    </row>
    <row r="185">
      <c r="A185" s="19" t="s">
        <v>438</v>
      </c>
      <c r="B185" s="10">
        <v>2159</v>
      </c>
      <c r="C185" s="10">
        <v>2293</v>
      </c>
      <c r="D185" s="10">
        <v>2532</v>
      </c>
      <c r="E185" s="10">
        <v>2533</v>
      </c>
      <c r="F185" s="1">
        <f>SUM(B185:E185)</f>
        <v>9517</v>
      </c>
      <c r="G185" s="10">
        <v>2419</v>
      </c>
      <c r="H185" s="10">
        <v>2720</v>
      </c>
      <c r="I185" s="13" t="s">
        <v>37</v>
      </c>
      <c r="J185" s="2"/>
      <c r="K185" s="2"/>
      <c r="L185" s="2"/>
      <c r="M185" s="2"/>
      <c r="N185" s="2"/>
      <c r="O185" s="2"/>
    </row>
    <row r="186">
      <c r="A186" s="26" t="s">
        <v>413</v>
      </c>
      <c r="B186" s="1">
        <f>B182-B185</f>
        <v>0</v>
      </c>
      <c r="C186" s="1">
        <f>C182-C185</f>
        <v>0</v>
      </c>
      <c r="D186" s="1">
        <f>D182-D185</f>
        <v>0</v>
      </c>
      <c r="E186" s="1">
        <f>E182-E185</f>
        <v>0</v>
      </c>
      <c r="F186" s="1">
        <f>F182-F185</f>
        <v>0</v>
      </c>
      <c r="G186" s="1">
        <f>G182-G185</f>
        <v>0</v>
      </c>
      <c r="H186" s="1">
        <f>H182-H185</f>
        <v>0</v>
      </c>
      <c r="I186" s="2"/>
      <c r="J186" s="2"/>
      <c r="K186" s="2"/>
      <c r="L186" s="2"/>
      <c r="M186" s="2"/>
      <c r="N186" s="2"/>
      <c r="O186" s="2"/>
    </row>
    <row r="187">
      <c r="A187" s="36" t="s">
        <v>439</v>
      </c>
      <c r="B187" s="8">
        <v>443</v>
      </c>
      <c r="C187" s="8">
        <v>472</v>
      </c>
      <c r="D187" s="8">
        <v>524</v>
      </c>
      <c r="E187" s="8">
        <v>482</v>
      </c>
      <c r="F187" s="3">
        <f>SUM(B187:E187)</f>
        <v>1921</v>
      </c>
      <c r="G187" s="8">
        <v>469</v>
      </c>
      <c r="H187" s="8">
        <v>537</v>
      </c>
      <c r="I187" s="46">
        <f>I182*I188</f>
        <v>538.7375935238115</v>
      </c>
      <c r="J187" s="2"/>
      <c r="K187" s="2"/>
      <c r="L187" s="2"/>
      <c r="M187" s="2"/>
      <c r="N187" s="2"/>
      <c r="O187" s="2"/>
    </row>
    <row r="188">
      <c r="A188" s="14" t="s">
        <v>440</v>
      </c>
      <c r="B188" s="12">
        <f>B187/B182</f>
        <v>0.20518758684576194</v>
      </c>
      <c r="C188" s="12">
        <f>C187/C182</f>
        <v>0.20584387265590928</v>
      </c>
      <c r="D188" s="12">
        <f>D187/D182</f>
        <v>0.20695102685624012</v>
      </c>
      <c r="E188" s="12">
        <f>E187/E182</f>
        <v>0.19028819581523884</v>
      </c>
      <c r="F188" s="12">
        <f>F187/F182</f>
        <v>0.20184932226541977</v>
      </c>
      <c r="G188" s="12">
        <f>G187/G182</f>
        <v>0.19388176932616782</v>
      </c>
      <c r="H188" s="12">
        <f>H187/H182</f>
        <v>0.1974264705882353</v>
      </c>
      <c r="I188" s="60">
        <v>0.2</v>
      </c>
      <c r="J188" s="6" t="s">
        <v>441</v>
      </c>
      <c r="K188" s="2"/>
      <c r="L188" s="2"/>
      <c r="M188" s="2"/>
      <c r="N188" s="2"/>
      <c r="O188" s="2"/>
    </row>
    <row r="189">
      <c r="A189" s="61" t="s">
        <v>144</v>
      </c>
      <c r="B189" s="5" t="s">
        <v>37</v>
      </c>
      <c r="C189" s="5">
        <f>IF(AND(ISNUMBER(C188),ISNUMBER(B188)),(C188-B188)*10000,"n/a")</f>
        <v>6.562858101473445</v>
      </c>
      <c r="D189" s="5">
        <f>IF(AND(ISNUMBER(D188),ISNUMBER(C188)),(D188-C188)*10000,"n/a")</f>
        <v>11.071542003308343</v>
      </c>
      <c r="E189" s="5">
        <f>IF(AND(ISNUMBER(E188),ISNUMBER(D188)),(E188-D188)*10000,"n/a")</f>
        <v>-166.62831041001274</v>
      </c>
      <c r="F189" s="5" t="s">
        <v>37</v>
      </c>
      <c r="G189" s="5">
        <f>IF(AND(ISNUMBER(G188),ISNUMBER(E188)),(G188-E188)*10000,"n/a")</f>
        <v>35.93573510928982</v>
      </c>
      <c r="H189" s="5">
        <f>IF(AND(ISNUMBER(H188),ISNUMBER(G188)),(H188-G188)*10000,"n/a")</f>
        <v>35.44701262067462</v>
      </c>
      <c r="I189" s="45">
        <f>IF(AND(ISNUMBER(I188),ISNUMBER(H188)),(I188-H188)*10000,"n/a")</f>
        <v>25.735294117647246</v>
      </c>
      <c r="J189" s="2"/>
      <c r="K189" s="2"/>
      <c r="L189" s="2"/>
      <c r="M189" s="2"/>
      <c r="N189" s="2"/>
      <c r="O189" s="2"/>
    </row>
    <row r="190">
      <c r="A190" s="61" t="s">
        <v>145</v>
      </c>
      <c r="B190" s="5" t="s">
        <v>37</v>
      </c>
      <c r="C190" s="5" t="s">
        <v>37</v>
      </c>
      <c r="D190" s="5" t="s">
        <v>37</v>
      </c>
      <c r="E190" s="5" t="s">
        <v>37</v>
      </c>
      <c r="F190" s="5" t="s">
        <v>37</v>
      </c>
      <c r="G190" s="5">
        <f>IF(AND(ISNUMBER(G188),ISNUMBER(B188)),(G188-B188)*10000,"n/a")</f>
        <v>-113.05817519594113</v>
      </c>
      <c r="H190" s="5">
        <f>IF(AND(ISNUMBER(H188),ISNUMBER(C188)),(H188-C188)*10000,"n/a")</f>
        <v>-84.17402067673996</v>
      </c>
      <c r="I190" s="45">
        <f>IF(AND(ISNUMBER(I188),ISNUMBER(D188)),(I188-D188)*10000,"n/a")</f>
        <v>-69.51026856240105</v>
      </c>
      <c r="J190" s="2"/>
      <c r="K190" s="2"/>
      <c r="L190" s="2"/>
      <c r="M190" s="2"/>
      <c r="N190" s="2"/>
      <c r="O190" s="2"/>
    </row>
    <row r="191">
      <c r="A191" s="16" t="s">
        <v>442</v>
      </c>
      <c r="B191" s="15">
        <f>B182-B187</f>
        <v>1716</v>
      </c>
      <c r="C191" s="15">
        <f>C182-C187</f>
        <v>1821</v>
      </c>
      <c r="D191" s="15">
        <f>D182-D187</f>
        <v>2008</v>
      </c>
      <c r="E191" s="15">
        <f>E182-E187</f>
        <v>2051</v>
      </c>
      <c r="F191" s="15">
        <f>F182-F187</f>
        <v>7596</v>
      </c>
      <c r="G191" s="15">
        <f>G182-G187</f>
        <v>1950</v>
      </c>
      <c r="H191" s="15">
        <f>H182-H187</f>
        <v>2183</v>
      </c>
      <c r="I191" s="38">
        <f>I182-I187</f>
        <v>2154.950374095246</v>
      </c>
      <c r="J191" s="2"/>
      <c r="K191" s="2"/>
      <c r="L191" s="2"/>
      <c r="M191" s="2"/>
      <c r="N191" s="2"/>
      <c r="O191" s="2"/>
    </row>
    <row r="192">
      <c r="A192" s="36" t="s">
        <v>384</v>
      </c>
      <c r="B192" s="8">
        <v>-7</v>
      </c>
      <c r="C192" s="8">
        <v>-6</v>
      </c>
      <c r="D192" s="8">
        <v>-7</v>
      </c>
      <c r="E192" s="8">
        <v>-6</v>
      </c>
      <c r="F192" s="3">
        <f>SUM(B192:E192)</f>
        <v>-26</v>
      </c>
      <c r="G192" s="8">
        <v>-5</v>
      </c>
      <c r="H192" s="8">
        <v>-6</v>
      </c>
      <c r="I192" s="32">
        <v>-6</v>
      </c>
      <c r="J192" s="2"/>
      <c r="K192" s="2"/>
      <c r="L192" s="2"/>
      <c r="M192" s="2"/>
      <c r="N192" s="2"/>
      <c r="O192" s="2"/>
    </row>
    <row r="193">
      <c r="A193" s="14" t="s">
        <v>242</v>
      </c>
      <c r="B193" s="1" t="s">
        <v>37</v>
      </c>
      <c r="C193" s="1" t="s">
        <v>37</v>
      </c>
      <c r="D193" s="1" t="s">
        <v>37</v>
      </c>
      <c r="E193" s="1" t="s">
        <v>37</v>
      </c>
      <c r="F193" s="1" t="s">
        <v>37</v>
      </c>
      <c r="G193" s="1">
        <f>IF(AND(ISNUMBER(G192),ISNUMBER(B192)),G192-B192,"n/a")</f>
        <v>2</v>
      </c>
      <c r="H193" s="1">
        <f>IF(AND(ISNUMBER(H192),ISNUMBER(C192)),H192-C192,"n/a")</f>
        <v>0</v>
      </c>
      <c r="I193" s="13">
        <f>IF(AND(ISNUMBER(I192),ISNUMBER(D192)),I192-D192,"n/a")</f>
        <v>1</v>
      </c>
      <c r="J193" s="2"/>
      <c r="K193" s="2"/>
      <c r="L193" s="2"/>
      <c r="M193" s="2"/>
      <c r="N193" s="2"/>
      <c r="O193" s="2"/>
    </row>
    <row r="194">
      <c r="A194" s="14" t="s">
        <v>110</v>
      </c>
      <c r="B194" s="1" t="s">
        <v>37</v>
      </c>
      <c r="C194" s="1">
        <f>IF(AND(ISNUMBER(C192),ISNUMBER(B192)),C192-B192,"n/a")</f>
        <v>1</v>
      </c>
      <c r="D194" s="1">
        <f>IF(AND(ISNUMBER(D192),ISNUMBER(C192)),D192-C192,"n/a")</f>
        <v>-1</v>
      </c>
      <c r="E194" s="1">
        <f>IF(AND(ISNUMBER(E192),ISNUMBER(D192)),E192-D192,"n/a")</f>
        <v>1</v>
      </c>
      <c r="F194" s="1" t="s">
        <v>37</v>
      </c>
      <c r="G194" s="1">
        <f>IF(AND(ISNUMBER(G192),ISNUMBER(E192)),G192-E192,"n/a")</f>
        <v>1</v>
      </c>
      <c r="H194" s="1">
        <f>IF(AND(ISNUMBER(H192),ISNUMBER(G192)),H192-G192,"n/a")</f>
        <v>-1</v>
      </c>
      <c r="I194" s="13">
        <f>IF(AND(ISNUMBER(I192),ISNUMBER(H192)),I192-H192,"n/a")</f>
        <v>0</v>
      </c>
      <c r="J194" s="2"/>
      <c r="K194" s="2"/>
      <c r="L194" s="2"/>
      <c r="M194" s="2"/>
      <c r="N194" s="2"/>
      <c r="O194" s="2"/>
    </row>
    <row r="195">
      <c r="A195" s="16" t="s">
        <v>247</v>
      </c>
      <c r="B195" s="15">
        <f>B191+B192</f>
        <v>1709</v>
      </c>
      <c r="C195" s="15">
        <f>C191+C192</f>
        <v>1815</v>
      </c>
      <c r="D195" s="15">
        <f>D191+D192</f>
        <v>2001</v>
      </c>
      <c r="E195" s="15">
        <f>E191+E192</f>
        <v>2045</v>
      </c>
      <c r="F195" s="15">
        <f>F191+F192</f>
        <v>7570</v>
      </c>
      <c r="G195" s="15">
        <f>G191+G192</f>
        <v>1945</v>
      </c>
      <c r="H195" s="15">
        <f>H191+H192</f>
        <v>2177</v>
      </c>
      <c r="I195" s="38">
        <f>I191+I192</f>
        <v>2148.950374095246</v>
      </c>
      <c r="J195" s="2"/>
      <c r="K195" s="2"/>
      <c r="L195" s="2"/>
      <c r="M195" s="2"/>
      <c r="N195" s="2"/>
      <c r="O195" s="2"/>
    </row>
    <row r="196">
      <c r="A196" s="19" t="s">
        <v>122</v>
      </c>
      <c r="B196" s="12" t="s">
        <v>37</v>
      </c>
      <c r="C196" s="12" t="s">
        <v>37</v>
      </c>
      <c r="D196" s="12" t="s">
        <v>37</v>
      </c>
      <c r="E196" s="12" t="s">
        <v>37</v>
      </c>
      <c r="F196" s="12" t="s">
        <v>37</v>
      </c>
      <c r="G196" s="12">
        <f>G195/B195-1</f>
        <v>0.1380924517261557</v>
      </c>
      <c r="H196" s="12">
        <f>H195/C195-1</f>
        <v>0.19944903581267215</v>
      </c>
      <c r="I196" s="35">
        <f>I195/D195-1</f>
        <v>0.07393821793865363</v>
      </c>
      <c r="J196" s="2"/>
      <c r="K196" s="2"/>
      <c r="L196" s="2"/>
      <c r="M196" s="2"/>
      <c r="N196" s="2"/>
      <c r="O196" s="2"/>
    </row>
    <row r="197">
      <c r="A197" s="19" t="s">
        <v>95</v>
      </c>
      <c r="B197" s="12" t="s">
        <v>37</v>
      </c>
      <c r="C197" s="12">
        <f>C195/B195-1</f>
        <v>0.06202457577530729</v>
      </c>
      <c r="D197" s="12">
        <f>D195/C195-1</f>
        <v>0.10247933884297522</v>
      </c>
      <c r="E197" s="12">
        <f>E195/D195-1</f>
        <v>0.021989005497251357</v>
      </c>
      <c r="F197" s="12" t="s">
        <v>37</v>
      </c>
      <c r="G197" s="12">
        <f>G195/E195-1</f>
        <v>-0.0488997555012225</v>
      </c>
      <c r="H197" s="12">
        <f>H195/G195-1</f>
        <v>0.11928020565552688</v>
      </c>
      <c r="I197" s="35">
        <f>I195/H195-1</f>
        <v>-0.012884531880915984</v>
      </c>
      <c r="J197" s="2"/>
      <c r="K197" s="2"/>
      <c r="L197" s="2"/>
      <c r="M197" s="2"/>
      <c r="N197" s="2"/>
      <c r="O197" s="2"/>
    </row>
    <row r="198">
      <c r="A198" s="19" t="s">
        <v>443</v>
      </c>
      <c r="B198" s="10">
        <v>1709</v>
      </c>
      <c r="C198" s="10">
        <v>1815</v>
      </c>
      <c r="D198" s="10">
        <v>2001</v>
      </c>
      <c r="E198" s="10">
        <v>2045</v>
      </c>
      <c r="F198" s="1">
        <f>SUM(B198:E198)</f>
        <v>7570</v>
      </c>
      <c r="G198" s="10">
        <v>1945</v>
      </c>
      <c r="H198" s="10">
        <v>2177</v>
      </c>
      <c r="I198" s="13" t="s">
        <v>37</v>
      </c>
      <c r="J198" s="2"/>
      <c r="K198" s="2"/>
      <c r="L198" s="2"/>
      <c r="M198" s="2"/>
      <c r="N198" s="2"/>
      <c r="O198" s="2"/>
    </row>
    <row r="199">
      <c r="A199" s="26" t="s">
        <v>413</v>
      </c>
      <c r="B199" s="1">
        <f>B195-B198</f>
        <v>0</v>
      </c>
      <c r="C199" s="1">
        <f>C195-C198</f>
        <v>0</v>
      </c>
      <c r="D199" s="1">
        <f>D195-D198</f>
        <v>0</v>
      </c>
      <c r="E199" s="1">
        <f>E195-E198</f>
        <v>0</v>
      </c>
      <c r="F199" s="1">
        <f>F195-F198</f>
        <v>0</v>
      </c>
      <c r="G199" s="1">
        <f>G195-G198</f>
        <v>0</v>
      </c>
      <c r="H199" s="1">
        <f>H195-H198</f>
        <v>0</v>
      </c>
      <c r="I199" s="2"/>
      <c r="J199" s="2"/>
      <c r="K199" s="2"/>
      <c r="L199" s="2"/>
      <c r="M199" s="2"/>
      <c r="N199" s="2"/>
      <c r="O199" s="2"/>
    </row>
    <row r="200">
      <c r="A200" s="36" t="s">
        <v>444</v>
      </c>
      <c r="B200" s="3">
        <f>B195-B203</f>
        <v>106</v>
      </c>
      <c r="C200" s="3">
        <f>C195-C203</f>
        <v>82</v>
      </c>
      <c r="D200" s="3">
        <f>D195-D203</f>
        <v>108</v>
      </c>
      <c r="E200" s="3">
        <f>E195-E203</f>
        <v>80</v>
      </c>
      <c r="F200" s="3">
        <f>F195-F203</f>
        <v>376</v>
      </c>
      <c r="G200" s="3">
        <f>G195-G203</f>
        <v>104</v>
      </c>
      <c r="H200" s="3">
        <f>H195-H203</f>
        <v>79</v>
      </c>
      <c r="I200" s="32">
        <v>104</v>
      </c>
      <c r="J200" s="6" t="s">
        <v>445</v>
      </c>
      <c r="K200" s="2"/>
      <c r="L200" s="2"/>
      <c r="M200" s="2"/>
      <c r="N200" s="2"/>
      <c r="O200" s="2"/>
    </row>
    <row r="201">
      <c r="A201" s="14" t="s">
        <v>242</v>
      </c>
      <c r="B201" s="1" t="s">
        <v>37</v>
      </c>
      <c r="C201" s="1" t="s">
        <v>37</v>
      </c>
      <c r="D201" s="1" t="s">
        <v>37</v>
      </c>
      <c r="E201" s="1" t="s">
        <v>37</v>
      </c>
      <c r="F201" s="1" t="s">
        <v>37</v>
      </c>
      <c r="G201" s="1">
        <f>IF(AND(ISNUMBER(G200),ISNUMBER(B200)),G200-B200,"n/a")</f>
        <v>-2</v>
      </c>
      <c r="H201" s="1">
        <f>IF(AND(ISNUMBER(H200),ISNUMBER(C200)),H200-C200,"n/a")</f>
        <v>-3</v>
      </c>
      <c r="I201" s="13">
        <f>IF(AND(ISNUMBER(I200),ISNUMBER(D200)),I200-D200,"n/a")</f>
        <v>-4</v>
      </c>
      <c r="J201" s="2"/>
      <c r="K201" s="2"/>
      <c r="L201" s="2"/>
      <c r="M201" s="2"/>
      <c r="N201" s="2"/>
      <c r="O201" s="2"/>
    </row>
    <row r="202">
      <c r="A202" s="14" t="s">
        <v>110</v>
      </c>
      <c r="B202" s="1" t="s">
        <v>37</v>
      </c>
      <c r="C202" s="1">
        <f>IF(AND(ISNUMBER(C200),ISNUMBER(B200)),C200-B200,"n/a")</f>
        <v>-24</v>
      </c>
      <c r="D202" s="1">
        <f>IF(AND(ISNUMBER(D200),ISNUMBER(C200)),D200-C200,"n/a")</f>
        <v>26</v>
      </c>
      <c r="E202" s="1">
        <f>IF(AND(ISNUMBER(E200),ISNUMBER(D200)),E200-D200,"n/a")</f>
        <v>-28</v>
      </c>
      <c r="F202" s="1" t="s">
        <v>37</v>
      </c>
      <c r="G202" s="1">
        <f>IF(AND(ISNUMBER(G200),ISNUMBER(E200)),G200-E200,"n/a")</f>
        <v>24</v>
      </c>
      <c r="H202" s="1">
        <f>IF(AND(ISNUMBER(H200),ISNUMBER(G200)),H200-G200,"n/a")</f>
        <v>-25</v>
      </c>
      <c r="I202" s="13">
        <f>IF(AND(ISNUMBER(I200),ISNUMBER(H200)),I200-H200,"n/a")</f>
        <v>25</v>
      </c>
      <c r="J202" s="2"/>
      <c r="K202" s="2"/>
      <c r="L202" s="2"/>
      <c r="M202" s="2"/>
      <c r="N202" s="2"/>
      <c r="O202" s="2"/>
    </row>
    <row r="203">
      <c r="A203" s="16" t="s">
        <v>446</v>
      </c>
      <c r="B203" s="25">
        <v>1603</v>
      </c>
      <c r="C203" s="25">
        <v>1733</v>
      </c>
      <c r="D203" s="25">
        <v>1893</v>
      </c>
      <c r="E203" s="25">
        <v>1965</v>
      </c>
      <c r="F203" s="15">
        <f>SUM(B203:E203)</f>
        <v>7194</v>
      </c>
      <c r="G203" s="25">
        <v>1841</v>
      </c>
      <c r="H203" s="25">
        <v>2098</v>
      </c>
      <c r="I203" s="38">
        <f>I195-I200</f>
        <v>2044.950374095246</v>
      </c>
      <c r="J203" s="2"/>
      <c r="K203" s="2"/>
      <c r="L203" s="2"/>
      <c r="M203" s="2"/>
      <c r="N203" s="2"/>
      <c r="O203" s="2"/>
    </row>
    <row r="204">
      <c r="A204" s="19" t="s">
        <v>122</v>
      </c>
      <c r="B204" s="12" t="s">
        <v>37</v>
      </c>
      <c r="C204" s="12" t="s">
        <v>37</v>
      </c>
      <c r="D204" s="12" t="s">
        <v>37</v>
      </c>
      <c r="E204" s="12" t="s">
        <v>37</v>
      </c>
      <c r="F204" s="12" t="s">
        <v>37</v>
      </c>
      <c r="G204" s="12">
        <f>G203/B203-1</f>
        <v>0.14847161572052392</v>
      </c>
      <c r="H204" s="12">
        <f>H203/C203-1</f>
        <v>0.21061742642815928</v>
      </c>
      <c r="I204" s="35">
        <f>I203/D203-1</f>
        <v>0.08026961124946963</v>
      </c>
      <c r="J204" s="2"/>
      <c r="K204" s="2"/>
      <c r="L204" s="2"/>
      <c r="M204" s="2"/>
      <c r="N204" s="2"/>
      <c r="O204" s="2"/>
    </row>
    <row r="205">
      <c r="A205" s="19" t="s">
        <v>95</v>
      </c>
      <c r="B205" s="12" t="s">
        <v>37</v>
      </c>
      <c r="C205" s="12">
        <f>C203/B203-1</f>
        <v>0.08109794135995019</v>
      </c>
      <c r="D205" s="12">
        <f>D203/C203-1</f>
        <v>0.0923254472013848</v>
      </c>
      <c r="E205" s="12">
        <f>E203/D203-1</f>
        <v>0.03803486529318545</v>
      </c>
      <c r="F205" s="12" t="s">
        <v>37</v>
      </c>
      <c r="G205" s="12">
        <f>G203/E203-1</f>
        <v>-0.06310432569974556</v>
      </c>
      <c r="H205" s="12">
        <f>H203/G203-1</f>
        <v>0.13959804454101032</v>
      </c>
      <c r="I205" s="35">
        <f>I203/H203-1</f>
        <v>-0.025285808343543437</v>
      </c>
      <c r="J205" s="2"/>
      <c r="K205" s="2"/>
      <c r="L205" s="2"/>
      <c r="M205" s="2"/>
      <c r="N205" s="2"/>
      <c r="O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>
      <c r="A207" s="16" t="s">
        <v>447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>
      <c r="A208" s="6" t="s">
        <v>448</v>
      </c>
      <c r="B208" s="23">
        <f>'Share Count'!B22</f>
        <v>1559</v>
      </c>
      <c r="C208" s="23">
        <f>'Share Count'!C22</f>
        <v>1559</v>
      </c>
      <c r="D208" s="23">
        <f>'Share Count'!D22</f>
        <v>1557</v>
      </c>
      <c r="E208" s="23">
        <f>'Share Count'!E22</f>
        <v>1555</v>
      </c>
      <c r="F208" s="23">
        <f>'Share Count'!F22</f>
        <v>1557.4876712328767</v>
      </c>
      <c r="G208" s="23">
        <f>'Share Count'!G22</f>
        <v>1554</v>
      </c>
      <c r="H208" s="23">
        <f>'Share Count'!H22</f>
        <v>1554</v>
      </c>
      <c r="I208" s="49">
        <f>'Share Count'!I22</f>
        <v>1558</v>
      </c>
      <c r="J208" s="2"/>
      <c r="K208" s="2"/>
      <c r="L208" s="2"/>
      <c r="M208" s="2"/>
      <c r="N208" s="2"/>
      <c r="O208" s="2"/>
    </row>
    <row r="209">
      <c r="A209" s="6" t="s">
        <v>449</v>
      </c>
      <c r="B209" s="23">
        <f>'Share Count'!B31</f>
        <v>1560</v>
      </c>
      <c r="C209" s="23">
        <f>'Share Count'!C31</f>
        <v>1559</v>
      </c>
      <c r="D209" s="23">
        <f>'Share Count'!D31</f>
        <v>1557</v>
      </c>
      <c r="E209" s="23">
        <f>'Share Count'!E31</f>
        <v>1556</v>
      </c>
      <c r="F209" s="23">
        <f>'Share Count'!F31</f>
        <v>1557.986301369863</v>
      </c>
      <c r="G209" s="23">
        <f>'Share Count'!G31</f>
        <v>1555</v>
      </c>
      <c r="H209" s="23">
        <f>'Share Count'!H31</f>
        <v>1555</v>
      </c>
      <c r="I209" s="49">
        <f>'Share Count'!I31</f>
        <v>1559</v>
      </c>
      <c r="J209" s="2"/>
      <c r="K209" s="2"/>
      <c r="L209" s="2"/>
      <c r="M209" s="2"/>
      <c r="N209" s="2"/>
      <c r="O209" s="2"/>
    </row>
    <row r="210">
      <c r="A210" s="6" t="s">
        <v>450</v>
      </c>
      <c r="B210" s="7">
        <f>B203/B208</f>
        <v>1.0282232200128287</v>
      </c>
      <c r="C210" s="7">
        <f>C203/C208</f>
        <v>1.1116100064143681</v>
      </c>
      <c r="D210" s="7">
        <f>D203/D208</f>
        <v>1.2157996146435452</v>
      </c>
      <c r="E210" s="7">
        <f>E203/E208</f>
        <v>1.2636655948553055</v>
      </c>
      <c r="F210" s="7">
        <f>F203/F208</f>
        <v>4.618977172580359</v>
      </c>
      <c r="G210" s="7">
        <f>G203/G208</f>
        <v>1.1846846846846846</v>
      </c>
      <c r="H210" s="7">
        <f>H203/H208</f>
        <v>1.35006435006435</v>
      </c>
      <c r="I210" s="44">
        <f>I203/I208</f>
        <v>1.3125483787517624</v>
      </c>
      <c r="J210" s="2"/>
      <c r="K210" s="2"/>
      <c r="L210" s="2"/>
      <c r="M210" s="2"/>
      <c r="N210" s="2"/>
      <c r="O210" s="2"/>
    </row>
    <row r="211">
      <c r="A211" s="16" t="s">
        <v>451</v>
      </c>
      <c r="B211" s="83">
        <f>B203/B209</f>
        <v>1.0275641025641025</v>
      </c>
      <c r="C211" s="83">
        <f>C203/C209</f>
        <v>1.1116100064143681</v>
      </c>
      <c r="D211" s="83">
        <f>D203/D209</f>
        <v>1.2157996146435452</v>
      </c>
      <c r="E211" s="83">
        <f>E203/E209</f>
        <v>1.262853470437018</v>
      </c>
      <c r="F211" s="83">
        <f>F203/F209</f>
        <v>4.617498878953338</v>
      </c>
      <c r="G211" s="83">
        <f>G203/G209</f>
        <v>1.1839228295819935</v>
      </c>
      <c r="H211" s="83">
        <f>H203/H209</f>
        <v>1.3491961414790996</v>
      </c>
      <c r="I211" s="82">
        <f>I203/I209</f>
        <v>1.3117064618956036</v>
      </c>
      <c r="J211" s="2"/>
      <c r="K211" s="2"/>
      <c r="L211" s="2"/>
      <c r="M211" s="2"/>
      <c r="N211" s="2"/>
      <c r="O211" s="2"/>
    </row>
    <row r="212">
      <c r="A212" s="19" t="s">
        <v>122</v>
      </c>
      <c r="B212" s="12" t="s">
        <v>37</v>
      </c>
      <c r="C212" s="12" t="s">
        <v>37</v>
      </c>
      <c r="D212" s="12" t="s">
        <v>37</v>
      </c>
      <c r="E212" s="12" t="s">
        <v>37</v>
      </c>
      <c r="F212" s="12" t="s">
        <v>37</v>
      </c>
      <c r="G212" s="12">
        <f>G211/B211-1</f>
        <v>0.1521644504977604</v>
      </c>
      <c r="H212" s="12">
        <f>H211/C211-1</f>
        <v>0.21373155485627038</v>
      </c>
      <c r="I212" s="35">
        <f>I211/D211-1</f>
        <v>0.07888376184440293</v>
      </c>
      <c r="J212" s="2"/>
      <c r="K212" s="2"/>
      <c r="L212" s="2"/>
      <c r="M212" s="2"/>
      <c r="N212" s="2"/>
      <c r="O212" s="2"/>
    </row>
    <row r="213">
      <c r="A213" s="19" t="s">
        <v>95</v>
      </c>
      <c r="B213" s="12" t="s">
        <v>37</v>
      </c>
      <c r="C213" s="12">
        <f>C211/B211-1</f>
        <v>0.08179139738391417</v>
      </c>
      <c r="D213" s="12">
        <f>D211/C211-1</f>
        <v>0.09372856274050045</v>
      </c>
      <c r="E213" s="12">
        <f>E211/D211-1</f>
        <v>0.03870198281586745</v>
      </c>
      <c r="F213" s="12" t="s">
        <v>37</v>
      </c>
      <c r="G213" s="12">
        <f>G211/E211-1</f>
        <v>-0.06250182044296093</v>
      </c>
      <c r="H213" s="12">
        <f>H211/G211-1</f>
        <v>0.13959804454101032</v>
      </c>
      <c r="I213" s="35">
        <f>I211/H211-1</f>
        <v>-0.027786678623611172</v>
      </c>
      <c r="J213" s="2"/>
      <c r="K213" s="2"/>
      <c r="L213" s="2"/>
      <c r="M213" s="2"/>
      <c r="N213" s="2"/>
      <c r="O213" s="2"/>
    </row>
    <row r="214">
      <c r="A214" s="19" t="s">
        <v>452</v>
      </c>
      <c r="B214" s="84">
        <v>1.03</v>
      </c>
      <c r="C214" s="84">
        <v>1.11</v>
      </c>
      <c r="D214" s="84">
        <v>1.22</v>
      </c>
      <c r="E214" s="84">
        <v>1.26</v>
      </c>
      <c r="F214" s="84">
        <v>4.62</v>
      </c>
      <c r="G214" s="84">
        <v>1.18</v>
      </c>
      <c r="H214" s="84">
        <v>1.35</v>
      </c>
      <c r="I214" s="34" t="s">
        <v>37</v>
      </c>
      <c r="J214" s="2"/>
      <c r="K214" s="2"/>
      <c r="L214" s="2"/>
      <c r="M214" s="2"/>
      <c r="N214" s="2"/>
      <c r="O214" s="2"/>
    </row>
    <row r="215">
      <c r="A215" s="26" t="s">
        <v>453</v>
      </c>
      <c r="B215" s="1">
        <f>ROUND(B211,2)-B214</f>
        <v>0</v>
      </c>
      <c r="C215" s="1">
        <f>ROUND(C211,2)-C214</f>
        <v>0</v>
      </c>
      <c r="D215" s="1">
        <f>ROUND(D211,2)-D214</f>
        <v>0</v>
      </c>
      <c r="E215" s="1">
        <f>ROUND(E211,2)-E214</f>
        <v>0</v>
      </c>
      <c r="F215" s="1">
        <f>ROUND(F211,2)-F214</f>
        <v>0</v>
      </c>
      <c r="G215" s="1">
        <f>ROUND(G211,2)-G214</f>
        <v>0</v>
      </c>
      <c r="H215" s="1">
        <f>ROUND(H211,2)-H214</f>
        <v>0</v>
      </c>
      <c r="I215" s="2"/>
      <c r="J215" s="2"/>
      <c r="K215" s="2"/>
      <c r="L215" s="2"/>
      <c r="M215" s="2"/>
      <c r="N215" s="2"/>
      <c r="O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>
      <c r="A217" s="16" t="s">
        <v>454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>
      <c r="A218" s="6" t="s">
        <v>41</v>
      </c>
      <c r="B218" s="3">
        <f>B203</f>
        <v>1603</v>
      </c>
      <c r="C218" s="3">
        <f>C203</f>
        <v>1733</v>
      </c>
      <c r="D218" s="3">
        <f>D203</f>
        <v>1893</v>
      </c>
      <c r="E218" s="3">
        <f>E203</f>
        <v>1965</v>
      </c>
      <c r="F218" s="3">
        <f>F203</f>
        <v>7194</v>
      </c>
      <c r="G218" s="3">
        <f>G203</f>
        <v>1841</v>
      </c>
      <c r="H218" s="3">
        <f>H203</f>
        <v>2098</v>
      </c>
      <c r="I218" s="46">
        <f>I203</f>
        <v>2044.950374095246</v>
      </c>
      <c r="J218" s="2"/>
      <c r="K218" s="2"/>
      <c r="L218" s="2"/>
      <c r="M218" s="2"/>
      <c r="N218" s="2"/>
      <c r="O218" s="2"/>
    </row>
    <row r="219">
      <c r="A219" s="36" t="s">
        <v>455</v>
      </c>
      <c r="B219" s="3">
        <f>-B125</f>
        <v>0</v>
      </c>
      <c r="C219" s="3">
        <f>-C125</f>
        <v>57</v>
      </c>
      <c r="D219" s="3">
        <f>-D125</f>
        <v>7</v>
      </c>
      <c r="E219" s="3">
        <f>-E125</f>
        <v>-3</v>
      </c>
      <c r="F219" s="3">
        <f>-F125</f>
        <v>61</v>
      </c>
      <c r="G219" s="3">
        <f>-G125</f>
        <v>35</v>
      </c>
      <c r="H219" s="3">
        <f>-H125</f>
        <v>49</v>
      </c>
      <c r="I219" s="46">
        <f>-I125</f>
        <v>30</v>
      </c>
      <c r="J219" s="2" t="s">
        <v>456</v>
      </c>
      <c r="K219" s="2"/>
      <c r="L219" s="2"/>
      <c r="M219" s="2"/>
      <c r="N219" s="2"/>
      <c r="O219" s="2"/>
    </row>
    <row r="220">
      <c r="A220" s="36" t="s">
        <v>457</v>
      </c>
      <c r="B220" s="3" t="s">
        <v>37</v>
      </c>
      <c r="C220" s="3" t="s">
        <v>37</v>
      </c>
      <c r="D220" s="3" t="s">
        <v>37</v>
      </c>
      <c r="E220" s="3" t="s">
        <v>37</v>
      </c>
      <c r="F220" s="3" t="s">
        <v>37</v>
      </c>
      <c r="G220" s="3" t="s">
        <v>37</v>
      </c>
      <c r="H220" s="3" t="s">
        <v>37</v>
      </c>
      <c r="I220" s="32">
        <v>30</v>
      </c>
      <c r="J220" s="6" t="s">
        <v>458</v>
      </c>
      <c r="K220" s="2"/>
      <c r="L220" s="2"/>
      <c r="M220" s="2"/>
      <c r="N220" s="2"/>
      <c r="O220" s="2"/>
    </row>
    <row r="221">
      <c r="A221" s="14" t="s">
        <v>459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>
      <c r="A222" s="19" t="s">
        <v>460</v>
      </c>
      <c r="B222" s="65">
        <v>0.25</v>
      </c>
      <c r="C222" s="12">
        <f>$B222</f>
        <v>0.25</v>
      </c>
      <c r="D222" s="12">
        <f>$B222</f>
        <v>0.25</v>
      </c>
      <c r="E222" s="12">
        <f>$B222</f>
        <v>0.25</v>
      </c>
      <c r="F222" s="12">
        <f>$B222</f>
        <v>0.25</v>
      </c>
      <c r="G222" s="12">
        <f>$B222</f>
        <v>0.25</v>
      </c>
      <c r="H222" s="12">
        <f>$B222</f>
        <v>0.25</v>
      </c>
      <c r="I222" s="35">
        <f>$B222</f>
        <v>0.25</v>
      </c>
      <c r="J222" s="6" t="s">
        <v>461</v>
      </c>
      <c r="K222" s="2"/>
      <c r="L222" s="2"/>
      <c r="M222" s="2"/>
      <c r="N222" s="2"/>
      <c r="O222" s="2"/>
    </row>
    <row r="223">
      <c r="A223" s="36" t="s">
        <v>462</v>
      </c>
      <c r="B223" s="3">
        <f>-(N(B219)+N(B220))*B222</f>
        <v>0</v>
      </c>
      <c r="C223" s="3">
        <f>-(N(C219)+N(C220))*C222</f>
        <v>-14.25</v>
      </c>
      <c r="D223" s="3">
        <f>-(N(D219)+N(D220))*D222</f>
        <v>-1.75</v>
      </c>
      <c r="E223" s="3">
        <f>-(N(E219)+N(E220))*E222</f>
        <v>0.75</v>
      </c>
      <c r="F223" s="3">
        <f>-(N(F219)+N(F220))*F222</f>
        <v>-15.25</v>
      </c>
      <c r="G223" s="3">
        <f>-(N(G219)+N(G220))*G222</f>
        <v>-8.75</v>
      </c>
      <c r="H223" s="3">
        <f>-(N(H219)+N(H220))*H222</f>
        <v>-12.25</v>
      </c>
      <c r="I223" s="46">
        <f>-(N(I219)+N(I220))*I222</f>
        <v>-15</v>
      </c>
      <c r="J223" s="2"/>
      <c r="K223" s="2"/>
      <c r="L223" s="2"/>
      <c r="M223" s="2"/>
      <c r="N223" s="2"/>
      <c r="O223" s="2"/>
    </row>
    <row r="224">
      <c r="A224" s="16" t="s">
        <v>39</v>
      </c>
      <c r="B224" s="15">
        <f>B218+B219+N(B220)+B223</f>
        <v>1603</v>
      </c>
      <c r="C224" s="15">
        <f>C218+C219+N(C220)+C223</f>
        <v>1775.75</v>
      </c>
      <c r="D224" s="15">
        <f>D218+D219+N(D220)+D223</f>
        <v>1898.25</v>
      </c>
      <c r="E224" s="15">
        <f>E218+E219+N(E220)+E223</f>
        <v>1962.75</v>
      </c>
      <c r="F224" s="15">
        <f>F218+F219+N(F220)+F223</f>
        <v>7239.75</v>
      </c>
      <c r="G224" s="15">
        <f>G218+G219+N(G220)+G223</f>
        <v>1867.25</v>
      </c>
      <c r="H224" s="15">
        <f>H218+H219+N(H220)+H223</f>
        <v>2134.75</v>
      </c>
      <c r="I224" s="38">
        <f>I218+I219+N(I220)+I223</f>
        <v>2089.950374095246</v>
      </c>
      <c r="J224" s="2"/>
      <c r="K224" s="2"/>
      <c r="L224" s="2"/>
      <c r="M224" s="2"/>
      <c r="N224" s="2"/>
      <c r="O224" s="2"/>
    </row>
    <row r="225">
      <c r="A225" s="16" t="s">
        <v>42</v>
      </c>
      <c r="B225" s="83">
        <f>B224/B209</f>
        <v>1.0275641025641025</v>
      </c>
      <c r="C225" s="83">
        <f>C224/C209</f>
        <v>1.1390314304041051</v>
      </c>
      <c r="D225" s="83">
        <f>D224/D209</f>
        <v>1.2191714836223506</v>
      </c>
      <c r="E225" s="83">
        <f>E224/E209</f>
        <v>1.2614074550128536</v>
      </c>
      <c r="F225" s="83">
        <f>F224/F209</f>
        <v>4.6468637071034795</v>
      </c>
      <c r="G225" s="83">
        <f>G224/G209</f>
        <v>1.2008038585209002</v>
      </c>
      <c r="H225" s="83">
        <f>H224/H209</f>
        <v>1.3728295819935692</v>
      </c>
      <c r="I225" s="82">
        <f>I224/I209</f>
        <v>1.3405711187269056</v>
      </c>
      <c r="J225" s="2"/>
      <c r="K225" s="2"/>
      <c r="L225" s="2"/>
      <c r="M225" s="2"/>
      <c r="N225" s="2"/>
      <c r="O225" s="2"/>
    </row>
    <row r="226">
      <c r="A226" s="19" t="s">
        <v>122</v>
      </c>
      <c r="B226" s="12" t="s">
        <v>37</v>
      </c>
      <c r="C226" s="12" t="s">
        <v>37</v>
      </c>
      <c r="D226" s="12" t="s">
        <v>37</v>
      </c>
      <c r="E226" s="12" t="s">
        <v>37</v>
      </c>
      <c r="F226" s="12" t="s">
        <v>37</v>
      </c>
      <c r="G226" s="12">
        <f>G225/B225-1</f>
        <v>0.16859265083755748</v>
      </c>
      <c r="H226" s="12">
        <f>H225/C225-1</f>
        <v>0.20526049180795414</v>
      </c>
      <c r="I226" s="35">
        <f>I225/D225-1</f>
        <v>0.09957552053617391</v>
      </c>
      <c r="J226" s="2"/>
      <c r="K226" s="2"/>
      <c r="L226" s="2"/>
      <c r="M226" s="2"/>
      <c r="N226" s="2"/>
      <c r="O226" s="2"/>
    </row>
    <row r="227">
      <c r="A227" s="36" t="s">
        <v>463</v>
      </c>
      <c r="B227" s="53">
        <f>Inputs!D100</f>
        <v>1.03</v>
      </c>
      <c r="C227" s="53">
        <f>Inputs!D101</f>
        <v>1.11</v>
      </c>
      <c r="D227" s="53">
        <f>Inputs!D102</f>
        <v>1.22</v>
      </c>
      <c r="E227" s="53">
        <f>Inputs!D103</f>
        <v>1.26</v>
      </c>
      <c r="F227" s="7" t="s">
        <v>37</v>
      </c>
      <c r="G227" s="53">
        <f>Inputs!D104</f>
        <v>1.2</v>
      </c>
      <c r="H227" s="53">
        <f>Inputs!D105</f>
        <v>1.37</v>
      </c>
      <c r="I227" s="43">
        <f>Inputs!B37</f>
        <v>1.33</v>
      </c>
      <c r="J227" s="2"/>
      <c r="K227" s="2"/>
      <c r="L227" s="2"/>
      <c r="M227" s="2"/>
      <c r="N227" s="2"/>
      <c r="O227" s="2"/>
    </row>
    <row r="228">
      <c r="A228" s="26" t="s">
        <v>464</v>
      </c>
      <c r="B228" s="21">
        <f>ROUND(B225,2)-B227</f>
        <v>0</v>
      </c>
      <c r="C228" s="21">
        <f>ROUND(C225,2)-C227</f>
        <v>0.029999999999999805</v>
      </c>
      <c r="D228" s="21">
        <f>ROUND(D225,2)-D227</f>
        <v>0</v>
      </c>
      <c r="E228" s="21">
        <f>ROUND(E225,2)-E227</f>
        <v>0</v>
      </c>
      <c r="F228" s="2"/>
      <c r="G228" s="21">
        <f>ROUND(G225,2)-G227</f>
        <v>0</v>
      </c>
      <c r="H228" s="21">
        <f>ROUND(H225,2)-H227</f>
        <v>0</v>
      </c>
      <c r="I228" s="2"/>
      <c r="J228" s="6" t="s">
        <v>465</v>
      </c>
      <c r="K228" s="2"/>
      <c r="L228" s="2"/>
      <c r="M228" s="2"/>
      <c r="N228" s="2"/>
      <c r="O228" s="2"/>
    </row>
    <row r="229">
      <c r="A229" s="36" t="s">
        <v>466</v>
      </c>
      <c r="B229" s="53">
        <f>Inputs!F100</f>
        <v>1.03</v>
      </c>
      <c r="C229" s="53">
        <f>Inputs!F101</f>
        <v>1.11</v>
      </c>
      <c r="D229" s="53">
        <f>Inputs!F102</f>
        <v>1.22</v>
      </c>
      <c r="E229" s="53">
        <f>Inputs!F103</f>
        <v>1.26</v>
      </c>
      <c r="F229" s="7" t="s">
        <v>37</v>
      </c>
      <c r="G229" s="53">
        <f>Inputs!F104</f>
        <v>1.18</v>
      </c>
      <c r="H229" s="53">
        <f>Inputs!F105</f>
        <v>1.35</v>
      </c>
      <c r="I229" s="43">
        <f>Inputs!B46</f>
        <v>1.32</v>
      </c>
      <c r="J229" s="2"/>
      <c r="K229" s="2"/>
      <c r="L229" s="2"/>
      <c r="M229" s="2"/>
      <c r="N229" s="2"/>
      <c r="O229" s="2"/>
    </row>
    <row r="230">
      <c r="A230" s="109" t="s">
        <v>467</v>
      </c>
      <c r="B230" s="97" t="s">
        <v>37</v>
      </c>
      <c r="C230" s="97" t="s">
        <v>37</v>
      </c>
      <c r="D230" s="97" t="s">
        <v>37</v>
      </c>
      <c r="E230" s="97" t="s">
        <v>37</v>
      </c>
      <c r="F230" s="97" t="s">
        <v>37</v>
      </c>
      <c r="G230" s="97" t="s">
        <v>37</v>
      </c>
      <c r="H230" s="97" t="s">
        <v>37</v>
      </c>
      <c r="I230" s="104">
        <f>(I224-N(I220)*(1-I222))/I209</f>
        <v>1.3261387903112547</v>
      </c>
      <c r="J230" s="2" t="s">
        <v>468</v>
      </c>
      <c r="K230" s="2"/>
      <c r="L230" s="2"/>
      <c r="M230" s="2"/>
      <c r="N230" s="2"/>
      <c r="O230" s="2"/>
    </row>
    <row r="231">
      <c r="A231" s="16" t="s">
        <v>469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>
      <c r="A232" s="26" t="s">
        <v>470</v>
      </c>
      <c r="B232" s="12">
        <f>B172/(B130-B125)</f>
        <v>0.6082207530899684</v>
      </c>
      <c r="C232" s="12">
        <f>C172/(C130-C125)</f>
        <v>0.5921257612236227</v>
      </c>
      <c r="D232" s="12">
        <f>D172/(D130-D125)</f>
        <v>0.5721101417666303</v>
      </c>
      <c r="E232" s="12">
        <f>E172/(E130-E125)</f>
        <v>0.5741646291768541</v>
      </c>
      <c r="F232" s="12">
        <f>F172/(F130-F125)</f>
        <v>0.5863077619528503</v>
      </c>
      <c r="G232" s="12">
        <f>G172/(G130-G125)</f>
        <v>0.582411579953571</v>
      </c>
      <c r="H232" s="12">
        <f>H172/(H130-H125)</f>
        <v>0.5705450328565906</v>
      </c>
      <c r="I232" s="35">
        <f>I172/(I130-I125)</f>
        <v>0.5646455073470001</v>
      </c>
      <c r="J232" s="2"/>
      <c r="K232" s="2"/>
      <c r="L232" s="2"/>
      <c r="M232" s="2"/>
      <c r="N232" s="2"/>
      <c r="O232" s="2"/>
    </row>
    <row r="233">
      <c r="A233" s="19" t="s">
        <v>144</v>
      </c>
      <c r="B233" s="5" t="s">
        <v>37</v>
      </c>
      <c r="C233" s="5">
        <f>IF(AND(ISNUMBER(C232),ISNUMBER(B232)),(C232-B232)*10000,"n/a")</f>
        <v>-160.94991866345666</v>
      </c>
      <c r="D233" s="5">
        <f>IF(AND(ISNUMBER(D232),ISNUMBER(C232)),(D232-C232)*10000,"n/a")</f>
        <v>-200.15619456992374</v>
      </c>
      <c r="E233" s="5">
        <f>IF(AND(ISNUMBER(E232),ISNUMBER(D232)),(E232-D232)*10000,"n/a")</f>
        <v>20.544874102237376</v>
      </c>
      <c r="F233" s="5" t="s">
        <v>37</v>
      </c>
      <c r="G233" s="5">
        <f>IF(AND(ISNUMBER(G232),ISNUMBER(E232)),(G232-E232)*10000,"n/a")</f>
        <v>82.46950776716888</v>
      </c>
      <c r="H233" s="5">
        <f>IF(AND(ISNUMBER(H232),ISNUMBER(G232)),(H232-G232)*10000,"n/a")</f>
        <v>-118.66547096980318</v>
      </c>
      <c r="I233" s="45">
        <f>IF(AND(ISNUMBER(I232),ISNUMBER(H232)),(I232-H232)*10000,"n/a")</f>
        <v>-58.99525509590497</v>
      </c>
      <c r="J233" s="2"/>
      <c r="K233" s="2"/>
      <c r="L233" s="2"/>
      <c r="M233" s="2"/>
      <c r="N233" s="2"/>
      <c r="O233" s="2"/>
    </row>
    <row r="234">
      <c r="A234" s="19" t="s">
        <v>145</v>
      </c>
      <c r="B234" s="5" t="s">
        <v>37</v>
      </c>
      <c r="C234" s="5" t="s">
        <v>37</v>
      </c>
      <c r="D234" s="5" t="s">
        <v>37</v>
      </c>
      <c r="E234" s="5" t="s">
        <v>37</v>
      </c>
      <c r="F234" s="5" t="s">
        <v>37</v>
      </c>
      <c r="G234" s="5">
        <f>IF(AND(ISNUMBER(G232),ISNUMBER(B232)),(G232-B232)*10000,"n/a")</f>
        <v>-258.09173136397413</v>
      </c>
      <c r="H234" s="5">
        <f>IF(AND(ISNUMBER(H232),ISNUMBER(C232)),(H232-C232)*10000,"n/a")</f>
        <v>-215.80728367032066</v>
      </c>
      <c r="I234" s="45">
        <f>IF(AND(ISNUMBER(I232),ISNUMBER(D232)),(I232-D232)*10000,"n/a")</f>
        <v>-74.6463441963019</v>
      </c>
      <c r="J234" s="2"/>
      <c r="K234" s="2"/>
      <c r="L234" s="2"/>
      <c r="M234" s="2"/>
      <c r="N234" s="2"/>
      <c r="O234" s="2"/>
    </row>
    <row r="235">
      <c r="A235" s="26" t="s">
        <v>471</v>
      </c>
      <c r="B235" s="5" t="s">
        <v>37</v>
      </c>
      <c r="C235" s="5" t="s">
        <v>37</v>
      </c>
      <c r="D235" s="5" t="s">
        <v>37</v>
      </c>
      <c r="E235" s="5" t="s">
        <v>37</v>
      </c>
      <c r="F235" s="5" t="s">
        <v>37</v>
      </c>
      <c r="G235" s="5">
        <f>((G130-G125)/(B130-B125)-G172/B172)*10000</f>
        <v>446.5987119041559</v>
      </c>
      <c r="H235" s="5">
        <f>((H130-H125)/(C130-C125)-H172/C172)*10000</f>
        <v>400.59323811656446</v>
      </c>
      <c r="I235" s="45">
        <f>((I130-I125)/(D130-D125)-I172/D172)*10000</f>
        <v>142.6309052290353</v>
      </c>
      <c r="J235" s="2"/>
      <c r="K235" s="2"/>
      <c r="L235" s="2"/>
      <c r="M235" s="2"/>
      <c r="N235" s="2"/>
      <c r="O235" s="2"/>
    </row>
    <row r="236">
      <c r="A236" s="26" t="s">
        <v>472</v>
      </c>
      <c r="B236" s="12">
        <f>B177/B130</f>
        <v>0.39177924691003163</v>
      </c>
      <c r="C236" s="12">
        <f>C177/C130</f>
        <v>0.40305539691604797</v>
      </c>
      <c r="D236" s="12">
        <f>D177/D130</f>
        <v>0.4273434302087597</v>
      </c>
      <c r="E236" s="12">
        <f>E177/E130</f>
        <v>0.4260692464358452</v>
      </c>
      <c r="F236" s="12">
        <f>F177/F130</f>
        <v>0.4124441652707984</v>
      </c>
      <c r="G236" s="12">
        <f>G177/G130</f>
        <v>0.4147914379802415</v>
      </c>
      <c r="H236" s="12">
        <f>H177/H130</f>
        <v>0.4258298755186722</v>
      </c>
      <c r="I236" s="35">
        <f>I177/I130</f>
        <v>0.4332342734202185</v>
      </c>
      <c r="J236" s="2"/>
      <c r="K236" s="2"/>
      <c r="L236" s="2"/>
      <c r="M236" s="2"/>
      <c r="N236" s="2"/>
      <c r="O236" s="2"/>
    </row>
    <row r="237">
      <c r="A237" s="19" t="s">
        <v>144</v>
      </c>
      <c r="B237" s="5" t="s">
        <v>37</v>
      </c>
      <c r="C237" s="5">
        <f>IF(AND(ISNUMBER(C236),ISNUMBER(B236)),(C236-B236)*10000,"n/a")</f>
        <v>112.76150006016339</v>
      </c>
      <c r="D237" s="5">
        <f>IF(AND(ISNUMBER(D236),ISNUMBER(C236)),(D236-C236)*10000,"n/a")</f>
        <v>242.8803329271173</v>
      </c>
      <c r="E237" s="5">
        <f>IF(AND(ISNUMBER(E236),ISNUMBER(D236)),(E236-D236)*10000,"n/a")</f>
        <v>-12.741837729144944</v>
      </c>
      <c r="F237" s="5" t="s">
        <v>37</v>
      </c>
      <c r="G237" s="5">
        <f>IF(AND(ISNUMBER(G236),ISNUMBER(E236)),(G236-E236)*10000,"n/a")</f>
        <v>-112.77808455603721</v>
      </c>
      <c r="H237" s="5">
        <f>IF(AND(ISNUMBER(H236),ISNUMBER(G236)),(H236-G236)*10000,"n/a")</f>
        <v>110.384375384307</v>
      </c>
      <c r="I237" s="45">
        <f>IF(AND(ISNUMBER(I236),ISNUMBER(H236)),(I236-H236)*10000,"n/a")</f>
        <v>74.0439790154629</v>
      </c>
      <c r="J237" s="2"/>
      <c r="K237" s="2"/>
      <c r="L237" s="2"/>
      <c r="M237" s="2"/>
      <c r="N237" s="2"/>
      <c r="O237" s="2"/>
    </row>
    <row r="238">
      <c r="A238" s="19" t="s">
        <v>145</v>
      </c>
      <c r="B238" s="5" t="s">
        <v>37</v>
      </c>
      <c r="C238" s="5" t="s">
        <v>37</v>
      </c>
      <c r="D238" s="5" t="s">
        <v>37</v>
      </c>
      <c r="E238" s="5" t="s">
        <v>37</v>
      </c>
      <c r="F238" s="5" t="s">
        <v>37</v>
      </c>
      <c r="G238" s="5">
        <f>IF(AND(ISNUMBER(G236),ISNUMBER(B236)),(G236-B236)*10000,"n/a")</f>
        <v>230.12191070209852</v>
      </c>
      <c r="H238" s="5">
        <f>IF(AND(ISNUMBER(H236),ISNUMBER(C236)),(H236-C236)*10000,"n/a")</f>
        <v>227.74478602624214</v>
      </c>
      <c r="I238" s="45">
        <f>IF(AND(ISNUMBER(I236),ISNUMBER(D236)),(I236-D236)*10000,"n/a")</f>
        <v>58.90843211458774</v>
      </c>
      <c r="J238" s="2"/>
      <c r="K238" s="2"/>
      <c r="L238" s="2"/>
      <c r="M238" s="2"/>
      <c r="N238" s="2"/>
      <c r="O238" s="2"/>
    </row>
    <row r="239">
      <c r="A239" s="26" t="s">
        <v>473</v>
      </c>
      <c r="B239" s="12">
        <f>B182/B130</f>
        <v>0.31029031330842194</v>
      </c>
      <c r="C239" s="12">
        <f>C182/C130</f>
        <v>0.327384351798972</v>
      </c>
      <c r="D239" s="12">
        <f>D182/D130</f>
        <v>0.34547687269750305</v>
      </c>
      <c r="E239" s="12">
        <f>E182/E130</f>
        <v>0.34392396469789543</v>
      </c>
      <c r="F239" s="12">
        <f>F182/F130</f>
        <v>0.3321119486320491</v>
      </c>
      <c r="G239" s="12">
        <f>G182/G130</f>
        <v>0.33191547749725575</v>
      </c>
      <c r="H239" s="12">
        <f>H182/H130</f>
        <v>0.35269709543568467</v>
      </c>
      <c r="I239" s="35">
        <f>I182/I130</f>
        <v>0.3371560245466805</v>
      </c>
      <c r="J239" s="2"/>
      <c r="K239" s="2"/>
      <c r="L239" s="2"/>
      <c r="M239" s="2"/>
      <c r="N239" s="2"/>
      <c r="O239" s="2"/>
    </row>
    <row r="240">
      <c r="A240" s="19" t="s">
        <v>144</v>
      </c>
      <c r="B240" s="5" t="s">
        <v>37</v>
      </c>
      <c r="C240" s="5">
        <f>IF(AND(ISNUMBER(C239),ISNUMBER(B239)),(C239-B239)*10000,"n/a")</f>
        <v>170.9403849055008</v>
      </c>
      <c r="D240" s="5">
        <f>IF(AND(ISNUMBER(D239),ISNUMBER(C239)),(D239-C239)*10000,"n/a")</f>
        <v>180.9252089853103</v>
      </c>
      <c r="E240" s="5">
        <f>IF(AND(ISNUMBER(E239),ISNUMBER(D239)),(E239-D239)*10000,"n/a")</f>
        <v>-15.529079996076112</v>
      </c>
      <c r="F240" s="5" t="s">
        <v>37</v>
      </c>
      <c r="G240" s="5">
        <f>IF(AND(ISNUMBER(G239),ISNUMBER(E239)),(G239-E239)*10000,"n/a")</f>
        <v>-120.08487200639684</v>
      </c>
      <c r="H240" s="5">
        <f>IF(AND(ISNUMBER(H239),ISNUMBER(G239)),(H239-G239)*10000,"n/a")</f>
        <v>207.8161793842892</v>
      </c>
      <c r="I240" s="45">
        <f>IF(AND(ISNUMBER(I239),ISNUMBER(H239)),(I239-H239)*10000,"n/a")</f>
        <v>-155.41070889004195</v>
      </c>
      <c r="J240" s="2"/>
      <c r="K240" s="2"/>
      <c r="L240" s="2"/>
      <c r="M240" s="2"/>
      <c r="N240" s="2"/>
      <c r="O240" s="2"/>
    </row>
    <row r="241">
      <c r="A241" s="19" t="s">
        <v>145</v>
      </c>
      <c r="B241" s="5" t="s">
        <v>37</v>
      </c>
      <c r="C241" s="5" t="s">
        <v>37</v>
      </c>
      <c r="D241" s="5" t="s">
        <v>37</v>
      </c>
      <c r="E241" s="5" t="s">
        <v>37</v>
      </c>
      <c r="F241" s="5" t="s">
        <v>37</v>
      </c>
      <c r="G241" s="5">
        <f>IF(AND(ISNUMBER(G239),ISNUMBER(B239)),(G239-B239)*10000,"n/a")</f>
        <v>216.25164188833813</v>
      </c>
      <c r="H241" s="5">
        <f>IF(AND(ISNUMBER(H239),ISNUMBER(C239)),(H239-C239)*10000,"n/a")</f>
        <v>253.12743636712653</v>
      </c>
      <c r="I241" s="45">
        <f>IF(AND(ISNUMBER(I239),ISNUMBER(D239)),(I239-D239)*10000,"n/a")</f>
        <v>-83.20848150822569</v>
      </c>
      <c r="J241" s="2"/>
      <c r="K241" s="2"/>
      <c r="L241" s="2"/>
      <c r="M241" s="2"/>
      <c r="N241" s="2"/>
      <c r="O241" s="2"/>
    </row>
    <row r="242">
      <c r="A242" s="26" t="s">
        <v>474</v>
      </c>
      <c r="B242" s="12">
        <f>B203/B130</f>
        <v>0.23038229376257546</v>
      </c>
      <c r="C242" s="12">
        <f>C203/C130</f>
        <v>0.2474300399771559</v>
      </c>
      <c r="D242" s="12">
        <f>D203/D130</f>
        <v>0.2582889889480147</v>
      </c>
      <c r="E242" s="12">
        <f>E203/E130</f>
        <v>0.2668024439918534</v>
      </c>
      <c r="F242" s="12">
        <f>F203/F130</f>
        <v>0.2510469011725293</v>
      </c>
      <c r="G242" s="12">
        <f>G203/G130</f>
        <v>0.25260702524698136</v>
      </c>
      <c r="H242" s="12">
        <f>H203/H130</f>
        <v>0.27204356846473027</v>
      </c>
      <c r="I242" s="35">
        <f>I203/I130</f>
        <v>0.255956646357454</v>
      </c>
      <c r="J242" s="2"/>
      <c r="K242" s="2"/>
      <c r="L242" s="2"/>
      <c r="M242" s="2"/>
      <c r="N242" s="2"/>
      <c r="O242" s="2"/>
    </row>
    <row r="243">
      <c r="A243" s="19" t="s">
        <v>144</v>
      </c>
      <c r="B243" s="5" t="s">
        <v>37</v>
      </c>
      <c r="C243" s="5">
        <f>IF(AND(ISNUMBER(C242),ISNUMBER(B242)),(C242-B242)*10000,"n/a")</f>
        <v>170.4774621458044</v>
      </c>
      <c r="D243" s="5">
        <f>IF(AND(ISNUMBER(D242),ISNUMBER(C242)),(D242-C242)*10000,"n/a")</f>
        <v>108.58948970858818</v>
      </c>
      <c r="E243" s="5">
        <f>IF(AND(ISNUMBER(E242),ISNUMBER(D242)),(E242-D242)*10000,"n/a")</f>
        <v>85.13455043838658</v>
      </c>
      <c r="F243" s="5" t="s">
        <v>37</v>
      </c>
      <c r="G243" s="5">
        <f>IF(AND(ISNUMBER(G242),ISNUMBER(E242)),(G242-E242)*10000,"n/a")</f>
        <v>-141.95418744872012</v>
      </c>
      <c r="H243" s="5">
        <f>IF(AND(ISNUMBER(H242),ISNUMBER(G242)),(H242-G242)*10000,"n/a")</f>
        <v>194.36543217748903</v>
      </c>
      <c r="I243" s="45">
        <f>IF(AND(ISNUMBER(I242),ISNUMBER(H242)),(I242-H242)*10000,"n/a")</f>
        <v>-160.86922107276246</v>
      </c>
      <c r="J243" s="2"/>
      <c r="K243" s="2"/>
      <c r="L243" s="2"/>
      <c r="M243" s="2"/>
      <c r="N243" s="2"/>
      <c r="O243" s="2"/>
    </row>
    <row r="244">
      <c r="A244" s="19" t="s">
        <v>145</v>
      </c>
      <c r="B244" s="5" t="s">
        <v>37</v>
      </c>
      <c r="C244" s="5" t="s">
        <v>37</v>
      </c>
      <c r="D244" s="5" t="s">
        <v>37</v>
      </c>
      <c r="E244" s="5" t="s">
        <v>37</v>
      </c>
      <c r="F244" s="5" t="s">
        <v>37</v>
      </c>
      <c r="G244" s="5">
        <f>IF(AND(ISNUMBER(G242),ISNUMBER(B242)),(G242-B242)*10000,"n/a")</f>
        <v>222.24731484405902</v>
      </c>
      <c r="H244" s="5">
        <f>IF(AND(ISNUMBER(H242),ISNUMBER(C242)),(H242-C242)*10000,"n/a")</f>
        <v>246.13528487574365</v>
      </c>
      <c r="I244" s="45">
        <f>IF(AND(ISNUMBER(I242),ISNUMBER(D242)),(I242-D242)*10000,"n/a")</f>
        <v>-23.32342590560699</v>
      </c>
      <c r="J244" s="2"/>
      <c r="K244" s="2"/>
      <c r="L244" s="2"/>
      <c r="M244" s="2"/>
      <c r="N244" s="2"/>
      <c r="O244" s="2"/>
    </row>
    <row r="245">
      <c r="A245" s="26" t="s">
        <v>475</v>
      </c>
      <c r="B245" s="12">
        <f>B118/B130</f>
        <v>0.4075883874676631</v>
      </c>
      <c r="C245" s="12">
        <f>C118/C130</f>
        <v>0.42561393489434607</v>
      </c>
      <c r="D245" s="12">
        <f>D118/D130</f>
        <v>0.4209305498703779</v>
      </c>
      <c r="E245" s="12">
        <f>E118/E130</f>
        <v>0.41412084181941616</v>
      </c>
      <c r="F245" s="12">
        <f>F118/F130</f>
        <v>0.41708542713567837</v>
      </c>
      <c r="G245" s="12">
        <f>G118/G130</f>
        <v>0.41602634467618005</v>
      </c>
      <c r="H245" s="12">
        <f>H118/H130</f>
        <v>0.4375</v>
      </c>
      <c r="I245" s="35">
        <f>I118/I130</f>
        <v>0.43930736472917575</v>
      </c>
      <c r="J245" s="2"/>
      <c r="K245" s="2"/>
      <c r="L245" s="2"/>
      <c r="M245" s="2"/>
      <c r="N245" s="2"/>
      <c r="O245" s="2"/>
    </row>
    <row r="246">
      <c r="A246" s="19" t="s">
        <v>144</v>
      </c>
      <c r="B246" s="5" t="s">
        <v>37</v>
      </c>
      <c r="C246" s="5">
        <f>IF(AND(ISNUMBER(C245),ISNUMBER(B245)),(C245-B245)*10000,"n/a")</f>
        <v>180.25547426682942</v>
      </c>
      <c r="D246" s="5">
        <f>IF(AND(ISNUMBER(D245),ISNUMBER(C245)),(D245-C245)*10000,"n/a")</f>
        <v>-46.83385023968145</v>
      </c>
      <c r="E246" s="5">
        <f>IF(AND(ISNUMBER(E245),ISNUMBER(D245)),(E245-D245)*10000,"n/a")</f>
        <v>-68.0970805096176</v>
      </c>
      <c r="F246" s="5" t="s">
        <v>37</v>
      </c>
      <c r="G246" s="5">
        <f>IF(AND(ISNUMBER(G245),ISNUMBER(E245)),(G245-E245)*10000,"n/a")</f>
        <v>19.055028567638853</v>
      </c>
      <c r="H246" s="5">
        <f>IF(AND(ISNUMBER(H245),ISNUMBER(G245)),(H245-G245)*10000,"n/a")</f>
        <v>214.73655323819952</v>
      </c>
      <c r="I246" s="45">
        <f>IF(AND(ISNUMBER(I245),ISNUMBER(H245)),(I245-H245)*10000,"n/a")</f>
        <v>18.07364729175753</v>
      </c>
      <c r="J246" s="2"/>
      <c r="K246" s="2"/>
      <c r="L246" s="2"/>
      <c r="M246" s="2"/>
      <c r="N246" s="2"/>
      <c r="O246" s="2"/>
    </row>
    <row r="247">
      <c r="A247" s="19" t="s">
        <v>145</v>
      </c>
      <c r="B247" s="5" t="s">
        <v>37</v>
      </c>
      <c r="C247" s="5" t="s">
        <v>37</v>
      </c>
      <c r="D247" s="5" t="s">
        <v>37</v>
      </c>
      <c r="E247" s="5" t="s">
        <v>37</v>
      </c>
      <c r="F247" s="5" t="s">
        <v>37</v>
      </c>
      <c r="G247" s="5">
        <f>IF(AND(ISNUMBER(G245),ISNUMBER(B245)),(G245-B245)*10000,"n/a")</f>
        <v>84.37957208516922</v>
      </c>
      <c r="H247" s="5">
        <f>IF(AND(ISNUMBER(H245),ISNUMBER(C245)),(H245-C245)*10000,"n/a")</f>
        <v>118.86065105653931</v>
      </c>
      <c r="I247" s="45">
        <f>IF(AND(ISNUMBER(I245),ISNUMBER(D245)),(I245-D245)*10000,"n/a")</f>
        <v>183.7681485879783</v>
      </c>
      <c r="J247" s="2"/>
      <c r="K247" s="2"/>
      <c r="L247" s="2"/>
      <c r="M247" s="2"/>
      <c r="N247" s="2"/>
      <c r="O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162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476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477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36" t="s">
        <v>478</v>
      </c>
      <c r="B10" s="8">
        <v>50013</v>
      </c>
      <c r="C10" s="8">
        <v>57807</v>
      </c>
      <c r="D10" s="8">
        <v>66637</v>
      </c>
      <c r="E10" s="8">
        <v>46890</v>
      </c>
      <c r="F10" s="3">
        <f>E10</f>
        <v>46890</v>
      </c>
      <c r="G10" s="8">
        <v>48420</v>
      </c>
      <c r="H10" s="8">
        <v>66491</v>
      </c>
      <c r="I10" s="46">
        <f>I148-(I13+I17+I23+I64+I65+I69+I73+I76)</f>
        <v>68969.9253740951</v>
      </c>
      <c r="J10" s="6" t="s">
        <v>479</v>
      </c>
      <c r="K10" s="2"/>
      <c r="L10" s="2"/>
      <c r="M10" s="2"/>
      <c r="N10" s="2"/>
      <c r="O10" s="2"/>
    </row>
    <row r="11">
      <c r="A11" s="14" t="s">
        <v>122</v>
      </c>
      <c r="B11" s="12" t="s">
        <v>37</v>
      </c>
      <c r="C11" s="12" t="s">
        <v>37</v>
      </c>
      <c r="D11" s="12" t="s">
        <v>37</v>
      </c>
      <c r="E11" s="12" t="s">
        <v>37</v>
      </c>
      <c r="F11" s="12" t="s">
        <v>37</v>
      </c>
      <c r="G11" s="12">
        <f>G10/B10-1</f>
        <v>-0.031851718553176145</v>
      </c>
      <c r="H11" s="12">
        <f>H10/C10-1</f>
        <v>0.15022402131229784</v>
      </c>
      <c r="I11" s="35">
        <f>I10/D10-1</f>
        <v>0.03500945982104686</v>
      </c>
      <c r="J11" s="2"/>
      <c r="K11" s="2"/>
      <c r="L11" s="2"/>
      <c r="M11" s="2"/>
      <c r="N11" s="2"/>
      <c r="O11" s="2"/>
    </row>
    <row r="12">
      <c r="A12" s="14" t="s">
        <v>110</v>
      </c>
      <c r="B12" s="1" t="s">
        <v>37</v>
      </c>
      <c r="C12" s="1">
        <f>IF(AND(ISNUMBER(C10),ISNUMBER(B10)),C10-B10,"n/a")</f>
        <v>7794</v>
      </c>
      <c r="D12" s="1">
        <f>IF(AND(ISNUMBER(D10),ISNUMBER(C10)),D10-C10,"n/a")</f>
        <v>8830</v>
      </c>
      <c r="E12" s="1">
        <f>IF(AND(ISNUMBER(E10),ISNUMBER(D10)),E10-D10,"n/a")</f>
        <v>-19747</v>
      </c>
      <c r="F12" s="1" t="s">
        <v>37</v>
      </c>
      <c r="G12" s="1">
        <f>IF(AND(ISNUMBER(G10),ISNUMBER(E10)),G10-E10,"n/a")</f>
        <v>1530</v>
      </c>
      <c r="H12" s="1">
        <f>IF(AND(ISNUMBER(H10),ISNUMBER(G10)),H10-G10,"n/a")</f>
        <v>18071</v>
      </c>
      <c r="I12" s="13">
        <f>IF(AND(ISNUMBER(I10),ISNUMBER(H10)),I10-H10,"n/a")</f>
        <v>2478.9253740950953</v>
      </c>
      <c r="J12" s="2"/>
      <c r="K12" s="2"/>
      <c r="L12" s="2"/>
      <c r="M12" s="2"/>
      <c r="N12" s="2"/>
      <c r="O12" s="2"/>
    </row>
    <row r="13">
      <c r="A13" s="36" t="s">
        <v>480</v>
      </c>
      <c r="B13" s="8">
        <v>78008</v>
      </c>
      <c r="C13" s="8">
        <v>77879</v>
      </c>
      <c r="D13" s="8">
        <v>76931</v>
      </c>
      <c r="E13" s="8">
        <v>76170</v>
      </c>
      <c r="F13" s="3">
        <f>E13</f>
        <v>76170</v>
      </c>
      <c r="G13" s="8">
        <v>75442</v>
      </c>
      <c r="H13" s="8">
        <v>74085</v>
      </c>
      <c r="I13" s="46">
        <f>H13*(1+I14)</f>
        <v>72677.385</v>
      </c>
      <c r="J13" s="6" t="s">
        <v>481</v>
      </c>
      <c r="K13" s="2"/>
      <c r="L13" s="2"/>
      <c r="M13" s="2"/>
      <c r="N13" s="2"/>
      <c r="O13" s="2"/>
    </row>
    <row r="14">
      <c r="A14" s="14" t="s">
        <v>95</v>
      </c>
      <c r="B14" s="12" t="s">
        <v>37</v>
      </c>
      <c r="C14" s="12">
        <f>C13/B13-1</f>
        <v>-0.0016536765459952418</v>
      </c>
      <c r="D14" s="12">
        <f>D13/C13-1</f>
        <v>-0.012172729490620093</v>
      </c>
      <c r="E14" s="12">
        <f>E13/D13-1</f>
        <v>-0.009891981125944027</v>
      </c>
      <c r="F14" s="12" t="s">
        <v>37</v>
      </c>
      <c r="G14" s="12">
        <f>G13/E13-1</f>
        <v>-0.009557568596560317</v>
      </c>
      <c r="H14" s="12">
        <f>H13/G13-1</f>
        <v>-0.01798732801357339</v>
      </c>
      <c r="I14" s="60">
        <v>-0.019</v>
      </c>
      <c r="J14" s="6" t="s">
        <v>138</v>
      </c>
      <c r="K14" s="2"/>
      <c r="L14" s="2"/>
      <c r="M14" s="2"/>
      <c r="N14" s="2"/>
      <c r="O14" s="2"/>
    </row>
    <row r="15">
      <c r="A15" s="14" t="s">
        <v>122</v>
      </c>
      <c r="B15" s="12" t="s">
        <v>37</v>
      </c>
      <c r="C15" s="12" t="s">
        <v>37</v>
      </c>
      <c r="D15" s="12" t="s">
        <v>37</v>
      </c>
      <c r="E15" s="12" t="s">
        <v>37</v>
      </c>
      <c r="F15" s="12" t="s">
        <v>37</v>
      </c>
      <c r="G15" s="12">
        <f>G13/B13-1</f>
        <v>-0.032894062147472036</v>
      </c>
      <c r="H15" s="12">
        <f>H13/C13-1</f>
        <v>-0.04871659882638457</v>
      </c>
      <c r="I15" s="35">
        <f>I13/D13-1</f>
        <v>-0.055291299996100496</v>
      </c>
      <c r="J15" s="2"/>
      <c r="K15" s="2"/>
      <c r="L15" s="2"/>
      <c r="M15" s="2"/>
      <c r="N15" s="2"/>
      <c r="O15" s="2"/>
    </row>
    <row r="16">
      <c r="A16" s="14" t="s">
        <v>110</v>
      </c>
      <c r="B16" s="1" t="s">
        <v>37</v>
      </c>
      <c r="C16" s="1">
        <f>IF(AND(ISNUMBER(C13),ISNUMBER(B13)),C13-B13,"n/a")</f>
        <v>-129</v>
      </c>
      <c r="D16" s="1">
        <f>IF(AND(ISNUMBER(D13),ISNUMBER(C13)),D13-C13,"n/a")</f>
        <v>-948</v>
      </c>
      <c r="E16" s="1">
        <f>IF(AND(ISNUMBER(E13),ISNUMBER(D13)),E13-D13,"n/a")</f>
        <v>-761</v>
      </c>
      <c r="F16" s="1" t="s">
        <v>37</v>
      </c>
      <c r="G16" s="1">
        <f>IF(AND(ISNUMBER(G13),ISNUMBER(E13)),G13-E13,"n/a")</f>
        <v>-728</v>
      </c>
      <c r="H16" s="1">
        <f>IF(AND(ISNUMBER(H13),ISNUMBER(G13)),H13-G13,"n/a")</f>
        <v>-1357</v>
      </c>
      <c r="I16" s="13">
        <f>IF(AND(ISNUMBER(I13),ISNUMBER(H13)),I13-H13,"n/a")</f>
        <v>-1407.6150000000052</v>
      </c>
      <c r="J16" s="2"/>
      <c r="K16" s="2"/>
      <c r="L16" s="2"/>
      <c r="M16" s="2"/>
      <c r="N16" s="2"/>
      <c r="O16" s="2"/>
    </row>
    <row r="17">
      <c r="A17" s="36" t="s">
        <v>482</v>
      </c>
      <c r="B17" s="8">
        <v>86774</v>
      </c>
      <c r="C17" s="8">
        <v>90577</v>
      </c>
      <c r="D17" s="8">
        <v>89065</v>
      </c>
      <c r="E17" s="8">
        <v>90838</v>
      </c>
      <c r="F17" s="3">
        <f>E17</f>
        <v>90838</v>
      </c>
      <c r="G17" s="8">
        <v>93464</v>
      </c>
      <c r="H17" s="8">
        <v>89085</v>
      </c>
      <c r="I17" s="46">
        <f>H17*(1+I20)+I140</f>
        <v>87839.575</v>
      </c>
      <c r="J17" s="6" t="s">
        <v>483</v>
      </c>
      <c r="K17" s="2"/>
      <c r="L17" s="2"/>
      <c r="M17" s="2"/>
      <c r="N17" s="2"/>
      <c r="O17" s="2"/>
    </row>
    <row r="18">
      <c r="A18" s="14" t="s">
        <v>122</v>
      </c>
      <c r="B18" s="12" t="s">
        <v>37</v>
      </c>
      <c r="C18" s="12" t="s">
        <v>37</v>
      </c>
      <c r="D18" s="12" t="s">
        <v>37</v>
      </c>
      <c r="E18" s="12" t="s">
        <v>37</v>
      </c>
      <c r="F18" s="12" t="s">
        <v>37</v>
      </c>
      <c r="G18" s="12">
        <f>G17/B17-1</f>
        <v>0.07709682623827407</v>
      </c>
      <c r="H18" s="12">
        <f>H17/C17-1</f>
        <v>-0.016472172847411648</v>
      </c>
      <c r="I18" s="35">
        <f>I17/D17-1</f>
        <v>-0.013758771683601845</v>
      </c>
      <c r="J18" s="2"/>
      <c r="K18" s="2"/>
      <c r="L18" s="2"/>
      <c r="M18" s="2"/>
      <c r="N18" s="2"/>
      <c r="O18" s="2"/>
    </row>
    <row r="19">
      <c r="A19" s="14" t="s">
        <v>110</v>
      </c>
      <c r="B19" s="1" t="s">
        <v>37</v>
      </c>
      <c r="C19" s="1">
        <f>IF(AND(ISNUMBER(C17),ISNUMBER(B17)),C17-B17,"n/a")</f>
        <v>3803</v>
      </c>
      <c r="D19" s="1">
        <f>IF(AND(ISNUMBER(D17),ISNUMBER(C17)),D17-C17,"n/a")</f>
        <v>-1512</v>
      </c>
      <c r="E19" s="1">
        <f>IF(AND(ISNUMBER(E17),ISNUMBER(D17)),E17-D17,"n/a")</f>
        <v>1773</v>
      </c>
      <c r="F19" s="1" t="s">
        <v>37</v>
      </c>
      <c r="G19" s="1">
        <f>IF(AND(ISNUMBER(G17),ISNUMBER(E17)),G17-E17,"n/a")</f>
        <v>2626</v>
      </c>
      <c r="H19" s="1">
        <f>IF(AND(ISNUMBER(H17),ISNUMBER(G17)),H17-G17,"n/a")</f>
        <v>-4379</v>
      </c>
      <c r="I19" s="13">
        <f>IF(AND(ISNUMBER(I17),ISNUMBER(H17)),I17-H17,"n/a")</f>
        <v>-1245.425000000003</v>
      </c>
      <c r="J19" s="2"/>
      <c r="K19" s="2"/>
      <c r="L19" s="2"/>
      <c r="M19" s="2"/>
      <c r="N19" s="2"/>
      <c r="O19" s="2"/>
    </row>
    <row r="20">
      <c r="A20" s="14" t="s">
        <v>484</v>
      </c>
      <c r="B20" s="12" t="s">
        <v>37</v>
      </c>
      <c r="C20" s="12">
        <f>C17/B17-1</f>
        <v>0.04382649180630138</v>
      </c>
      <c r="D20" s="12">
        <f>D17/C17-1</f>
        <v>-0.01669297945394521</v>
      </c>
      <c r="E20" s="12">
        <f>E17/D17-1</f>
        <v>0.019906809633413847</v>
      </c>
      <c r="F20" s="12" t="s">
        <v>37</v>
      </c>
      <c r="G20" s="12">
        <f>G17/E17-1</f>
        <v>0.028908606530306802</v>
      </c>
      <c r="H20" s="12">
        <f>H17/G17-1</f>
        <v>-0.04685226397329456</v>
      </c>
      <c r="I20" s="60">
        <v>-0.005</v>
      </c>
      <c r="J20" s="2" t="s">
        <v>485</v>
      </c>
      <c r="K20" s="2"/>
      <c r="L20" s="2"/>
      <c r="M20" s="2"/>
      <c r="N20" s="2"/>
      <c r="O20" s="2"/>
    </row>
    <row r="21">
      <c r="A21" s="61" t="s">
        <v>144</v>
      </c>
      <c r="B21" s="5" t="s">
        <v>37</v>
      </c>
      <c r="C21" s="5" t="str">
        <f>IF(AND(ISNUMBER(C20),ISNUMBER(B20)),(C20-B20)*10000,"n/a")</f>
        <v>n/a</v>
      </c>
      <c r="D21" s="5">
        <f>IF(AND(ISNUMBER(D20),ISNUMBER(C20)),(D20-C20)*10000,"n/a")</f>
        <v>-605.194712602466</v>
      </c>
      <c r="E21" s="5">
        <f>IF(AND(ISNUMBER(E20),ISNUMBER(D20)),(E20-D20)*10000,"n/a")</f>
        <v>365.99789087359056</v>
      </c>
      <c r="F21" s="5" t="s">
        <v>37</v>
      </c>
      <c r="G21" s="5">
        <f>IF(AND(ISNUMBER(G20),ISNUMBER(E20)),(G20-E20)*10000,"n/a")</f>
        <v>90.01796896892955</v>
      </c>
      <c r="H21" s="5">
        <f>IF(AND(ISNUMBER(H20),ISNUMBER(G20)),(H20-G20)*10000,"n/a")</f>
        <v>-757.6087050360136</v>
      </c>
      <c r="I21" s="45">
        <f>IF(AND(ISNUMBER(I17),ISNUMBER(H17),ISNUMBER(H20)),((I17/H17-1)-H20)*10000,"n/a")</f>
        <v>328.7207651188129</v>
      </c>
      <c r="J21" s="2" t="s">
        <v>486</v>
      </c>
      <c r="K21" s="2"/>
      <c r="L21" s="2"/>
      <c r="M21" s="2"/>
      <c r="N21" s="2"/>
      <c r="O21" s="2"/>
    </row>
    <row r="22">
      <c r="A22" s="61" t="s">
        <v>145</v>
      </c>
      <c r="B22" s="5" t="s">
        <v>37</v>
      </c>
      <c r="C22" s="5" t="s">
        <v>37</v>
      </c>
      <c r="D22" s="5" t="s">
        <v>37</v>
      </c>
      <c r="E22" s="5" t="s">
        <v>37</v>
      </c>
      <c r="F22" s="5" t="s">
        <v>37</v>
      </c>
      <c r="G22" s="5" t="str">
        <f>IF(AND(ISNUMBER(G20),ISNUMBER(B20)),(G20-B20)*10000,"n/a")</f>
        <v>n/a</v>
      </c>
      <c r="H22" s="5">
        <f>IF(AND(ISNUMBER(H20),ISNUMBER(C20)),(H20-C20)*10000,"n/a")</f>
        <v>-906.7875577959594</v>
      </c>
      <c r="I22" s="45">
        <f>IF(AND(ISNUMBER(I17),ISNUMBER(H17),ISNUMBER(D20)),((I17/H17-1)-D20)*10000,"n/a")</f>
        <v>27.127919925319375</v>
      </c>
      <c r="J22" s="2"/>
      <c r="K22" s="2"/>
      <c r="L22" s="2"/>
      <c r="M22" s="2"/>
      <c r="N22" s="2"/>
      <c r="O22" s="2"/>
    </row>
    <row r="23">
      <c r="A23" s="36" t="s">
        <v>391</v>
      </c>
      <c r="B23" s="8">
        <v>1746</v>
      </c>
      <c r="C23" s="8">
        <v>2288</v>
      </c>
      <c r="D23" s="8">
        <v>2490</v>
      </c>
      <c r="E23" s="8">
        <v>2538</v>
      </c>
      <c r="F23" s="3">
        <f>E23</f>
        <v>2538</v>
      </c>
      <c r="G23" s="8">
        <v>2928</v>
      </c>
      <c r="H23" s="8">
        <v>3038</v>
      </c>
      <c r="I23" s="46">
        <f>H23*(1+I24)</f>
        <v>3007.62</v>
      </c>
      <c r="J23" s="2"/>
      <c r="K23" s="2"/>
      <c r="L23" s="2"/>
      <c r="M23" s="2"/>
      <c r="N23" s="2"/>
      <c r="O23" s="2"/>
    </row>
    <row r="24">
      <c r="A24" s="14" t="s">
        <v>95</v>
      </c>
      <c r="B24" s="12" t="s">
        <v>37</v>
      </c>
      <c r="C24" s="12">
        <f>C23/B23-1</f>
        <v>0.3104238258877434</v>
      </c>
      <c r="D24" s="12">
        <f>D23/C23-1</f>
        <v>0.08828671328671334</v>
      </c>
      <c r="E24" s="12">
        <f>E23/D23-1</f>
        <v>0.01927710843373487</v>
      </c>
      <c r="F24" s="12" t="s">
        <v>37</v>
      </c>
      <c r="G24" s="12">
        <f>G23/E23-1</f>
        <v>0.15366430260047292</v>
      </c>
      <c r="H24" s="12">
        <f>H23/G23-1</f>
        <v>0.037568306010928865</v>
      </c>
      <c r="I24" s="60">
        <v>-0.01</v>
      </c>
      <c r="J24" s="6" t="s">
        <v>138</v>
      </c>
      <c r="K24" s="2"/>
      <c r="L24" s="2"/>
      <c r="M24" s="2"/>
      <c r="N24" s="2"/>
      <c r="O24" s="2"/>
    </row>
    <row r="25">
      <c r="A25" s="14" t="s">
        <v>122</v>
      </c>
      <c r="B25" s="12" t="s">
        <v>37</v>
      </c>
      <c r="C25" s="12" t="s">
        <v>37</v>
      </c>
      <c r="D25" s="12" t="s">
        <v>37</v>
      </c>
      <c r="E25" s="12" t="s">
        <v>37</v>
      </c>
      <c r="F25" s="12" t="s">
        <v>37</v>
      </c>
      <c r="G25" s="12">
        <f>G23/B23-1</f>
        <v>0.6769759450171822</v>
      </c>
      <c r="H25" s="12">
        <f>H23/C23-1</f>
        <v>0.3277972027972027</v>
      </c>
      <c r="I25" s="35">
        <f>I23/D23-1</f>
        <v>0.20787951807228922</v>
      </c>
      <c r="J25" s="2"/>
      <c r="K25" s="2"/>
      <c r="L25" s="2"/>
      <c r="M25" s="2"/>
      <c r="N25" s="2"/>
      <c r="O25" s="2"/>
    </row>
    <row r="26">
      <c r="A26" s="14" t="s">
        <v>110</v>
      </c>
      <c r="B26" s="1" t="s">
        <v>37</v>
      </c>
      <c r="C26" s="1">
        <f>IF(AND(ISNUMBER(C23),ISNUMBER(B23)),C23-B23,"n/a")</f>
        <v>542</v>
      </c>
      <c r="D26" s="1">
        <f>IF(AND(ISNUMBER(D23),ISNUMBER(C23)),D23-C23,"n/a")</f>
        <v>202</v>
      </c>
      <c r="E26" s="1">
        <f>IF(AND(ISNUMBER(E23),ISNUMBER(D23)),E23-D23,"n/a")</f>
        <v>48</v>
      </c>
      <c r="F26" s="1" t="s">
        <v>37</v>
      </c>
      <c r="G26" s="1">
        <f>IF(AND(ISNUMBER(G23),ISNUMBER(E23)),G23-E23,"n/a")</f>
        <v>390</v>
      </c>
      <c r="H26" s="1">
        <f>IF(AND(ISNUMBER(H23),ISNUMBER(G23)),H23-G23,"n/a")</f>
        <v>110</v>
      </c>
      <c r="I26" s="13">
        <f>IF(AND(ISNUMBER(I23),ISNUMBER(H23)),I23-H23,"n/a")</f>
        <v>-30.38000000000011</v>
      </c>
      <c r="J26" s="2"/>
      <c r="K26" s="2"/>
      <c r="L26" s="2"/>
      <c r="M26" s="2"/>
      <c r="N26" s="2"/>
      <c r="O26" s="2"/>
    </row>
    <row r="27">
      <c r="A27" s="36" t="s">
        <v>487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>
      <c r="A28" s="62" t="s">
        <v>488</v>
      </c>
      <c r="B28" s="8">
        <v>138331</v>
      </c>
      <c r="C28" s="8">
        <v>141582</v>
      </c>
      <c r="D28" s="8">
        <v>142574</v>
      </c>
      <c r="E28" s="8">
        <v>148161</v>
      </c>
      <c r="F28" s="3">
        <f>E28</f>
        <v>148161</v>
      </c>
      <c r="G28" s="8">
        <v>154095</v>
      </c>
      <c r="H28" s="8">
        <v>159655</v>
      </c>
      <c r="I28" s="46">
        <f>H28*(1+I29)</f>
        <v>162049.82499999998</v>
      </c>
      <c r="J28" s="2"/>
      <c r="K28" s="2"/>
      <c r="L28" s="2"/>
      <c r="M28" s="2"/>
      <c r="N28" s="2"/>
      <c r="O28" s="2"/>
    </row>
    <row r="29">
      <c r="A29" s="61" t="s">
        <v>95</v>
      </c>
      <c r="B29" s="12" t="s">
        <v>37</v>
      </c>
      <c r="C29" s="12">
        <f>C28/B28-1</f>
        <v>0.023501601231828095</v>
      </c>
      <c r="D29" s="12">
        <f>D28/C28-1</f>
        <v>0.007006540379426829</v>
      </c>
      <c r="E29" s="12">
        <f>E28/D28-1</f>
        <v>0.03918666797592829</v>
      </c>
      <c r="F29" s="12" t="s">
        <v>37</v>
      </c>
      <c r="G29" s="12">
        <f>G28/E28-1</f>
        <v>0.04005102557353157</v>
      </c>
      <c r="H29" s="12">
        <f>H28/G28-1</f>
        <v>0.03608163795061481</v>
      </c>
      <c r="I29" s="60">
        <v>0.015</v>
      </c>
      <c r="J29" s="6" t="s">
        <v>138</v>
      </c>
      <c r="K29" s="2"/>
      <c r="L29" s="2"/>
      <c r="M29" s="2"/>
      <c r="N29" s="2"/>
      <c r="O29" s="2"/>
    </row>
    <row r="30">
      <c r="A30" s="61" t="s">
        <v>122</v>
      </c>
      <c r="B30" s="12" t="s">
        <v>37</v>
      </c>
      <c r="C30" s="12" t="s">
        <v>37</v>
      </c>
      <c r="D30" s="12" t="s">
        <v>37</v>
      </c>
      <c r="E30" s="12" t="s">
        <v>37</v>
      </c>
      <c r="F30" s="12" t="s">
        <v>37</v>
      </c>
      <c r="G30" s="12">
        <f>G28/B28-1</f>
        <v>0.11395854869841182</v>
      </c>
      <c r="H30" s="12">
        <f>H28/C28-1</f>
        <v>0.12765040753768142</v>
      </c>
      <c r="I30" s="35">
        <f>I28/D28-1</f>
        <v>0.13660151921107633</v>
      </c>
      <c r="J30" s="2"/>
      <c r="K30" s="2"/>
      <c r="L30" s="2"/>
      <c r="M30" s="2"/>
      <c r="N30" s="2"/>
      <c r="O30" s="2"/>
    </row>
    <row r="31">
      <c r="A31" s="61" t="s">
        <v>110</v>
      </c>
      <c r="B31" s="1" t="s">
        <v>37</v>
      </c>
      <c r="C31" s="1">
        <f>IF(AND(ISNUMBER(C28),ISNUMBER(B28)),C28-B28,"n/a")</f>
        <v>3251</v>
      </c>
      <c r="D31" s="1">
        <f>IF(AND(ISNUMBER(D28),ISNUMBER(C28)),D28-C28,"n/a")</f>
        <v>992</v>
      </c>
      <c r="E31" s="1">
        <f>IF(AND(ISNUMBER(E28),ISNUMBER(D28)),E28-D28,"n/a")</f>
        <v>5587</v>
      </c>
      <c r="F31" s="1" t="s">
        <v>37</v>
      </c>
      <c r="G31" s="1">
        <f>IF(AND(ISNUMBER(G28),ISNUMBER(E28)),G28-E28,"n/a")</f>
        <v>5934</v>
      </c>
      <c r="H31" s="1">
        <f>IF(AND(ISNUMBER(H28),ISNUMBER(G28)),H28-G28,"n/a")</f>
        <v>5560</v>
      </c>
      <c r="I31" s="13">
        <f>IF(AND(ISNUMBER(I28),ISNUMBER(H28)),I28-H28,"n/a")</f>
        <v>2394.8249999999825</v>
      </c>
      <c r="J31" s="2"/>
      <c r="K31" s="2"/>
      <c r="L31" s="2"/>
      <c r="M31" s="2"/>
      <c r="N31" s="2"/>
      <c r="O31" s="2"/>
    </row>
    <row r="32">
      <c r="A32" s="62" t="s">
        <v>489</v>
      </c>
      <c r="B32" s="8">
        <v>48334</v>
      </c>
      <c r="C32" s="8">
        <v>48181</v>
      </c>
      <c r="D32" s="8">
        <v>48244</v>
      </c>
      <c r="E32" s="8">
        <v>48920</v>
      </c>
      <c r="F32" s="3">
        <f>E32</f>
        <v>48920</v>
      </c>
      <c r="G32" s="8">
        <v>49971</v>
      </c>
      <c r="H32" s="8">
        <v>52348</v>
      </c>
      <c r="I32" s="46">
        <f>H32*(1+I33)</f>
        <v>53133.219999999994</v>
      </c>
      <c r="J32" s="2"/>
      <c r="K32" s="2"/>
      <c r="L32" s="2"/>
      <c r="M32" s="2"/>
      <c r="N32" s="2"/>
      <c r="O32" s="2"/>
    </row>
    <row r="33">
      <c r="A33" s="61" t="s">
        <v>95</v>
      </c>
      <c r="B33" s="12" t="s">
        <v>37</v>
      </c>
      <c r="C33" s="12">
        <f>C32/B32-1</f>
        <v>-0.0031654735796747824</v>
      </c>
      <c r="D33" s="12">
        <f>D32/C32-1</f>
        <v>0.0013075693738195948</v>
      </c>
      <c r="E33" s="12">
        <f>E32/D32-1</f>
        <v>0.014012105132244379</v>
      </c>
      <c r="F33" s="12" t="s">
        <v>37</v>
      </c>
      <c r="G33" s="12">
        <f>G32/E32-1</f>
        <v>0.02148405560098121</v>
      </c>
      <c r="H33" s="12">
        <f>H32/G32-1</f>
        <v>0.04756758920173709</v>
      </c>
      <c r="I33" s="60">
        <v>0.015</v>
      </c>
      <c r="J33" s="6" t="s">
        <v>138</v>
      </c>
      <c r="K33" s="2"/>
      <c r="L33" s="2"/>
      <c r="M33" s="2"/>
      <c r="N33" s="2"/>
      <c r="O33" s="2"/>
    </row>
    <row r="34">
      <c r="A34" s="61" t="s">
        <v>122</v>
      </c>
      <c r="B34" s="12" t="s">
        <v>37</v>
      </c>
      <c r="C34" s="12" t="s">
        <v>37</v>
      </c>
      <c r="D34" s="12" t="s">
        <v>37</v>
      </c>
      <c r="E34" s="12" t="s">
        <v>37</v>
      </c>
      <c r="F34" s="12" t="s">
        <v>37</v>
      </c>
      <c r="G34" s="12">
        <f>G32/B32-1</f>
        <v>0.033868498365539734</v>
      </c>
      <c r="H34" s="12">
        <f>H32/C32-1</f>
        <v>0.08648637429692196</v>
      </c>
      <c r="I34" s="35">
        <f>I32/D32-1</f>
        <v>0.10134358676726629</v>
      </c>
      <c r="J34" s="2"/>
      <c r="K34" s="2"/>
      <c r="L34" s="2"/>
      <c r="M34" s="2"/>
      <c r="N34" s="2"/>
      <c r="O34" s="2"/>
    </row>
    <row r="35">
      <c r="A35" s="61" t="s">
        <v>110</v>
      </c>
      <c r="B35" s="1" t="s">
        <v>37</v>
      </c>
      <c r="C35" s="1">
        <f>IF(AND(ISNUMBER(C32),ISNUMBER(B32)),C32-B32,"n/a")</f>
        <v>-153</v>
      </c>
      <c r="D35" s="1">
        <f>IF(AND(ISNUMBER(D32),ISNUMBER(C32)),D32-C32,"n/a")</f>
        <v>63</v>
      </c>
      <c r="E35" s="1">
        <f>IF(AND(ISNUMBER(E32),ISNUMBER(D32)),E32-D32,"n/a")</f>
        <v>676</v>
      </c>
      <c r="F35" s="1" t="s">
        <v>37</v>
      </c>
      <c r="G35" s="1">
        <f>IF(AND(ISNUMBER(G32),ISNUMBER(E32)),G32-E32,"n/a")</f>
        <v>1051</v>
      </c>
      <c r="H35" s="1">
        <f>IF(AND(ISNUMBER(H32),ISNUMBER(G32)),H32-G32,"n/a")</f>
        <v>2377</v>
      </c>
      <c r="I35" s="13">
        <f>IF(AND(ISNUMBER(I32),ISNUMBER(H32)),I32-H32,"n/a")</f>
        <v>785.2199999999939</v>
      </c>
      <c r="J35" s="2"/>
      <c r="K35" s="2"/>
      <c r="L35" s="2"/>
      <c r="M35" s="2"/>
      <c r="N35" s="2"/>
      <c r="O35" s="2"/>
    </row>
    <row r="36">
      <c r="A36" s="62" t="s">
        <v>269</v>
      </c>
      <c r="B36" s="8">
        <v>118907</v>
      </c>
      <c r="C36" s="8">
        <v>114475</v>
      </c>
      <c r="D36" s="8">
        <v>115046</v>
      </c>
      <c r="E36" s="8">
        <v>115885</v>
      </c>
      <c r="F36" s="3">
        <f>E36</f>
        <v>115885</v>
      </c>
      <c r="G36" s="8">
        <v>117285</v>
      </c>
      <c r="H36" s="8">
        <v>117311</v>
      </c>
      <c r="I36" s="46">
        <f>H36*(1+I37)</f>
        <v>117545.622</v>
      </c>
      <c r="J36" s="2"/>
      <c r="K36" s="2"/>
      <c r="L36" s="2"/>
      <c r="M36" s="2"/>
      <c r="N36" s="2"/>
      <c r="O36" s="2"/>
    </row>
    <row r="37">
      <c r="A37" s="61" t="s">
        <v>95</v>
      </c>
      <c r="B37" s="12" t="s">
        <v>37</v>
      </c>
      <c r="C37" s="12">
        <f>C36/B36-1</f>
        <v>-0.03727282666285414</v>
      </c>
      <c r="D37" s="12">
        <f>D36/C36-1</f>
        <v>0.004987988643808672</v>
      </c>
      <c r="E37" s="12">
        <f>E36/D36-1</f>
        <v>0.007292735079881041</v>
      </c>
      <c r="F37" s="12" t="s">
        <v>37</v>
      </c>
      <c r="G37" s="12">
        <f>G36/E36-1</f>
        <v>0.012080942313500431</v>
      </c>
      <c r="H37" s="12">
        <f>H36/G36-1</f>
        <v>0.0002216822270537655</v>
      </c>
      <c r="I37" s="60">
        <v>0.002</v>
      </c>
      <c r="J37" s="6" t="s">
        <v>138</v>
      </c>
      <c r="K37" s="2"/>
      <c r="L37" s="2"/>
      <c r="M37" s="2"/>
      <c r="N37" s="2"/>
      <c r="O37" s="2"/>
    </row>
    <row r="38">
      <c r="A38" s="61" t="s">
        <v>122</v>
      </c>
      <c r="B38" s="12" t="s">
        <v>37</v>
      </c>
      <c r="C38" s="12" t="s">
        <v>37</v>
      </c>
      <c r="D38" s="12" t="s">
        <v>37</v>
      </c>
      <c r="E38" s="12" t="s">
        <v>37</v>
      </c>
      <c r="F38" s="12" t="s">
        <v>37</v>
      </c>
      <c r="G38" s="12">
        <f>G36/B36-1</f>
        <v>-0.013640912646017522</v>
      </c>
      <c r="H38" s="12">
        <f>H36/C36-1</f>
        <v>0.024773968115308964</v>
      </c>
      <c r="I38" s="35">
        <f>I36/D36-1</f>
        <v>0.02172715261721403</v>
      </c>
      <c r="J38" s="2"/>
      <c r="K38" s="2"/>
      <c r="L38" s="2"/>
      <c r="M38" s="2"/>
      <c r="N38" s="2"/>
      <c r="O38" s="2"/>
    </row>
    <row r="39">
      <c r="A39" s="61" t="s">
        <v>110</v>
      </c>
      <c r="B39" s="1" t="s">
        <v>37</v>
      </c>
      <c r="C39" s="1">
        <f>IF(AND(ISNUMBER(C36),ISNUMBER(B36)),C36-B36,"n/a")</f>
        <v>-4432</v>
      </c>
      <c r="D39" s="1">
        <f>IF(AND(ISNUMBER(D36),ISNUMBER(C36)),D36-C36,"n/a")</f>
        <v>571</v>
      </c>
      <c r="E39" s="1">
        <f>IF(AND(ISNUMBER(E36),ISNUMBER(D36)),E36-D36,"n/a")</f>
        <v>839</v>
      </c>
      <c r="F39" s="1" t="s">
        <v>37</v>
      </c>
      <c r="G39" s="1">
        <f>IF(AND(ISNUMBER(G36),ISNUMBER(E36)),G36-E36,"n/a")</f>
        <v>1400</v>
      </c>
      <c r="H39" s="1">
        <f>IF(AND(ISNUMBER(H36),ISNUMBER(G36)),H36-G36,"n/a")</f>
        <v>26</v>
      </c>
      <c r="I39" s="13">
        <f>IF(AND(ISNUMBER(I36),ISNUMBER(H36)),I36-H36,"n/a")</f>
        <v>234.62200000000303</v>
      </c>
      <c r="J39" s="2"/>
      <c r="K39" s="2"/>
      <c r="L39" s="2"/>
      <c r="M39" s="2"/>
      <c r="N39" s="2"/>
      <c r="O39" s="2"/>
    </row>
    <row r="40">
      <c r="A40" s="62" t="s">
        <v>490</v>
      </c>
      <c r="B40" s="8">
        <v>34973</v>
      </c>
      <c r="C40" s="8">
        <v>35857</v>
      </c>
      <c r="D40" s="8">
        <v>36434</v>
      </c>
      <c r="E40" s="8">
        <v>38031</v>
      </c>
      <c r="F40" s="3">
        <f>E40</f>
        <v>38031</v>
      </c>
      <c r="G40" s="8">
        <v>37654</v>
      </c>
      <c r="H40" s="8">
        <v>39079</v>
      </c>
      <c r="I40" s="49">
        <f>H40*(1+I43)+'Segment - Payment Services'!I40</f>
        <v>41265.185</v>
      </c>
      <c r="J40" s="2"/>
      <c r="K40" s="2"/>
      <c r="L40" s="2"/>
      <c r="M40" s="2"/>
      <c r="N40" s="2"/>
      <c r="O40" s="2"/>
    </row>
    <row r="41">
      <c r="A41" s="61" t="s">
        <v>122</v>
      </c>
      <c r="B41" s="12" t="s">
        <v>37</v>
      </c>
      <c r="C41" s="12" t="s">
        <v>37</v>
      </c>
      <c r="D41" s="12" t="s">
        <v>37</v>
      </c>
      <c r="E41" s="12" t="s">
        <v>37</v>
      </c>
      <c r="F41" s="12" t="s">
        <v>37</v>
      </c>
      <c r="G41" s="12">
        <f>G40/B40-1</f>
        <v>0.0766591370485803</v>
      </c>
      <c r="H41" s="12">
        <f>H40/C40-1</f>
        <v>0.08985693170092302</v>
      </c>
      <c r="I41" s="35">
        <f>I40/D40-1</f>
        <v>0.13260100455618362</v>
      </c>
      <c r="J41" s="2"/>
      <c r="K41" s="2"/>
      <c r="L41" s="2"/>
      <c r="M41" s="2"/>
      <c r="N41" s="2"/>
      <c r="O41" s="2"/>
    </row>
    <row r="42">
      <c r="A42" s="61" t="s">
        <v>110</v>
      </c>
      <c r="B42" s="1" t="s">
        <v>37</v>
      </c>
      <c r="C42" s="1">
        <f>IF(AND(ISNUMBER(C40),ISNUMBER(B40)),C40-B40,"n/a")</f>
        <v>884</v>
      </c>
      <c r="D42" s="1">
        <f>IF(AND(ISNUMBER(D40),ISNUMBER(C40)),D40-C40,"n/a")</f>
        <v>577</v>
      </c>
      <c r="E42" s="1">
        <f>IF(AND(ISNUMBER(E40),ISNUMBER(D40)),E40-D40,"n/a")</f>
        <v>1597</v>
      </c>
      <c r="F42" s="1" t="s">
        <v>37</v>
      </c>
      <c r="G42" s="1">
        <f>IF(AND(ISNUMBER(G40),ISNUMBER(E40)),G40-E40,"n/a")</f>
        <v>-377</v>
      </c>
      <c r="H42" s="1">
        <f>IF(AND(ISNUMBER(H40),ISNUMBER(G40)),H40-G40,"n/a")</f>
        <v>1425</v>
      </c>
      <c r="I42" s="13">
        <f>IF(AND(ISNUMBER(I40),ISNUMBER(H40)),I40-H40,"n/a")</f>
        <v>2186.1849999999977</v>
      </c>
      <c r="J42" s="2"/>
      <c r="K42" s="2"/>
      <c r="L42" s="2"/>
      <c r="M42" s="2"/>
      <c r="N42" s="2"/>
      <c r="O42" s="2"/>
    </row>
    <row r="43">
      <c r="A43" s="61" t="s">
        <v>491</v>
      </c>
      <c r="B43" s="12" t="s">
        <v>37</v>
      </c>
      <c r="C43" s="12" t="s">
        <v>37</v>
      </c>
      <c r="D43" s="12" t="s">
        <v>37</v>
      </c>
      <c r="E43" s="12" t="s">
        <v>37</v>
      </c>
      <c r="F43" s="12" t="s">
        <v>37</v>
      </c>
      <c r="G43" s="12" t="s">
        <v>37</v>
      </c>
      <c r="H43" s="12" t="s">
        <v>37</v>
      </c>
      <c r="I43" s="60">
        <v>0.015</v>
      </c>
      <c r="J43" s="6" t="s">
        <v>138</v>
      </c>
      <c r="K43" s="2"/>
      <c r="L43" s="2"/>
      <c r="M43" s="2"/>
      <c r="N43" s="2"/>
      <c r="O43" s="2"/>
    </row>
    <row r="44">
      <c r="A44" s="62" t="s">
        <v>492</v>
      </c>
      <c r="B44" s="8">
        <v>41274</v>
      </c>
      <c r="C44" s="8">
        <v>40148</v>
      </c>
      <c r="D44" s="8">
        <v>40219</v>
      </c>
      <c r="E44" s="8">
        <v>40338</v>
      </c>
      <c r="F44" s="3">
        <f>E44</f>
        <v>40338</v>
      </c>
      <c r="G44" s="8">
        <v>40791</v>
      </c>
      <c r="H44" s="8">
        <v>41907</v>
      </c>
      <c r="I44" s="46">
        <f>H44*(1+I45)</f>
        <v>42326.07</v>
      </c>
      <c r="J44" s="2"/>
      <c r="K44" s="2"/>
      <c r="L44" s="2"/>
      <c r="M44" s="2"/>
      <c r="N44" s="2"/>
      <c r="O44" s="2"/>
    </row>
    <row r="45">
      <c r="A45" s="61" t="s">
        <v>95</v>
      </c>
      <c r="B45" s="12" t="s">
        <v>37</v>
      </c>
      <c r="C45" s="12">
        <f>C44/B44-1</f>
        <v>-0.02728109705868098</v>
      </c>
      <c r="D45" s="12">
        <f>D44/C44-1</f>
        <v>0.0017684567101723392</v>
      </c>
      <c r="E45" s="12">
        <f>E44/D44-1</f>
        <v>0.002958800566896347</v>
      </c>
      <c r="F45" s="12" t="s">
        <v>37</v>
      </c>
      <c r="G45" s="12">
        <f>G44/E44-1</f>
        <v>0.011230105607615615</v>
      </c>
      <c r="H45" s="12">
        <f>H44/G44-1</f>
        <v>0.027358976244759914</v>
      </c>
      <c r="I45" s="60">
        <v>0.01</v>
      </c>
      <c r="J45" s="6" t="s">
        <v>138</v>
      </c>
      <c r="K45" s="2"/>
      <c r="L45" s="2"/>
      <c r="M45" s="2"/>
      <c r="N45" s="2"/>
      <c r="O45" s="2"/>
    </row>
    <row r="46">
      <c r="A46" s="61" t="s">
        <v>122</v>
      </c>
      <c r="B46" s="12" t="s">
        <v>37</v>
      </c>
      <c r="C46" s="12" t="s">
        <v>37</v>
      </c>
      <c r="D46" s="12" t="s">
        <v>37</v>
      </c>
      <c r="E46" s="12" t="s">
        <v>37</v>
      </c>
      <c r="F46" s="12" t="s">
        <v>37</v>
      </c>
      <c r="G46" s="12">
        <f>G44/B44-1</f>
        <v>-0.011702282308475032</v>
      </c>
      <c r="H46" s="12">
        <f>H44/C44-1</f>
        <v>0.0438128922984955</v>
      </c>
      <c r="I46" s="35">
        <f>I44/D44-1</f>
        <v>0.05238991521420222</v>
      </c>
      <c r="J46" s="2"/>
      <c r="K46" s="2"/>
      <c r="L46" s="2"/>
      <c r="M46" s="2"/>
      <c r="N46" s="2"/>
      <c r="O46" s="2"/>
    </row>
    <row r="47">
      <c r="A47" s="61" t="s">
        <v>110</v>
      </c>
      <c r="B47" s="1" t="s">
        <v>37</v>
      </c>
      <c r="C47" s="1">
        <f>IF(AND(ISNUMBER(C44),ISNUMBER(B44)),C44-B44,"n/a")</f>
        <v>-1126</v>
      </c>
      <c r="D47" s="1">
        <f>IF(AND(ISNUMBER(D44),ISNUMBER(C44)),D44-C44,"n/a")</f>
        <v>71</v>
      </c>
      <c r="E47" s="1">
        <f>IF(AND(ISNUMBER(E44),ISNUMBER(D44)),E44-D44,"n/a")</f>
        <v>119</v>
      </c>
      <c r="F47" s="1" t="s">
        <v>37</v>
      </c>
      <c r="G47" s="1">
        <f>IF(AND(ISNUMBER(G44),ISNUMBER(E44)),G44-E44,"n/a")</f>
        <v>453</v>
      </c>
      <c r="H47" s="1">
        <f>IF(AND(ISNUMBER(H44),ISNUMBER(G44)),H44-G44,"n/a")</f>
        <v>1116</v>
      </c>
      <c r="I47" s="13">
        <f>IF(AND(ISNUMBER(I44),ISNUMBER(H44)),I44-H44,"n/a")</f>
        <v>419.0699999999997</v>
      </c>
      <c r="J47" s="2"/>
      <c r="K47" s="2"/>
      <c r="L47" s="2"/>
      <c r="M47" s="2"/>
      <c r="N47" s="2"/>
      <c r="O47" s="2"/>
    </row>
    <row r="48">
      <c r="A48" s="68" t="s">
        <v>493</v>
      </c>
      <c r="B48" s="15">
        <f>B28+B32+B36+B40+B44</f>
        <v>381819</v>
      </c>
      <c r="C48" s="15">
        <f>C28+C32+C36+C40+C44</f>
        <v>380243</v>
      </c>
      <c r="D48" s="15">
        <f>D28+D32+D36+D40+D44</f>
        <v>382517</v>
      </c>
      <c r="E48" s="15">
        <f>E28+E32+E36+E40+E44</f>
        <v>391335</v>
      </c>
      <c r="F48" s="15">
        <f>F28+F32+F36+F40+F44</f>
        <v>391335</v>
      </c>
      <c r="G48" s="15">
        <f>G28+G32+G36+G40+G44</f>
        <v>399796</v>
      </c>
      <c r="H48" s="15">
        <f>H28+H32+H36+H40+H44</f>
        <v>410300</v>
      </c>
      <c r="I48" s="38">
        <f>I28+I32+I36+I40+I44</f>
        <v>416319.922</v>
      </c>
      <c r="J48" s="2"/>
      <c r="K48" s="2"/>
      <c r="L48" s="2"/>
      <c r="M48" s="2"/>
      <c r="N48" s="2"/>
      <c r="O48" s="2"/>
    </row>
    <row r="49">
      <c r="A49" s="14" t="s">
        <v>122</v>
      </c>
      <c r="B49" s="12" t="s">
        <v>37</v>
      </c>
      <c r="C49" s="12" t="s">
        <v>37</v>
      </c>
      <c r="D49" s="12" t="s">
        <v>37</v>
      </c>
      <c r="E49" s="12" t="s">
        <v>37</v>
      </c>
      <c r="F49" s="12" t="s">
        <v>37</v>
      </c>
      <c r="G49" s="12">
        <f>G48/B48-1</f>
        <v>0.04708251815650866</v>
      </c>
      <c r="H49" s="12">
        <f>H48/C48-1</f>
        <v>0.07904682005980379</v>
      </c>
      <c r="I49" s="35">
        <f>I48/D48-1</f>
        <v>0.08836972474425986</v>
      </c>
      <c r="J49" s="2"/>
      <c r="K49" s="2"/>
      <c r="L49" s="2"/>
      <c r="M49" s="2"/>
      <c r="N49" s="2"/>
      <c r="O49" s="2"/>
    </row>
    <row r="50">
      <c r="A50" s="14" t="s">
        <v>110</v>
      </c>
      <c r="B50" s="1" t="s">
        <v>37</v>
      </c>
      <c r="C50" s="1">
        <f>IF(AND(ISNUMBER(C48),ISNUMBER(B48)),C48-B48,"n/a")</f>
        <v>-1576</v>
      </c>
      <c r="D50" s="1">
        <f>IF(AND(ISNUMBER(D48),ISNUMBER(C48)),D48-C48,"n/a")</f>
        <v>2274</v>
      </c>
      <c r="E50" s="1">
        <f>IF(AND(ISNUMBER(E48),ISNUMBER(D48)),E48-D48,"n/a")</f>
        <v>8818</v>
      </c>
      <c r="F50" s="1" t="s">
        <v>37</v>
      </c>
      <c r="G50" s="1">
        <f>IF(AND(ISNUMBER(G48),ISNUMBER(E48)),G48-E48,"n/a")</f>
        <v>8461</v>
      </c>
      <c r="H50" s="1">
        <f>IF(AND(ISNUMBER(H48),ISNUMBER(G48)),H48-G48,"n/a")</f>
        <v>10504</v>
      </c>
      <c r="I50" s="13">
        <f>IF(AND(ISNUMBER(I48),ISNUMBER(H48)),I48-H48,"n/a")</f>
        <v>6019.9220000000205</v>
      </c>
      <c r="J50" s="2"/>
      <c r="K50" s="2"/>
      <c r="L50" s="2"/>
      <c r="M50" s="2"/>
      <c r="N50" s="2"/>
      <c r="O50" s="2"/>
    </row>
    <row r="51">
      <c r="A51" s="36" t="s">
        <v>494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>
      <c r="A52" s="62" t="s">
        <v>495</v>
      </c>
      <c r="B52" s="3" t="s">
        <v>37</v>
      </c>
      <c r="C52" s="3">
        <f>B48</f>
        <v>381819</v>
      </c>
      <c r="D52" s="3">
        <f>C48</f>
        <v>380243</v>
      </c>
      <c r="E52" s="3">
        <f>D48</f>
        <v>382517</v>
      </c>
      <c r="F52" s="3" t="s">
        <v>37</v>
      </c>
      <c r="G52" s="3">
        <f>E48</f>
        <v>391335</v>
      </c>
      <c r="H52" s="3">
        <f>G48</f>
        <v>399796</v>
      </c>
      <c r="I52" s="46">
        <f>H48</f>
        <v>410300</v>
      </c>
      <c r="J52" s="2"/>
      <c r="K52" s="2"/>
      <c r="L52" s="2"/>
      <c r="M52" s="2"/>
      <c r="N52" s="2"/>
      <c r="O52" s="2"/>
    </row>
    <row r="53">
      <c r="A53" s="62" t="s">
        <v>176</v>
      </c>
      <c r="B53" s="3" t="s">
        <v>37</v>
      </c>
      <c r="C53" s="3">
        <f>-C153</f>
        <v>-554</v>
      </c>
      <c r="D53" s="3">
        <f>-D153</f>
        <v>-536</v>
      </c>
      <c r="E53" s="3">
        <f>-E153</f>
        <v>-527</v>
      </c>
      <c r="F53" s="3" t="s">
        <v>37</v>
      </c>
      <c r="G53" s="3">
        <f>-G153</f>
        <v>-546</v>
      </c>
      <c r="H53" s="3">
        <f>-H153</f>
        <v>-536</v>
      </c>
      <c r="I53" s="46">
        <f>-I153</f>
        <v>-557.6114442520548</v>
      </c>
      <c r="J53" s="2"/>
      <c r="K53" s="2"/>
      <c r="L53" s="2"/>
      <c r="M53" s="2"/>
      <c r="N53" s="2"/>
      <c r="O53" s="2"/>
    </row>
    <row r="54">
      <c r="A54" s="62" t="s">
        <v>174</v>
      </c>
      <c r="B54" s="3" t="s">
        <v>37</v>
      </c>
      <c r="C54" s="8">
        <v>0</v>
      </c>
      <c r="D54" s="8">
        <v>0</v>
      </c>
      <c r="E54" s="8">
        <v>0</v>
      </c>
      <c r="F54" s="3" t="s">
        <v>37</v>
      </c>
      <c r="G54" s="8">
        <v>0</v>
      </c>
      <c r="H54" s="8">
        <v>0</v>
      </c>
      <c r="I54" s="49">
        <f>'Segment - Payment Services'!I40</f>
        <v>1600</v>
      </c>
      <c r="J54" s="6" t="s">
        <v>496</v>
      </c>
      <c r="K54" s="2"/>
      <c r="L54" s="2"/>
      <c r="M54" s="2"/>
      <c r="N54" s="2"/>
      <c r="O54" s="2"/>
    </row>
    <row r="55">
      <c r="A55" s="62" t="s">
        <v>497</v>
      </c>
      <c r="B55" s="3" t="s">
        <v>37</v>
      </c>
      <c r="C55" s="3">
        <f>C56-C52-C53-C54</f>
        <v>-1022</v>
      </c>
      <c r="D55" s="3">
        <f>D56-D52-D53-D54</f>
        <v>2810</v>
      </c>
      <c r="E55" s="3">
        <f>E56-E52-E53-E54</f>
        <v>9345</v>
      </c>
      <c r="F55" s="3" t="s">
        <v>37</v>
      </c>
      <c r="G55" s="3">
        <f>G56-G52-G53-G54</f>
        <v>9007</v>
      </c>
      <c r="H55" s="3">
        <f>H56-H52-H53-H54</f>
        <v>11040</v>
      </c>
      <c r="I55" s="46">
        <f>I56-I52-I53-I54</f>
        <v>4977.533444252075</v>
      </c>
      <c r="J55" s="2"/>
      <c r="K55" s="2"/>
      <c r="L55" s="2"/>
      <c r="M55" s="2"/>
      <c r="N55" s="2"/>
      <c r="O55" s="2"/>
    </row>
    <row r="56">
      <c r="A56" s="73" t="s">
        <v>498</v>
      </c>
      <c r="B56" s="15" t="s">
        <v>37</v>
      </c>
      <c r="C56" s="15">
        <f>C48</f>
        <v>380243</v>
      </c>
      <c r="D56" s="15">
        <f>D48</f>
        <v>382517</v>
      </c>
      <c r="E56" s="15">
        <f>E48</f>
        <v>391335</v>
      </c>
      <c r="F56" s="15" t="s">
        <v>37</v>
      </c>
      <c r="G56" s="15">
        <f>G48</f>
        <v>399796</v>
      </c>
      <c r="H56" s="15">
        <f>H48</f>
        <v>410300</v>
      </c>
      <c r="I56" s="38">
        <f>I48</f>
        <v>416319.922</v>
      </c>
      <c r="J56" s="2"/>
      <c r="K56" s="2"/>
      <c r="L56" s="2"/>
      <c r="M56" s="2"/>
      <c r="N56" s="2"/>
      <c r="O56" s="2"/>
    </row>
    <row r="57">
      <c r="A57" s="62" t="s">
        <v>499</v>
      </c>
      <c r="B57" s="23">
        <f>'Revenue summary'!B77</f>
        <v>379028</v>
      </c>
      <c r="C57" s="23">
        <f>'Revenue summary'!C77</f>
        <v>378529</v>
      </c>
      <c r="D57" s="23">
        <f>'Revenue summary'!D77</f>
        <v>379152</v>
      </c>
      <c r="E57" s="23">
        <f>'Revenue summary'!E77</f>
        <v>384285</v>
      </c>
      <c r="F57" s="23">
        <f>'Revenue summary'!F77</f>
        <v>380259.89863013703</v>
      </c>
      <c r="G57" s="23">
        <f>'Revenue summary'!G77</f>
        <v>393560</v>
      </c>
      <c r="H57" s="23">
        <f>'Revenue summary'!H77</f>
        <v>405481</v>
      </c>
      <c r="I57" s="49">
        <f>'Revenue summary'!I77</f>
        <v>412836.02860869566</v>
      </c>
      <c r="J57" s="2"/>
      <c r="K57" s="2"/>
      <c r="L57" s="2"/>
      <c r="M57" s="2"/>
      <c r="N57" s="2"/>
      <c r="O57" s="2"/>
    </row>
    <row r="58">
      <c r="A58" s="14" t="s">
        <v>500</v>
      </c>
      <c r="B58" s="12">
        <f>B57/B48</f>
        <v>0.99269025375898</v>
      </c>
      <c r="C58" s="12">
        <f>C57/C48</f>
        <v>0.995492356203796</v>
      </c>
      <c r="D58" s="12">
        <f>D57/D48</f>
        <v>0.9912030053566246</v>
      </c>
      <c r="E58" s="12">
        <f>E57/E48</f>
        <v>0.9819847445283453</v>
      </c>
      <c r="F58" s="12">
        <f>F57/F48</f>
        <v>0.9716991800634674</v>
      </c>
      <c r="G58" s="12">
        <f>G57/G48</f>
        <v>0.9844020450429719</v>
      </c>
      <c r="H58" s="12">
        <f>H57/H48</f>
        <v>0.9882549354131124</v>
      </c>
      <c r="I58" s="35">
        <f>I57/I48</f>
        <v>0.9916316918619514</v>
      </c>
      <c r="J58" s="2"/>
      <c r="K58" s="2"/>
      <c r="L58" s="2"/>
      <c r="M58" s="2"/>
      <c r="N58" s="2"/>
      <c r="O58" s="2"/>
    </row>
    <row r="59">
      <c r="A59" s="61" t="s">
        <v>144</v>
      </c>
      <c r="B59" s="5" t="s">
        <v>37</v>
      </c>
      <c r="C59" s="5">
        <f>IF(AND(ISNUMBER(C58),ISNUMBER(B58)),(C58-B58)*10000,"n/a")</f>
        <v>28.02102444815935</v>
      </c>
      <c r="D59" s="5">
        <f>IF(AND(ISNUMBER(D58),ISNUMBER(C58)),(D58-C58)*10000,"n/a")</f>
        <v>-42.89350847171303</v>
      </c>
      <c r="E59" s="5">
        <f>IF(AND(ISNUMBER(E58),ISNUMBER(D58)),(E58-D58)*10000,"n/a")</f>
        <v>-92.18260828279368</v>
      </c>
      <c r="F59" s="5" t="s">
        <v>37</v>
      </c>
      <c r="G59" s="5">
        <f>IF(AND(ISNUMBER(G58),ISNUMBER(E58)),(G58-E58)*10000,"n/a")</f>
        <v>24.173005146266302</v>
      </c>
      <c r="H59" s="5">
        <f>IF(AND(ISNUMBER(H58),ISNUMBER(G58)),(H58-G58)*10000,"n/a")</f>
        <v>38.528903701404715</v>
      </c>
      <c r="I59" s="45">
        <f>IF(AND(ISNUMBER(I58),ISNUMBER(H58)),(I58-H58)*10000,"n/a")</f>
        <v>33.767564488390576</v>
      </c>
      <c r="J59" s="2"/>
      <c r="K59" s="2"/>
      <c r="L59" s="2"/>
      <c r="M59" s="2"/>
      <c r="N59" s="2"/>
      <c r="O59" s="2"/>
    </row>
    <row r="60">
      <c r="A60" s="61" t="s">
        <v>145</v>
      </c>
      <c r="B60" s="5" t="s">
        <v>37</v>
      </c>
      <c r="C60" s="5" t="s">
        <v>37</v>
      </c>
      <c r="D60" s="5" t="s">
        <v>37</v>
      </c>
      <c r="E60" s="5" t="s">
        <v>37</v>
      </c>
      <c r="F60" s="5" t="s">
        <v>37</v>
      </c>
      <c r="G60" s="5">
        <f>IF(AND(ISNUMBER(G58),ISNUMBER(B58)),(G58-B58)*10000,"n/a")</f>
        <v>-82.88208716008106</v>
      </c>
      <c r="H60" s="5">
        <f>IF(AND(ISNUMBER(H58),ISNUMBER(C58)),(H58-C58)*10000,"n/a")</f>
        <v>-72.3742079068357</v>
      </c>
      <c r="I60" s="45">
        <f>IF(AND(ISNUMBER(I58),ISNUMBER(D58)),(I58-D58)*10000,"n/a")</f>
        <v>4.286865053267919</v>
      </c>
      <c r="J60" s="2"/>
      <c r="K60" s="2"/>
      <c r="L60" s="2"/>
      <c r="M60" s="2"/>
      <c r="N60" s="2"/>
      <c r="O60" s="2"/>
    </row>
    <row r="61">
      <c r="A61" s="36" t="s">
        <v>501</v>
      </c>
      <c r="B61" s="8">
        <v>-7584</v>
      </c>
      <c r="C61" s="8">
        <v>-7537</v>
      </c>
      <c r="D61" s="8">
        <v>-7557</v>
      </c>
      <c r="E61" s="8">
        <v>-7605</v>
      </c>
      <c r="F61" s="3">
        <f>E61</f>
        <v>-7605</v>
      </c>
      <c r="G61" s="8">
        <v>-7646</v>
      </c>
      <c r="H61" s="8">
        <v>-7645</v>
      </c>
      <c r="I61" s="49">
        <f>H61-('Income Statement'!I179-I153)</f>
        <v>-7829</v>
      </c>
      <c r="J61" s="6" t="s">
        <v>502</v>
      </c>
      <c r="K61" s="2"/>
      <c r="L61" s="2"/>
      <c r="M61" s="2"/>
      <c r="N61" s="2"/>
      <c r="O61" s="2"/>
    </row>
    <row r="62">
      <c r="A62" s="14" t="s">
        <v>122</v>
      </c>
      <c r="B62" s="12" t="s">
        <v>37</v>
      </c>
      <c r="C62" s="12" t="s">
        <v>37</v>
      </c>
      <c r="D62" s="12" t="s">
        <v>37</v>
      </c>
      <c r="E62" s="12" t="s">
        <v>37</v>
      </c>
      <c r="F62" s="12" t="s">
        <v>37</v>
      </c>
      <c r="G62" s="12">
        <f>G61/B61-1</f>
        <v>0.008175105485232148</v>
      </c>
      <c r="H62" s="12">
        <f>H61/C61-1</f>
        <v>0.014329308743531888</v>
      </c>
      <c r="I62" s="35">
        <f>I61/D61-1</f>
        <v>0.03599311896255131</v>
      </c>
      <c r="J62" s="2"/>
      <c r="K62" s="2"/>
      <c r="L62" s="2"/>
      <c r="M62" s="2"/>
      <c r="N62" s="2"/>
      <c r="O62" s="2"/>
    </row>
    <row r="63">
      <c r="A63" s="14" t="s">
        <v>110</v>
      </c>
      <c r="B63" s="1" t="s">
        <v>37</v>
      </c>
      <c r="C63" s="1">
        <f>IF(AND(ISNUMBER(C61),ISNUMBER(B61)),C61-B61,"n/a")</f>
        <v>47</v>
      </c>
      <c r="D63" s="1">
        <f>IF(AND(ISNUMBER(D61),ISNUMBER(C61)),D61-C61,"n/a")</f>
        <v>-20</v>
      </c>
      <c r="E63" s="1">
        <f>IF(AND(ISNUMBER(E61),ISNUMBER(D61)),E61-D61,"n/a")</f>
        <v>-48</v>
      </c>
      <c r="F63" s="1" t="s">
        <v>37</v>
      </c>
      <c r="G63" s="1">
        <f>IF(AND(ISNUMBER(G61),ISNUMBER(E61)),G61-E61,"n/a")</f>
        <v>-41</v>
      </c>
      <c r="H63" s="1">
        <f>IF(AND(ISNUMBER(H61),ISNUMBER(G61)),H61-G61,"n/a")</f>
        <v>1</v>
      </c>
      <c r="I63" s="13">
        <f>IF(AND(ISNUMBER(I61),ISNUMBER(H61)),I61-H61,"n/a")</f>
        <v>-184</v>
      </c>
      <c r="J63" s="2"/>
      <c r="K63" s="2"/>
      <c r="L63" s="2"/>
      <c r="M63" s="2"/>
      <c r="N63" s="2"/>
      <c r="O63" s="2"/>
    </row>
    <row r="64">
      <c r="A64" s="68" t="s">
        <v>503</v>
      </c>
      <c r="B64" s="15">
        <f>B48+B61</f>
        <v>374235</v>
      </c>
      <c r="C64" s="15">
        <f>C48+C61</f>
        <v>372706</v>
      </c>
      <c r="D64" s="15">
        <f>D48+D61</f>
        <v>374960</v>
      </c>
      <c r="E64" s="15">
        <f>E48+E61</f>
        <v>383730</v>
      </c>
      <c r="F64" s="15">
        <f>F48+F61</f>
        <v>383730</v>
      </c>
      <c r="G64" s="15">
        <f>G48+G61</f>
        <v>392150</v>
      </c>
      <c r="H64" s="15">
        <f>H48+H61</f>
        <v>402655</v>
      </c>
      <c r="I64" s="38">
        <f>I48+I61</f>
        <v>408490.922</v>
      </c>
      <c r="J64" s="2"/>
      <c r="K64" s="2"/>
      <c r="L64" s="2"/>
      <c r="M64" s="2"/>
      <c r="N64" s="2"/>
      <c r="O64" s="2"/>
    </row>
    <row r="65">
      <c r="A65" s="36" t="s">
        <v>504</v>
      </c>
      <c r="B65" s="8">
        <v>3582</v>
      </c>
      <c r="C65" s="8">
        <v>3625</v>
      </c>
      <c r="D65" s="8">
        <v>3695</v>
      </c>
      <c r="E65" s="8">
        <v>3768</v>
      </c>
      <c r="F65" s="3">
        <f>E65</f>
        <v>3768</v>
      </c>
      <c r="G65" s="8">
        <v>3819</v>
      </c>
      <c r="H65" s="8">
        <v>3847</v>
      </c>
      <c r="I65" s="46">
        <f>H65*(1+I66)</f>
        <v>3870.082</v>
      </c>
      <c r="J65" s="2"/>
      <c r="K65" s="2"/>
      <c r="L65" s="2"/>
      <c r="M65" s="2"/>
      <c r="N65" s="2"/>
      <c r="O65" s="2"/>
    </row>
    <row r="66">
      <c r="A66" s="14" t="s">
        <v>95</v>
      </c>
      <c r="B66" s="12" t="s">
        <v>37</v>
      </c>
      <c r="C66" s="12">
        <f>C65/B65-1</f>
        <v>0.01200446677833611</v>
      </c>
      <c r="D66" s="12">
        <f>D65/C65-1</f>
        <v>0.0193103448275862</v>
      </c>
      <c r="E66" s="12">
        <f>E65/D65-1</f>
        <v>0.019756427604871396</v>
      </c>
      <c r="F66" s="12" t="s">
        <v>37</v>
      </c>
      <c r="G66" s="12">
        <f>G65/E65-1</f>
        <v>0.013535031847133672</v>
      </c>
      <c r="H66" s="12">
        <f>H65/G65-1</f>
        <v>0.0073317622414244</v>
      </c>
      <c r="I66" s="60">
        <v>0.006</v>
      </c>
      <c r="J66" s="6" t="s">
        <v>138</v>
      </c>
      <c r="K66" s="2"/>
      <c r="L66" s="2"/>
      <c r="M66" s="2"/>
      <c r="N66" s="2"/>
      <c r="O66" s="2"/>
    </row>
    <row r="67">
      <c r="A67" s="14" t="s">
        <v>122</v>
      </c>
      <c r="B67" s="12" t="s">
        <v>37</v>
      </c>
      <c r="C67" s="12" t="s">
        <v>37</v>
      </c>
      <c r="D67" s="12" t="s">
        <v>37</v>
      </c>
      <c r="E67" s="12" t="s">
        <v>37</v>
      </c>
      <c r="F67" s="12" t="s">
        <v>37</v>
      </c>
      <c r="G67" s="12">
        <f>G65/B65-1</f>
        <v>0.06616415410385268</v>
      </c>
      <c r="H67" s="12">
        <f>H65/C65-1</f>
        <v>0.06124137931034479</v>
      </c>
      <c r="I67" s="35">
        <f>I65/D65-1</f>
        <v>0.04738349120433005</v>
      </c>
      <c r="J67" s="2"/>
      <c r="K67" s="2"/>
      <c r="L67" s="2"/>
      <c r="M67" s="2"/>
      <c r="N67" s="2"/>
      <c r="O67" s="2"/>
    </row>
    <row r="68">
      <c r="A68" s="14" t="s">
        <v>110</v>
      </c>
      <c r="B68" s="1" t="s">
        <v>37</v>
      </c>
      <c r="C68" s="1">
        <f>IF(AND(ISNUMBER(C65),ISNUMBER(B65)),C65-B65,"n/a")</f>
        <v>43</v>
      </c>
      <c r="D68" s="1">
        <f>IF(AND(ISNUMBER(D65),ISNUMBER(C65)),D65-C65,"n/a")</f>
        <v>70</v>
      </c>
      <c r="E68" s="1">
        <f>IF(AND(ISNUMBER(E65),ISNUMBER(D65)),E65-D65,"n/a")</f>
        <v>73</v>
      </c>
      <c r="F68" s="1" t="s">
        <v>37</v>
      </c>
      <c r="G68" s="1">
        <f>IF(AND(ISNUMBER(G65),ISNUMBER(E65)),G65-E65,"n/a")</f>
        <v>51</v>
      </c>
      <c r="H68" s="1">
        <f>IF(AND(ISNUMBER(H65),ISNUMBER(G65)),H65-G65,"n/a")</f>
        <v>28</v>
      </c>
      <c r="I68" s="13">
        <f>IF(AND(ISNUMBER(I65),ISNUMBER(H65)),I65-H65,"n/a")</f>
        <v>23.08199999999988</v>
      </c>
      <c r="J68" s="2"/>
      <c r="K68" s="2"/>
      <c r="L68" s="2"/>
      <c r="M68" s="2"/>
      <c r="N68" s="2"/>
      <c r="O68" s="2"/>
    </row>
    <row r="69">
      <c r="A69" s="36" t="s">
        <v>505</v>
      </c>
      <c r="B69" s="8">
        <v>12555</v>
      </c>
      <c r="C69" s="8">
        <v>12637</v>
      </c>
      <c r="D69" s="8">
        <v>12634</v>
      </c>
      <c r="E69" s="8">
        <v>12635</v>
      </c>
      <c r="F69" s="3">
        <f>E69</f>
        <v>12635</v>
      </c>
      <c r="G69" s="8">
        <v>12625</v>
      </c>
      <c r="H69" s="8">
        <v>13234</v>
      </c>
      <c r="I69" s="46">
        <f>H69*(1+I70)</f>
        <v>13234</v>
      </c>
      <c r="J69" s="6" t="s">
        <v>506</v>
      </c>
      <c r="K69" s="2"/>
      <c r="L69" s="2"/>
      <c r="M69" s="2"/>
      <c r="N69" s="2"/>
      <c r="O69" s="2"/>
    </row>
    <row r="70">
      <c r="A70" s="14" t="s">
        <v>95</v>
      </c>
      <c r="B70" s="12" t="s">
        <v>37</v>
      </c>
      <c r="C70" s="12">
        <f>C69/B69-1</f>
        <v>0.006531262445240937</v>
      </c>
      <c r="D70" s="12">
        <f>D69/C69-1</f>
        <v>-0.00023739811664158506</v>
      </c>
      <c r="E70" s="12">
        <f>E69/D69-1</f>
        <v>0.00007915149596326998</v>
      </c>
      <c r="F70" s="12" t="s">
        <v>37</v>
      </c>
      <c r="G70" s="12">
        <f>G69/E69-1</f>
        <v>-0.000791452314997998</v>
      </c>
      <c r="H70" s="12">
        <f>H69/G69-1</f>
        <v>0.04823762376237628</v>
      </c>
      <c r="I70" s="60">
        <v>0</v>
      </c>
      <c r="J70" s="6" t="s">
        <v>138</v>
      </c>
      <c r="K70" s="2"/>
      <c r="L70" s="2"/>
      <c r="M70" s="2"/>
      <c r="N70" s="2"/>
      <c r="O70" s="2"/>
    </row>
    <row r="71">
      <c r="A71" s="14" t="s">
        <v>122</v>
      </c>
      <c r="B71" s="12" t="s">
        <v>37</v>
      </c>
      <c r="C71" s="12" t="s">
        <v>37</v>
      </c>
      <c r="D71" s="12" t="s">
        <v>37</v>
      </c>
      <c r="E71" s="12" t="s">
        <v>37</v>
      </c>
      <c r="F71" s="12" t="s">
        <v>37</v>
      </c>
      <c r="G71" s="12">
        <f>G69/B69-1</f>
        <v>0.005575467941059342</v>
      </c>
      <c r="H71" s="12">
        <f>H69/C69-1</f>
        <v>0.04724222521167998</v>
      </c>
      <c r="I71" s="35">
        <f>I69/D69-1</f>
        <v>0.04749089757796421</v>
      </c>
      <c r="J71" s="2"/>
      <c r="K71" s="2"/>
      <c r="L71" s="2"/>
      <c r="M71" s="2"/>
      <c r="N71" s="2"/>
      <c r="O71" s="2"/>
    </row>
    <row r="72">
      <c r="A72" s="14" t="s">
        <v>110</v>
      </c>
      <c r="B72" s="1" t="s">
        <v>37</v>
      </c>
      <c r="C72" s="1">
        <f>IF(AND(ISNUMBER(C69),ISNUMBER(B69)),C69-B69,"n/a")</f>
        <v>82</v>
      </c>
      <c r="D72" s="1">
        <f>IF(AND(ISNUMBER(D69),ISNUMBER(C69)),D69-C69,"n/a")</f>
        <v>-3</v>
      </c>
      <c r="E72" s="1">
        <f>IF(AND(ISNUMBER(E69),ISNUMBER(D69)),E69-D69,"n/a")</f>
        <v>1</v>
      </c>
      <c r="F72" s="1" t="s">
        <v>37</v>
      </c>
      <c r="G72" s="1">
        <f>IF(AND(ISNUMBER(G69),ISNUMBER(E69)),G69-E69,"n/a")</f>
        <v>-10</v>
      </c>
      <c r="H72" s="1">
        <f>IF(AND(ISNUMBER(H69),ISNUMBER(G69)),H69-G69,"n/a")</f>
        <v>609</v>
      </c>
      <c r="I72" s="13">
        <f>IF(AND(ISNUMBER(I69),ISNUMBER(H69)),I69-H69,"n/a")</f>
        <v>0</v>
      </c>
      <c r="J72" s="2"/>
      <c r="K72" s="2"/>
      <c r="L72" s="2"/>
      <c r="M72" s="2"/>
      <c r="N72" s="2"/>
      <c r="O72" s="2"/>
    </row>
    <row r="73">
      <c r="A73" s="36" t="s">
        <v>507</v>
      </c>
      <c r="B73" s="8">
        <v>5381</v>
      </c>
      <c r="C73" s="8">
        <v>5285</v>
      </c>
      <c r="D73" s="8">
        <v>5152</v>
      </c>
      <c r="E73" s="8">
        <v>4904</v>
      </c>
      <c r="F73" s="3">
        <f>E73</f>
        <v>4904</v>
      </c>
      <c r="G73" s="8">
        <v>4799</v>
      </c>
      <c r="H73" s="8">
        <v>4999</v>
      </c>
      <c r="I73" s="49">
        <f>H73-'Income Statement'!I164</f>
        <v>4881.01</v>
      </c>
      <c r="J73" s="6" t="s">
        <v>508</v>
      </c>
      <c r="K73" s="2"/>
      <c r="L73" s="2"/>
      <c r="M73" s="2"/>
      <c r="N73" s="2"/>
      <c r="O73" s="2"/>
    </row>
    <row r="74">
      <c r="A74" s="14" t="s">
        <v>122</v>
      </c>
      <c r="B74" s="12" t="s">
        <v>37</v>
      </c>
      <c r="C74" s="12" t="s">
        <v>37</v>
      </c>
      <c r="D74" s="12" t="s">
        <v>37</v>
      </c>
      <c r="E74" s="12" t="s">
        <v>37</v>
      </c>
      <c r="F74" s="12" t="s">
        <v>37</v>
      </c>
      <c r="G74" s="12">
        <f>G73/B73-1</f>
        <v>-0.10815833488199222</v>
      </c>
      <c r="H74" s="12">
        <f>H73/C73-1</f>
        <v>-0.05411542100283817</v>
      </c>
      <c r="I74" s="35">
        <f>I73/D73-1</f>
        <v>-0.05259899068322982</v>
      </c>
      <c r="J74" s="2"/>
      <c r="K74" s="2"/>
      <c r="L74" s="2"/>
      <c r="M74" s="2"/>
      <c r="N74" s="2"/>
      <c r="O74" s="2"/>
    </row>
    <row r="75">
      <c r="A75" s="14" t="s">
        <v>110</v>
      </c>
      <c r="B75" s="1" t="s">
        <v>37</v>
      </c>
      <c r="C75" s="1">
        <f>IF(AND(ISNUMBER(C73),ISNUMBER(B73)),C73-B73,"n/a")</f>
        <v>-96</v>
      </c>
      <c r="D75" s="1">
        <f>IF(AND(ISNUMBER(D73),ISNUMBER(C73)),D73-C73,"n/a")</f>
        <v>-133</v>
      </c>
      <c r="E75" s="1">
        <f>IF(AND(ISNUMBER(E73),ISNUMBER(D73)),E73-D73,"n/a")</f>
        <v>-248</v>
      </c>
      <c r="F75" s="1" t="s">
        <v>37</v>
      </c>
      <c r="G75" s="1">
        <f>IF(AND(ISNUMBER(G73),ISNUMBER(E73)),G73-E73,"n/a")</f>
        <v>-105</v>
      </c>
      <c r="H75" s="1">
        <f>IF(AND(ISNUMBER(H73),ISNUMBER(G73)),H73-G73,"n/a")</f>
        <v>200</v>
      </c>
      <c r="I75" s="13">
        <f>IF(AND(ISNUMBER(I73),ISNUMBER(H73)),I73-H73,"n/a")</f>
        <v>-117.98999999999978</v>
      </c>
      <c r="J75" s="2"/>
      <c r="K75" s="2"/>
      <c r="L75" s="2"/>
      <c r="M75" s="2"/>
      <c r="N75" s="2"/>
      <c r="O75" s="2"/>
    </row>
    <row r="76">
      <c r="A76" s="36" t="s">
        <v>509</v>
      </c>
      <c r="B76" s="8">
        <v>64195</v>
      </c>
      <c r="C76" s="8">
        <v>63566</v>
      </c>
      <c r="D76" s="8">
        <v>63793</v>
      </c>
      <c r="E76" s="8">
        <v>70872</v>
      </c>
      <c r="F76" s="3">
        <f>E76</f>
        <v>70872</v>
      </c>
      <c r="G76" s="8">
        <v>67351</v>
      </c>
      <c r="H76" s="8">
        <v>68484</v>
      </c>
      <c r="I76" s="46">
        <f>H76-(I140-I136)</f>
        <v>68684</v>
      </c>
      <c r="J76" s="6" t="s">
        <v>510</v>
      </c>
      <c r="K76" s="2"/>
      <c r="L76" s="2"/>
      <c r="M76" s="2"/>
      <c r="N76" s="2"/>
      <c r="O76" s="2"/>
    </row>
    <row r="77">
      <c r="A77" s="14" t="s">
        <v>122</v>
      </c>
      <c r="B77" s="12" t="s">
        <v>37</v>
      </c>
      <c r="C77" s="12" t="s">
        <v>37</v>
      </c>
      <c r="D77" s="12" t="s">
        <v>37</v>
      </c>
      <c r="E77" s="12" t="s">
        <v>37</v>
      </c>
      <c r="F77" s="12" t="s">
        <v>37</v>
      </c>
      <c r="G77" s="12">
        <f>G76/B76-1</f>
        <v>0.049162707375963954</v>
      </c>
      <c r="H77" s="12">
        <f>H76/C76-1</f>
        <v>0.07736840449296789</v>
      </c>
      <c r="I77" s="35">
        <f>I76/D76-1</f>
        <v>0.07666985405922278</v>
      </c>
      <c r="J77" s="2"/>
      <c r="K77" s="2"/>
      <c r="L77" s="2"/>
      <c r="M77" s="2"/>
      <c r="N77" s="2"/>
      <c r="O77" s="2"/>
    </row>
    <row r="78">
      <c r="A78" s="14" t="s">
        <v>110</v>
      </c>
      <c r="B78" s="1" t="s">
        <v>37</v>
      </c>
      <c r="C78" s="1">
        <f>IF(AND(ISNUMBER(C76),ISNUMBER(B76)),C76-B76,"n/a")</f>
        <v>-629</v>
      </c>
      <c r="D78" s="1">
        <f>IF(AND(ISNUMBER(D76),ISNUMBER(C76)),D76-C76,"n/a")</f>
        <v>227</v>
      </c>
      <c r="E78" s="1">
        <f>IF(AND(ISNUMBER(E76),ISNUMBER(D76)),E76-D76,"n/a")</f>
        <v>7079</v>
      </c>
      <c r="F78" s="1" t="s">
        <v>37</v>
      </c>
      <c r="G78" s="1">
        <f>IF(AND(ISNUMBER(G76),ISNUMBER(E76)),G76-E76,"n/a")</f>
        <v>-3521</v>
      </c>
      <c r="H78" s="1">
        <f>IF(AND(ISNUMBER(H76),ISNUMBER(G76)),H76-G76,"n/a")</f>
        <v>1133</v>
      </c>
      <c r="I78" s="13">
        <f>IF(AND(ISNUMBER(I76),ISNUMBER(H76)),I76-H76,"n/a")</f>
        <v>200</v>
      </c>
      <c r="J78" s="2"/>
      <c r="K78" s="2"/>
      <c r="L78" s="2"/>
      <c r="M78" s="2"/>
      <c r="N78" s="2"/>
      <c r="O78" s="2"/>
    </row>
    <row r="79">
      <c r="A79" s="16" t="s">
        <v>511</v>
      </c>
      <c r="B79" s="15">
        <f>B10+B13+B17+B23+B64+B65+B69+B73+B76</f>
        <v>676489</v>
      </c>
      <c r="C79" s="15">
        <f>C10+C13+C17+C23+C64+C65+C69+C73+C76</f>
        <v>686370</v>
      </c>
      <c r="D79" s="15">
        <f>D10+D13+D17+D23+D64+D65+D69+D73+D76</f>
        <v>695357</v>
      </c>
      <c r="E79" s="15">
        <f>E10+E13+E17+E23+E64+E65+E69+E73+E76</f>
        <v>692345</v>
      </c>
      <c r="F79" s="15">
        <f>E79</f>
        <v>692345</v>
      </c>
      <c r="G79" s="15">
        <f>G10+G13+G17+G23+G64+G65+G69+G73+G76</f>
        <v>700998</v>
      </c>
      <c r="H79" s="15">
        <f>H10+H13+H17+H23+H64+H65+H69+H73+H76</f>
        <v>725918</v>
      </c>
      <c r="I79" s="38">
        <f>I10+I13+I17+I23+I64+I65+I69+I73+I76</f>
        <v>731654.5193740953</v>
      </c>
      <c r="J79" s="2"/>
      <c r="K79" s="2"/>
      <c r="L79" s="2"/>
      <c r="M79" s="2"/>
      <c r="N79" s="2"/>
      <c r="O79" s="2"/>
    </row>
    <row r="80">
      <c r="A80" s="19" t="s">
        <v>512</v>
      </c>
      <c r="B80" s="10">
        <v>676489</v>
      </c>
      <c r="C80" s="10">
        <v>686370</v>
      </c>
      <c r="D80" s="10">
        <v>695357</v>
      </c>
      <c r="E80" s="10">
        <v>692345</v>
      </c>
      <c r="F80" s="1">
        <f>E80</f>
        <v>692345</v>
      </c>
      <c r="G80" s="10">
        <v>700998</v>
      </c>
      <c r="H80" s="10">
        <v>725918</v>
      </c>
      <c r="I80" s="13" t="s">
        <v>37</v>
      </c>
      <c r="J80" s="2"/>
      <c r="K80" s="2"/>
      <c r="L80" s="2"/>
      <c r="M80" s="2"/>
      <c r="N80" s="2"/>
      <c r="O80" s="2"/>
    </row>
    <row r="81">
      <c r="A81" s="26" t="s">
        <v>413</v>
      </c>
      <c r="B81" s="1">
        <f>B79-B80</f>
        <v>0</v>
      </c>
      <c r="C81" s="1">
        <f>C79-C80</f>
        <v>0</v>
      </c>
      <c r="D81" s="1">
        <f>D79-D80</f>
        <v>0</v>
      </c>
      <c r="E81" s="1">
        <f>E79-E80</f>
        <v>0</v>
      </c>
      <c r="F81" s="1">
        <f>F79-F80</f>
        <v>0</v>
      </c>
      <c r="G81" s="1">
        <f>G79-G80</f>
        <v>0</v>
      </c>
      <c r="H81" s="1">
        <f>H79-H80</f>
        <v>0</v>
      </c>
      <c r="I81" s="2"/>
      <c r="J81" s="2"/>
      <c r="K81" s="2"/>
      <c r="L81" s="2"/>
      <c r="M81" s="2"/>
      <c r="N81" s="2"/>
      <c r="O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>
      <c r="A83" s="16" t="s">
        <v>513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>
      <c r="A84" s="36" t="s">
        <v>165</v>
      </c>
      <c r="B84" s="8">
        <v>84086</v>
      </c>
      <c r="C84" s="8">
        <v>86972</v>
      </c>
      <c r="D84" s="8">
        <v>91550</v>
      </c>
      <c r="E84" s="8">
        <v>84116</v>
      </c>
      <c r="F84" s="3">
        <f>E84</f>
        <v>84116</v>
      </c>
      <c r="G84" s="8">
        <v>85300</v>
      </c>
      <c r="H84" s="8">
        <v>85791</v>
      </c>
      <c r="I84" s="46">
        <f>H84*(1+I85)</f>
        <v>86648.91</v>
      </c>
      <c r="J84" s="2"/>
      <c r="K84" s="2"/>
      <c r="L84" s="2"/>
      <c r="M84" s="2"/>
      <c r="N84" s="2"/>
      <c r="O84" s="2"/>
    </row>
    <row r="85">
      <c r="A85" s="14" t="s">
        <v>95</v>
      </c>
      <c r="B85" s="12" t="s">
        <v>37</v>
      </c>
      <c r="C85" s="12">
        <f>C84/B84-1</f>
        <v>0.0343220036629166</v>
      </c>
      <c r="D85" s="12">
        <f>D84/C84-1</f>
        <v>0.052637630501770616</v>
      </c>
      <c r="E85" s="12">
        <f>E84/D84-1</f>
        <v>-0.08120152921900603</v>
      </c>
      <c r="F85" s="12" t="s">
        <v>37</v>
      </c>
      <c r="G85" s="12">
        <f>G84/E84-1</f>
        <v>0.014075800085596057</v>
      </c>
      <c r="H85" s="12">
        <f>H84/G84-1</f>
        <v>0.005756154747948328</v>
      </c>
      <c r="I85" s="60">
        <v>0.01</v>
      </c>
      <c r="J85" s="6" t="s">
        <v>138</v>
      </c>
      <c r="K85" s="2"/>
      <c r="L85" s="2"/>
      <c r="M85" s="2"/>
      <c r="N85" s="2"/>
      <c r="O85" s="2"/>
    </row>
    <row r="86">
      <c r="A86" s="14" t="s">
        <v>122</v>
      </c>
      <c r="B86" s="12" t="s">
        <v>37</v>
      </c>
      <c r="C86" s="12" t="s">
        <v>37</v>
      </c>
      <c r="D86" s="12" t="s">
        <v>37</v>
      </c>
      <c r="E86" s="12" t="s">
        <v>37</v>
      </c>
      <c r="F86" s="12" t="s">
        <v>37</v>
      </c>
      <c r="G86" s="12">
        <f>G84/B84-1</f>
        <v>0.014437599600409134</v>
      </c>
      <c r="H86" s="12">
        <f>H84/C84-1</f>
        <v>-0.013579082923239616</v>
      </c>
      <c r="I86" s="35">
        <f>I84/D84-1</f>
        <v>-0.053534571272528586</v>
      </c>
      <c r="J86" s="2"/>
      <c r="K86" s="2"/>
      <c r="L86" s="2"/>
      <c r="M86" s="2"/>
      <c r="N86" s="2"/>
      <c r="O86" s="2"/>
    </row>
    <row r="87">
      <c r="A87" s="14" t="s">
        <v>110</v>
      </c>
      <c r="B87" s="1" t="s">
        <v>37</v>
      </c>
      <c r="C87" s="1">
        <f>IF(AND(ISNUMBER(C84),ISNUMBER(B84)),C84-B84,"n/a")</f>
        <v>2886</v>
      </c>
      <c r="D87" s="1">
        <f>IF(AND(ISNUMBER(D84),ISNUMBER(C84)),D84-C84,"n/a")</f>
        <v>4578</v>
      </c>
      <c r="E87" s="1">
        <f>IF(AND(ISNUMBER(E84),ISNUMBER(D84)),E84-D84,"n/a")</f>
        <v>-7434</v>
      </c>
      <c r="F87" s="1" t="s">
        <v>37</v>
      </c>
      <c r="G87" s="1">
        <f>IF(AND(ISNUMBER(G84),ISNUMBER(E84)),G84-E84,"n/a")</f>
        <v>1184</v>
      </c>
      <c r="H87" s="1">
        <f>IF(AND(ISNUMBER(H84),ISNUMBER(G84)),H84-G84,"n/a")</f>
        <v>491</v>
      </c>
      <c r="I87" s="13">
        <f>IF(AND(ISNUMBER(I84),ISNUMBER(H84)),I84-H84,"n/a")</f>
        <v>857.9100000000035</v>
      </c>
      <c r="J87" s="2"/>
      <c r="K87" s="2"/>
      <c r="L87" s="2"/>
      <c r="M87" s="2"/>
      <c r="N87" s="2"/>
      <c r="O87" s="2"/>
    </row>
    <row r="88">
      <c r="A88" s="36" t="s">
        <v>365</v>
      </c>
      <c r="B88" s="8">
        <v>428439</v>
      </c>
      <c r="C88" s="8">
        <v>431745</v>
      </c>
      <c r="D88" s="8">
        <v>434599</v>
      </c>
      <c r="E88" s="8">
        <v>438100</v>
      </c>
      <c r="F88" s="3">
        <f>E88</f>
        <v>438100</v>
      </c>
      <c r="G88" s="8">
        <v>442878</v>
      </c>
      <c r="H88" s="8">
        <v>446275</v>
      </c>
      <c r="I88" s="46">
        <f>H88*(1+I89)</f>
        <v>456093.05</v>
      </c>
      <c r="J88" s="6" t="s">
        <v>514</v>
      </c>
      <c r="K88" s="2"/>
      <c r="L88" s="2"/>
      <c r="M88" s="2"/>
      <c r="N88" s="2"/>
      <c r="O88" s="2"/>
    </row>
    <row r="89">
      <c r="A89" s="14" t="s">
        <v>95</v>
      </c>
      <c r="B89" s="12" t="s">
        <v>37</v>
      </c>
      <c r="C89" s="12">
        <f>C88/B88-1</f>
        <v>0.007716384362768114</v>
      </c>
      <c r="D89" s="12">
        <f>D88/C88-1</f>
        <v>0.006610383443931056</v>
      </c>
      <c r="E89" s="12">
        <f>E88/D88-1</f>
        <v>0.008055701922922154</v>
      </c>
      <c r="F89" s="12" t="s">
        <v>37</v>
      </c>
      <c r="G89" s="12">
        <f>G88/E88-1</f>
        <v>0.010906185802328272</v>
      </c>
      <c r="H89" s="12">
        <f>H88/G88-1</f>
        <v>0.007670283915660825</v>
      </c>
      <c r="I89" s="60">
        <v>0.022</v>
      </c>
      <c r="J89" s="6" t="s">
        <v>138</v>
      </c>
      <c r="K89" s="2"/>
      <c r="L89" s="2"/>
      <c r="M89" s="2"/>
      <c r="N89" s="2"/>
      <c r="O89" s="2"/>
    </row>
    <row r="90">
      <c r="A90" s="14" t="s">
        <v>122</v>
      </c>
      <c r="B90" s="12" t="s">
        <v>37</v>
      </c>
      <c r="C90" s="12" t="s">
        <v>37</v>
      </c>
      <c r="D90" s="12" t="s">
        <v>37</v>
      </c>
      <c r="E90" s="12" t="s">
        <v>37</v>
      </c>
      <c r="F90" s="12" t="s">
        <v>37</v>
      </c>
      <c r="G90" s="12">
        <f>G88/B88-1</f>
        <v>0.033701413736844765</v>
      </c>
      <c r="H90" s="12">
        <f>H88/C88-1</f>
        <v>0.03365412454110639</v>
      </c>
      <c r="I90" s="35">
        <f>I88/D88-1</f>
        <v>0.049457200775887555</v>
      </c>
      <c r="J90" s="2"/>
      <c r="K90" s="2"/>
      <c r="L90" s="2"/>
      <c r="M90" s="2"/>
      <c r="N90" s="2"/>
      <c r="O90" s="2"/>
    </row>
    <row r="91">
      <c r="A91" s="14" t="s">
        <v>110</v>
      </c>
      <c r="B91" s="1" t="s">
        <v>37</v>
      </c>
      <c r="C91" s="1">
        <f>IF(AND(ISNUMBER(C88),ISNUMBER(B88)),C88-B88,"n/a")</f>
        <v>3306</v>
      </c>
      <c r="D91" s="1">
        <f>IF(AND(ISNUMBER(D88),ISNUMBER(C88)),D88-C88,"n/a")</f>
        <v>2854</v>
      </c>
      <c r="E91" s="1">
        <f>IF(AND(ISNUMBER(E88),ISNUMBER(D88)),E88-D88,"n/a")</f>
        <v>3501</v>
      </c>
      <c r="F91" s="1" t="s">
        <v>37</v>
      </c>
      <c r="G91" s="1">
        <f>IF(AND(ISNUMBER(G88),ISNUMBER(E88)),G88-E88,"n/a")</f>
        <v>4778</v>
      </c>
      <c r="H91" s="1">
        <f>IF(AND(ISNUMBER(H88),ISNUMBER(G88)),H88-G88,"n/a")</f>
        <v>3397</v>
      </c>
      <c r="I91" s="13">
        <f>IF(AND(ISNUMBER(I88),ISNUMBER(H88)),I88-H88,"n/a")</f>
        <v>9818.049999999988</v>
      </c>
      <c r="J91" s="2"/>
      <c r="K91" s="2"/>
      <c r="L91" s="2"/>
      <c r="M91" s="2"/>
      <c r="N91" s="2"/>
      <c r="O91" s="2"/>
    </row>
    <row r="92">
      <c r="A92" s="68" t="s">
        <v>515</v>
      </c>
      <c r="B92" s="15">
        <f>B84+B88</f>
        <v>512525</v>
      </c>
      <c r="C92" s="15">
        <f>C84+C88</f>
        <v>518717</v>
      </c>
      <c r="D92" s="15">
        <f>D84+D88</f>
        <v>526149</v>
      </c>
      <c r="E92" s="15">
        <f>E84+E88</f>
        <v>522216</v>
      </c>
      <c r="F92" s="15">
        <f>F84+F88</f>
        <v>522216</v>
      </c>
      <c r="G92" s="15">
        <f>G84+G88</f>
        <v>528178</v>
      </c>
      <c r="H92" s="15">
        <f>H84+H88</f>
        <v>532066</v>
      </c>
      <c r="I92" s="38">
        <f>I84+I88</f>
        <v>542741.96</v>
      </c>
      <c r="J92" s="2"/>
      <c r="K92" s="2"/>
      <c r="L92" s="2"/>
      <c r="M92" s="2"/>
      <c r="N92" s="2"/>
      <c r="O92" s="2"/>
    </row>
    <row r="93">
      <c r="A93" s="14" t="s">
        <v>122</v>
      </c>
      <c r="B93" s="12" t="s">
        <v>37</v>
      </c>
      <c r="C93" s="12" t="s">
        <v>37</v>
      </c>
      <c r="D93" s="12" t="s">
        <v>37</v>
      </c>
      <c r="E93" s="12" t="s">
        <v>37</v>
      </c>
      <c r="F93" s="12" t="s">
        <v>37</v>
      </c>
      <c r="G93" s="12">
        <f>G92/B92-1</f>
        <v>0.030540949221989244</v>
      </c>
      <c r="H93" s="12">
        <f>H92/C92-1</f>
        <v>0.02573464914394563</v>
      </c>
      <c r="I93" s="35">
        <f>I92/D92-1</f>
        <v>0.03153661795422957</v>
      </c>
      <c r="J93" s="2"/>
      <c r="K93" s="2"/>
      <c r="L93" s="2"/>
      <c r="M93" s="2"/>
      <c r="N93" s="2"/>
      <c r="O93" s="2"/>
    </row>
    <row r="94">
      <c r="A94" s="14" t="s">
        <v>110</v>
      </c>
      <c r="B94" s="1" t="s">
        <v>37</v>
      </c>
      <c r="C94" s="1">
        <f>IF(AND(ISNUMBER(C92),ISNUMBER(B92)),C92-B92,"n/a")</f>
        <v>6192</v>
      </c>
      <c r="D94" s="1">
        <f>IF(AND(ISNUMBER(D92),ISNUMBER(C92)),D92-C92,"n/a")</f>
        <v>7432</v>
      </c>
      <c r="E94" s="1">
        <f>IF(AND(ISNUMBER(E92),ISNUMBER(D92)),E92-D92,"n/a")</f>
        <v>-3933</v>
      </c>
      <c r="F94" s="1" t="s">
        <v>37</v>
      </c>
      <c r="G94" s="1">
        <f>IF(AND(ISNUMBER(G92),ISNUMBER(E92)),G92-E92,"n/a")</f>
        <v>5962</v>
      </c>
      <c r="H94" s="1">
        <f>IF(AND(ISNUMBER(H92),ISNUMBER(G92)),H92-G92,"n/a")</f>
        <v>3888</v>
      </c>
      <c r="I94" s="13">
        <f>IF(AND(ISNUMBER(I92),ISNUMBER(H92)),I92-H92,"n/a")</f>
        <v>10675.959999999963</v>
      </c>
      <c r="J94" s="2"/>
      <c r="K94" s="2"/>
      <c r="L94" s="2"/>
      <c r="M94" s="2"/>
      <c r="N94" s="2"/>
      <c r="O94" s="2"/>
    </row>
    <row r="95">
      <c r="A95" s="36" t="s">
        <v>516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>
      <c r="A96" s="62" t="s">
        <v>517</v>
      </c>
      <c r="B96" s="3" t="s">
        <v>37</v>
      </c>
      <c r="C96" s="3">
        <f>B92</f>
        <v>512525</v>
      </c>
      <c r="D96" s="3">
        <f>C92</f>
        <v>518717</v>
      </c>
      <c r="E96" s="3">
        <f>D92</f>
        <v>526149</v>
      </c>
      <c r="F96" s="3" t="s">
        <v>37</v>
      </c>
      <c r="G96" s="3">
        <f>E92</f>
        <v>522216</v>
      </c>
      <c r="H96" s="3">
        <f>G92</f>
        <v>528178</v>
      </c>
      <c r="I96" s="46">
        <f>H92</f>
        <v>532066</v>
      </c>
      <c r="J96" s="2"/>
      <c r="K96" s="2"/>
      <c r="L96" s="2"/>
      <c r="M96" s="2"/>
      <c r="N96" s="2"/>
      <c r="O96" s="2"/>
    </row>
    <row r="97">
      <c r="A97" s="62" t="s">
        <v>518</v>
      </c>
      <c r="B97" s="3" t="s">
        <v>37</v>
      </c>
      <c r="C97" s="3">
        <f>C92-C96</f>
        <v>6192</v>
      </c>
      <c r="D97" s="3">
        <f>D92-D96</f>
        <v>7432</v>
      </c>
      <c r="E97" s="3">
        <f>E92-E96</f>
        <v>-3933</v>
      </c>
      <c r="F97" s="3" t="s">
        <v>37</v>
      </c>
      <c r="G97" s="3">
        <f>G92-G96</f>
        <v>5962</v>
      </c>
      <c r="H97" s="3">
        <f>H92-H96</f>
        <v>3888</v>
      </c>
      <c r="I97" s="46">
        <f>I92-I96</f>
        <v>10675.959999999963</v>
      </c>
      <c r="J97" s="2"/>
      <c r="K97" s="2"/>
      <c r="L97" s="2"/>
      <c r="M97" s="2"/>
      <c r="N97" s="2"/>
      <c r="O97" s="2"/>
    </row>
    <row r="98">
      <c r="A98" s="73" t="s">
        <v>519</v>
      </c>
      <c r="B98" s="15" t="s">
        <v>37</v>
      </c>
      <c r="C98" s="15">
        <f>C96+C97</f>
        <v>518717</v>
      </c>
      <c r="D98" s="15">
        <f>D96+D97</f>
        <v>526149</v>
      </c>
      <c r="E98" s="15">
        <f>E96+E97</f>
        <v>522216</v>
      </c>
      <c r="F98" s="15" t="s">
        <v>37</v>
      </c>
      <c r="G98" s="15">
        <f>G96+G97</f>
        <v>528178</v>
      </c>
      <c r="H98" s="15">
        <f>H96+H97</f>
        <v>532066</v>
      </c>
      <c r="I98" s="38">
        <f>I96+I97</f>
        <v>542741.96</v>
      </c>
      <c r="J98" s="2"/>
      <c r="K98" s="2"/>
      <c r="L98" s="2"/>
      <c r="M98" s="2"/>
      <c r="N98" s="2"/>
      <c r="O98" s="2"/>
    </row>
    <row r="99">
      <c r="A99" s="62" t="s">
        <v>520</v>
      </c>
      <c r="B99" s="23">
        <f>'Revenue summary'!B92</f>
        <v>506534</v>
      </c>
      <c r="C99" s="23">
        <f>'Revenue summary'!C92</f>
        <v>502890</v>
      </c>
      <c r="D99" s="23">
        <f>'Revenue summary'!D92</f>
        <v>511782</v>
      </c>
      <c r="E99" s="23">
        <f>'Revenue summary'!E92</f>
        <v>515142</v>
      </c>
      <c r="F99" s="23">
        <f>'Revenue summary'!F92</f>
        <v>509117.9671232877</v>
      </c>
      <c r="G99" s="23">
        <f>'Revenue summary'!G92</f>
        <v>515119</v>
      </c>
      <c r="H99" s="23">
        <f>'Revenue summary'!H92</f>
        <v>515080</v>
      </c>
      <c r="I99" s="49">
        <f>'Revenue summary'!I92</f>
        <v>523783.17500000005</v>
      </c>
      <c r="J99" s="2"/>
      <c r="K99" s="2"/>
      <c r="L99" s="2"/>
      <c r="M99" s="2"/>
      <c r="N99" s="2"/>
      <c r="O99" s="2"/>
    </row>
    <row r="100">
      <c r="A100" s="36" t="s">
        <v>404</v>
      </c>
      <c r="B100" s="8">
        <v>17158</v>
      </c>
      <c r="C100" s="8">
        <v>15039</v>
      </c>
      <c r="D100" s="8">
        <v>15449</v>
      </c>
      <c r="E100" s="8">
        <v>17162</v>
      </c>
      <c r="F100" s="3">
        <f>E100</f>
        <v>17162</v>
      </c>
      <c r="G100" s="8">
        <v>17859</v>
      </c>
      <c r="H100" s="8">
        <v>37337</v>
      </c>
      <c r="I100" s="46">
        <f>H100*(1+I101)</f>
        <v>31736.45</v>
      </c>
      <c r="J100" s="6" t="s">
        <v>521</v>
      </c>
      <c r="K100" s="2"/>
      <c r="L100" s="2"/>
      <c r="M100" s="2"/>
      <c r="N100" s="2"/>
      <c r="O100" s="2"/>
    </row>
    <row r="101">
      <c r="A101" s="14" t="s">
        <v>95</v>
      </c>
      <c r="B101" s="12" t="s">
        <v>37</v>
      </c>
      <c r="C101" s="12">
        <f>C100/B100-1</f>
        <v>-0.12349924233593657</v>
      </c>
      <c r="D101" s="12">
        <f>D100/C100-1</f>
        <v>0.02726245096083524</v>
      </c>
      <c r="E101" s="12">
        <f>E100/D100-1</f>
        <v>0.1108809631691372</v>
      </c>
      <c r="F101" s="12" t="s">
        <v>37</v>
      </c>
      <c r="G101" s="12">
        <f>G100/E100-1</f>
        <v>0.04061298216991016</v>
      </c>
      <c r="H101" s="12">
        <f>H100/G100-1</f>
        <v>1.09065457192452</v>
      </c>
      <c r="I101" s="60">
        <v>-0.15</v>
      </c>
      <c r="J101" s="6" t="s">
        <v>138</v>
      </c>
      <c r="K101" s="2"/>
      <c r="L101" s="2"/>
      <c r="M101" s="2"/>
      <c r="N101" s="2"/>
      <c r="O101" s="2"/>
    </row>
    <row r="102">
      <c r="A102" s="14" t="s">
        <v>122</v>
      </c>
      <c r="B102" s="12" t="s">
        <v>37</v>
      </c>
      <c r="C102" s="12" t="s">
        <v>37</v>
      </c>
      <c r="D102" s="12" t="s">
        <v>37</v>
      </c>
      <c r="E102" s="12" t="s">
        <v>37</v>
      </c>
      <c r="F102" s="12" t="s">
        <v>37</v>
      </c>
      <c r="G102" s="12">
        <f>G100/B100-1</f>
        <v>0.04085557757314362</v>
      </c>
      <c r="H102" s="12">
        <f>H100/C100-1</f>
        <v>1.482678369572445</v>
      </c>
      <c r="I102" s="35">
        <f>I100/D100-1</f>
        <v>1.0542721211728914</v>
      </c>
      <c r="J102" s="2"/>
      <c r="K102" s="2"/>
      <c r="L102" s="2"/>
      <c r="M102" s="2"/>
      <c r="N102" s="2"/>
      <c r="O102" s="2"/>
    </row>
    <row r="103">
      <c r="A103" s="14" t="s">
        <v>110</v>
      </c>
      <c r="B103" s="1" t="s">
        <v>37</v>
      </c>
      <c r="C103" s="1">
        <f>IF(AND(ISNUMBER(C100),ISNUMBER(B100)),C100-B100,"n/a")</f>
        <v>-2119</v>
      </c>
      <c r="D103" s="1">
        <f>IF(AND(ISNUMBER(D100),ISNUMBER(C100)),D100-C100,"n/a")</f>
        <v>410</v>
      </c>
      <c r="E103" s="1">
        <f>IF(AND(ISNUMBER(E100),ISNUMBER(D100)),E100-D100,"n/a")</f>
        <v>1713</v>
      </c>
      <c r="F103" s="1" t="s">
        <v>37</v>
      </c>
      <c r="G103" s="1">
        <f>IF(AND(ISNUMBER(G100),ISNUMBER(E100)),G100-E100,"n/a")</f>
        <v>697</v>
      </c>
      <c r="H103" s="1">
        <f>IF(AND(ISNUMBER(H100),ISNUMBER(G100)),H100-G100,"n/a")</f>
        <v>19478</v>
      </c>
      <c r="I103" s="13">
        <f>IF(AND(ISNUMBER(I100),ISNUMBER(H100)),I100-H100,"n/a")</f>
        <v>-5600.549999999999</v>
      </c>
      <c r="J103" s="2"/>
      <c r="K103" s="2"/>
      <c r="L103" s="2"/>
      <c r="M103" s="2"/>
      <c r="N103" s="2"/>
      <c r="O103" s="2"/>
    </row>
    <row r="104">
      <c r="A104" s="36" t="s">
        <v>407</v>
      </c>
      <c r="B104" s="8">
        <v>59859</v>
      </c>
      <c r="C104" s="8">
        <v>64013</v>
      </c>
      <c r="D104" s="8">
        <v>62535</v>
      </c>
      <c r="E104" s="8">
        <v>60764</v>
      </c>
      <c r="F104" s="3">
        <f>E104</f>
        <v>60764</v>
      </c>
      <c r="G104" s="8">
        <v>61361</v>
      </c>
      <c r="H104" s="8">
        <v>58671</v>
      </c>
      <c r="I104" s="46">
        <f>H104*(1+I105)</f>
        <v>58671</v>
      </c>
      <c r="J104" s="2"/>
      <c r="K104" s="2"/>
      <c r="L104" s="2"/>
      <c r="M104" s="2"/>
      <c r="N104" s="2"/>
      <c r="O104" s="2"/>
    </row>
    <row r="105">
      <c r="A105" s="14" t="s">
        <v>95</v>
      </c>
      <c r="B105" s="12" t="s">
        <v>37</v>
      </c>
      <c r="C105" s="12">
        <f>C104/B104-1</f>
        <v>0.0693964149083679</v>
      </c>
      <c r="D105" s="12">
        <f>D104/C104-1</f>
        <v>-0.023089060034680475</v>
      </c>
      <c r="E105" s="12">
        <f>E104/D104-1</f>
        <v>-0.028320140721196152</v>
      </c>
      <c r="F105" s="12" t="s">
        <v>37</v>
      </c>
      <c r="G105" s="12">
        <f>G104/E104-1</f>
        <v>0.00982489632018968</v>
      </c>
      <c r="H105" s="12">
        <f>H104/G104-1</f>
        <v>-0.04383892048695426</v>
      </c>
      <c r="I105" s="60">
        <v>0</v>
      </c>
      <c r="J105" s="6" t="s">
        <v>138</v>
      </c>
      <c r="K105" s="2"/>
      <c r="L105" s="2"/>
      <c r="M105" s="2"/>
      <c r="N105" s="2"/>
      <c r="O105" s="2"/>
    </row>
    <row r="106">
      <c r="A106" s="14" t="s">
        <v>122</v>
      </c>
      <c r="B106" s="12" t="s">
        <v>37</v>
      </c>
      <c r="C106" s="12" t="s">
        <v>37</v>
      </c>
      <c r="D106" s="12" t="s">
        <v>37</v>
      </c>
      <c r="E106" s="12" t="s">
        <v>37</v>
      </c>
      <c r="F106" s="12" t="s">
        <v>37</v>
      </c>
      <c r="G106" s="12">
        <f>G104/B104-1</f>
        <v>0.02509230023889475</v>
      </c>
      <c r="H106" s="12">
        <f>H104/C104-1</f>
        <v>-0.08345179885335796</v>
      </c>
      <c r="I106" s="35">
        <f>I104/D104-1</f>
        <v>-0.06178939793715521</v>
      </c>
      <c r="J106" s="2"/>
      <c r="K106" s="2"/>
      <c r="L106" s="2"/>
      <c r="M106" s="2"/>
      <c r="N106" s="2"/>
      <c r="O106" s="2"/>
    </row>
    <row r="107">
      <c r="A107" s="14" t="s">
        <v>110</v>
      </c>
      <c r="B107" s="1" t="s">
        <v>37</v>
      </c>
      <c r="C107" s="1">
        <f>IF(AND(ISNUMBER(C104),ISNUMBER(B104)),C104-B104,"n/a")</f>
        <v>4154</v>
      </c>
      <c r="D107" s="1">
        <f>IF(AND(ISNUMBER(D104),ISNUMBER(C104)),D104-C104,"n/a")</f>
        <v>-1478</v>
      </c>
      <c r="E107" s="1">
        <f>IF(AND(ISNUMBER(E104),ISNUMBER(D104)),E104-D104,"n/a")</f>
        <v>-1771</v>
      </c>
      <c r="F107" s="1" t="s">
        <v>37</v>
      </c>
      <c r="G107" s="1">
        <f>IF(AND(ISNUMBER(G104),ISNUMBER(E104)),G104-E104,"n/a")</f>
        <v>597</v>
      </c>
      <c r="H107" s="1">
        <f>IF(AND(ISNUMBER(H104),ISNUMBER(G104)),H104-G104,"n/a")</f>
        <v>-2690</v>
      </c>
      <c r="I107" s="13">
        <f>IF(AND(ISNUMBER(I104),ISNUMBER(H104)),I104-H104,"n/a")</f>
        <v>0</v>
      </c>
      <c r="J107" s="2"/>
      <c r="K107" s="2"/>
      <c r="L107" s="2"/>
      <c r="M107" s="2"/>
      <c r="N107" s="2"/>
      <c r="O107" s="2"/>
    </row>
    <row r="108">
      <c r="A108" s="36" t="s">
        <v>522</v>
      </c>
      <c r="B108" s="8">
        <v>26389</v>
      </c>
      <c r="C108" s="8">
        <v>26705</v>
      </c>
      <c r="D108" s="8">
        <v>27426</v>
      </c>
      <c r="E108" s="8">
        <v>26552</v>
      </c>
      <c r="F108" s="3">
        <f>E108</f>
        <v>26552</v>
      </c>
      <c r="G108" s="8">
        <v>27353</v>
      </c>
      <c r="H108" s="8">
        <v>29949</v>
      </c>
      <c r="I108" s="46">
        <f>H108*(1+I109)+('Share Count'!I44-'Share Count'!H44)</f>
        <v>29980.7</v>
      </c>
      <c r="J108" s="2" t="s">
        <v>523</v>
      </c>
      <c r="K108" s="2"/>
      <c r="L108" s="2"/>
      <c r="M108" s="2"/>
      <c r="N108" s="2"/>
      <c r="O108" s="2"/>
    </row>
    <row r="109">
      <c r="A109" s="14" t="s">
        <v>95</v>
      </c>
      <c r="B109" s="12" t="s">
        <v>37</v>
      </c>
      <c r="C109" s="12">
        <f>C108/B108-1</f>
        <v>0.011974686422372871</v>
      </c>
      <c r="D109" s="12">
        <f>D108/C108-1</f>
        <v>0.0269986893840104</v>
      </c>
      <c r="E109" s="12">
        <f>E108/D108-1</f>
        <v>-0.03186757091810688</v>
      </c>
      <c r="F109" s="12" t="s">
        <v>37</v>
      </c>
      <c r="G109" s="12">
        <f>G108/E108-1</f>
        <v>0.030167219041880022</v>
      </c>
      <c r="H109" s="12">
        <f>H108/G108-1</f>
        <v>0.09490732277995106</v>
      </c>
      <c r="I109" s="60">
        <v>0</v>
      </c>
      <c r="J109" s="6" t="s">
        <v>138</v>
      </c>
      <c r="K109" s="2"/>
      <c r="L109" s="2"/>
      <c r="M109" s="2"/>
      <c r="N109" s="2"/>
      <c r="O109" s="2"/>
    </row>
    <row r="110">
      <c r="A110" s="14" t="s">
        <v>122</v>
      </c>
      <c r="B110" s="12" t="s">
        <v>37</v>
      </c>
      <c r="C110" s="12" t="s">
        <v>37</v>
      </c>
      <c r="D110" s="12" t="s">
        <v>37</v>
      </c>
      <c r="E110" s="12" t="s">
        <v>37</v>
      </c>
      <c r="F110" s="12" t="s">
        <v>37</v>
      </c>
      <c r="G110" s="12">
        <f>G108/B108-1</f>
        <v>0.03653037250369473</v>
      </c>
      <c r="H110" s="12">
        <f>H108/C108-1</f>
        <v>0.12147537914248274</v>
      </c>
      <c r="I110" s="35">
        <f>I108/D108-1</f>
        <v>0.09314883687012321</v>
      </c>
      <c r="J110" s="2"/>
      <c r="K110" s="2"/>
      <c r="L110" s="2"/>
      <c r="M110" s="2"/>
      <c r="N110" s="2"/>
      <c r="O110" s="2"/>
    </row>
    <row r="111">
      <c r="A111" s="14" t="s">
        <v>110</v>
      </c>
      <c r="B111" s="1" t="s">
        <v>37</v>
      </c>
      <c r="C111" s="1">
        <f>IF(AND(ISNUMBER(C108),ISNUMBER(B108)),C108-B108,"n/a")</f>
        <v>316</v>
      </c>
      <c r="D111" s="1">
        <f>IF(AND(ISNUMBER(D108),ISNUMBER(C108)),D108-C108,"n/a")</f>
        <v>721</v>
      </c>
      <c r="E111" s="1">
        <f>IF(AND(ISNUMBER(E108),ISNUMBER(D108)),E108-D108,"n/a")</f>
        <v>-874</v>
      </c>
      <c r="F111" s="1" t="s">
        <v>37</v>
      </c>
      <c r="G111" s="1">
        <f>IF(AND(ISNUMBER(G108),ISNUMBER(E108)),G108-E108,"n/a")</f>
        <v>801</v>
      </c>
      <c r="H111" s="1">
        <f>IF(AND(ISNUMBER(H108),ISNUMBER(G108)),H108-G108,"n/a")</f>
        <v>2596</v>
      </c>
      <c r="I111" s="13">
        <f>IF(AND(ISNUMBER(I108),ISNUMBER(H108)),I108-H108,"n/a")</f>
        <v>31.700000000000728</v>
      </c>
      <c r="J111" s="2"/>
      <c r="K111" s="2"/>
      <c r="L111" s="2"/>
      <c r="M111" s="2"/>
      <c r="N111" s="2"/>
      <c r="O111" s="2"/>
    </row>
    <row r="112">
      <c r="A112" s="16" t="s">
        <v>524</v>
      </c>
      <c r="B112" s="15">
        <f>B92+B100+B104+B108</f>
        <v>615931</v>
      </c>
      <c r="C112" s="15">
        <f>C92+C100+C104+C108</f>
        <v>624474</v>
      </c>
      <c r="D112" s="15">
        <f>D92+D100+D104+D108</f>
        <v>631559</v>
      </c>
      <c r="E112" s="15">
        <f>E92+E100+E104+E108</f>
        <v>626694</v>
      </c>
      <c r="F112" s="15">
        <f>E112</f>
        <v>626694</v>
      </c>
      <c r="G112" s="15">
        <f>G92+G100+G104+G108</f>
        <v>634751</v>
      </c>
      <c r="H112" s="15">
        <f>H92+H100+H104+H108</f>
        <v>658023</v>
      </c>
      <c r="I112" s="38">
        <f>I92+I100+I104+I108</f>
        <v>663130.1099999999</v>
      </c>
      <c r="J112" s="2"/>
      <c r="K112" s="2"/>
      <c r="L112" s="2"/>
      <c r="M112" s="2"/>
      <c r="N112" s="2"/>
      <c r="O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>
      <c r="A114" s="16" t="s">
        <v>525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>
      <c r="A115" s="36" t="s">
        <v>526</v>
      </c>
      <c r="B115" s="8">
        <v>6808</v>
      </c>
      <c r="C115" s="8">
        <v>6808</v>
      </c>
      <c r="D115" s="8">
        <v>6808</v>
      </c>
      <c r="E115" s="8">
        <v>6808</v>
      </c>
      <c r="F115" s="3">
        <f>E115</f>
        <v>6808</v>
      </c>
      <c r="G115" s="8">
        <v>6808</v>
      </c>
      <c r="H115" s="8">
        <v>6808</v>
      </c>
      <c r="I115" s="46">
        <f>H115*(1+I116)</f>
        <v>6808</v>
      </c>
      <c r="J115" s="2"/>
      <c r="K115" s="2"/>
      <c r="L115" s="2"/>
      <c r="M115" s="2"/>
      <c r="N115" s="2"/>
      <c r="O115" s="2"/>
    </row>
    <row r="116">
      <c r="A116" s="14" t="s">
        <v>95</v>
      </c>
      <c r="B116" s="12" t="s">
        <v>37</v>
      </c>
      <c r="C116" s="12">
        <f>C115/B115-1</f>
        <v>0</v>
      </c>
      <c r="D116" s="12">
        <f>D115/C115-1</f>
        <v>0</v>
      </c>
      <c r="E116" s="12">
        <f>E115/D115-1</f>
        <v>0</v>
      </c>
      <c r="F116" s="12" t="s">
        <v>37</v>
      </c>
      <c r="G116" s="12">
        <f>G115/E115-1</f>
        <v>0</v>
      </c>
      <c r="H116" s="12">
        <f>H115/G115-1</f>
        <v>0</v>
      </c>
      <c r="I116" s="60">
        <v>0</v>
      </c>
      <c r="J116" s="6" t="s">
        <v>138</v>
      </c>
      <c r="K116" s="2"/>
      <c r="L116" s="2"/>
      <c r="M116" s="2"/>
      <c r="N116" s="2"/>
      <c r="O116" s="2"/>
    </row>
    <row r="117">
      <c r="A117" s="14" t="s">
        <v>122</v>
      </c>
      <c r="B117" s="12" t="s">
        <v>37</v>
      </c>
      <c r="C117" s="12" t="s">
        <v>37</v>
      </c>
      <c r="D117" s="12" t="s">
        <v>37</v>
      </c>
      <c r="E117" s="12" t="s">
        <v>37</v>
      </c>
      <c r="F117" s="12" t="s">
        <v>37</v>
      </c>
      <c r="G117" s="12">
        <f>G115/B115-1</f>
        <v>0</v>
      </c>
      <c r="H117" s="12">
        <f>H115/C115-1</f>
        <v>0</v>
      </c>
      <c r="I117" s="35">
        <f>I115/D115-1</f>
        <v>0</v>
      </c>
      <c r="J117" s="2"/>
      <c r="K117" s="2"/>
      <c r="L117" s="2"/>
      <c r="M117" s="2"/>
      <c r="N117" s="2"/>
      <c r="O117" s="2"/>
    </row>
    <row r="118">
      <c r="A118" s="14" t="s">
        <v>110</v>
      </c>
      <c r="B118" s="1" t="s">
        <v>37</v>
      </c>
      <c r="C118" s="1">
        <f>IF(AND(ISNUMBER(C115),ISNUMBER(B115)),C115-B115,"n/a")</f>
        <v>0</v>
      </c>
      <c r="D118" s="1">
        <f>IF(AND(ISNUMBER(D115),ISNUMBER(C115)),D115-C115,"n/a")</f>
        <v>0</v>
      </c>
      <c r="E118" s="1">
        <f>IF(AND(ISNUMBER(E115),ISNUMBER(D115)),E115-D115,"n/a")</f>
        <v>0</v>
      </c>
      <c r="F118" s="1" t="s">
        <v>37</v>
      </c>
      <c r="G118" s="1">
        <f>IF(AND(ISNUMBER(G115),ISNUMBER(E115)),G115-E115,"n/a")</f>
        <v>0</v>
      </c>
      <c r="H118" s="1">
        <f>IF(AND(ISNUMBER(H115),ISNUMBER(G115)),H115-G115,"n/a")</f>
        <v>0</v>
      </c>
      <c r="I118" s="13">
        <f>IF(AND(ISNUMBER(I115),ISNUMBER(H115)),I115-H115,"n/a")</f>
        <v>0</v>
      </c>
      <c r="J118" s="2"/>
      <c r="K118" s="2"/>
      <c r="L118" s="2"/>
      <c r="M118" s="2"/>
      <c r="N118" s="2"/>
      <c r="O118" s="2"/>
    </row>
    <row r="119">
      <c r="A119" s="36" t="s">
        <v>527</v>
      </c>
      <c r="B119" s="8">
        <v>21</v>
      </c>
      <c r="C119" s="8">
        <v>21</v>
      </c>
      <c r="D119" s="8">
        <v>21</v>
      </c>
      <c r="E119" s="8">
        <v>21</v>
      </c>
      <c r="F119" s="3">
        <f>E119</f>
        <v>21</v>
      </c>
      <c r="G119" s="8">
        <v>21</v>
      </c>
      <c r="H119" s="8">
        <v>21</v>
      </c>
      <c r="I119" s="46">
        <f>H119*(1+I120)</f>
        <v>21</v>
      </c>
      <c r="J119" s="2"/>
      <c r="K119" s="2"/>
      <c r="L119" s="2"/>
      <c r="M119" s="2"/>
      <c r="N119" s="2"/>
      <c r="O119" s="2"/>
    </row>
    <row r="120">
      <c r="A120" s="14" t="s">
        <v>95</v>
      </c>
      <c r="B120" s="12" t="s">
        <v>37</v>
      </c>
      <c r="C120" s="12">
        <f>C119/B119-1</f>
        <v>0</v>
      </c>
      <c r="D120" s="12">
        <f>D119/C119-1</f>
        <v>0</v>
      </c>
      <c r="E120" s="12">
        <f>E119/D119-1</f>
        <v>0</v>
      </c>
      <c r="F120" s="12" t="s">
        <v>37</v>
      </c>
      <c r="G120" s="12">
        <f>G119/E119-1</f>
        <v>0</v>
      </c>
      <c r="H120" s="12">
        <f>H119/G119-1</f>
        <v>0</v>
      </c>
      <c r="I120" s="60">
        <v>0</v>
      </c>
      <c r="J120" s="6" t="s">
        <v>138</v>
      </c>
      <c r="K120" s="2"/>
      <c r="L120" s="2"/>
      <c r="M120" s="2"/>
      <c r="N120" s="2"/>
      <c r="O120" s="2"/>
    </row>
    <row r="121">
      <c r="A121" s="14" t="s">
        <v>122</v>
      </c>
      <c r="B121" s="12" t="s">
        <v>37</v>
      </c>
      <c r="C121" s="12" t="s">
        <v>37</v>
      </c>
      <c r="D121" s="12" t="s">
        <v>37</v>
      </c>
      <c r="E121" s="12" t="s">
        <v>37</v>
      </c>
      <c r="F121" s="12" t="s">
        <v>37</v>
      </c>
      <c r="G121" s="12">
        <f>G119/B119-1</f>
        <v>0</v>
      </c>
      <c r="H121" s="12">
        <f>H119/C119-1</f>
        <v>0</v>
      </c>
      <c r="I121" s="35">
        <f>I119/D119-1</f>
        <v>0</v>
      </c>
      <c r="J121" s="2"/>
      <c r="K121" s="2"/>
      <c r="L121" s="2"/>
      <c r="M121" s="2"/>
      <c r="N121" s="2"/>
      <c r="O121" s="2"/>
    </row>
    <row r="122">
      <c r="A122" s="14" t="s">
        <v>110</v>
      </c>
      <c r="B122" s="1" t="s">
        <v>37</v>
      </c>
      <c r="C122" s="1">
        <f>IF(AND(ISNUMBER(C119),ISNUMBER(B119)),C119-B119,"n/a")</f>
        <v>0</v>
      </c>
      <c r="D122" s="1">
        <f>IF(AND(ISNUMBER(D119),ISNUMBER(C119)),D119-C119,"n/a")</f>
        <v>0</v>
      </c>
      <c r="E122" s="1">
        <f>IF(AND(ISNUMBER(E119),ISNUMBER(D119)),E119-D119,"n/a")</f>
        <v>0</v>
      </c>
      <c r="F122" s="1" t="s">
        <v>37</v>
      </c>
      <c r="G122" s="1">
        <f>IF(AND(ISNUMBER(G119),ISNUMBER(E119)),G119-E119,"n/a")</f>
        <v>0</v>
      </c>
      <c r="H122" s="1">
        <f>IF(AND(ISNUMBER(H119),ISNUMBER(G119)),H119-G119,"n/a")</f>
        <v>0</v>
      </c>
      <c r="I122" s="13">
        <f>IF(AND(ISNUMBER(I119),ISNUMBER(H119)),I119-H119,"n/a")</f>
        <v>0</v>
      </c>
      <c r="J122" s="2"/>
      <c r="K122" s="2"/>
      <c r="L122" s="2"/>
      <c r="M122" s="2"/>
      <c r="N122" s="2"/>
      <c r="O122" s="2"/>
    </row>
    <row r="123">
      <c r="A123" s="36" t="s">
        <v>528</v>
      </c>
      <c r="B123" s="8">
        <v>8678</v>
      </c>
      <c r="C123" s="8">
        <v>8706</v>
      </c>
      <c r="D123" s="8">
        <v>8745</v>
      </c>
      <c r="E123" s="8">
        <v>8728</v>
      </c>
      <c r="F123" s="3">
        <f>E123</f>
        <v>8728</v>
      </c>
      <c r="G123" s="8">
        <v>8623</v>
      </c>
      <c r="H123" s="8">
        <v>8773</v>
      </c>
      <c r="I123" s="46">
        <f>H123*(1+I124)</f>
        <v>8799.319</v>
      </c>
      <c r="J123" s="6" t="s">
        <v>529</v>
      </c>
      <c r="K123" s="2"/>
      <c r="L123" s="2"/>
      <c r="M123" s="2"/>
      <c r="N123" s="2"/>
      <c r="O123" s="2"/>
    </row>
    <row r="124">
      <c r="A124" s="14" t="s">
        <v>95</v>
      </c>
      <c r="B124" s="12" t="s">
        <v>37</v>
      </c>
      <c r="C124" s="12">
        <f>C123/B123-1</f>
        <v>0.0032265498962895656</v>
      </c>
      <c r="D124" s="12">
        <f>D123/C123-1</f>
        <v>0.004479669193659497</v>
      </c>
      <c r="E124" s="12">
        <f>E123/D123-1</f>
        <v>-0.0019439679817038202</v>
      </c>
      <c r="F124" s="12" t="s">
        <v>37</v>
      </c>
      <c r="G124" s="12">
        <f>G123/E123-1</f>
        <v>-0.012030247479376754</v>
      </c>
      <c r="H124" s="12">
        <f>H123/G123-1</f>
        <v>0.017395338049402742</v>
      </c>
      <c r="I124" s="60">
        <v>0.003</v>
      </c>
      <c r="J124" s="6" t="s">
        <v>138</v>
      </c>
      <c r="K124" s="2"/>
      <c r="L124" s="2"/>
      <c r="M124" s="2"/>
      <c r="N124" s="2"/>
      <c r="O124" s="2"/>
    </row>
    <row r="125">
      <c r="A125" s="14" t="s">
        <v>122</v>
      </c>
      <c r="B125" s="12" t="s">
        <v>37</v>
      </c>
      <c r="C125" s="12" t="s">
        <v>37</v>
      </c>
      <c r="D125" s="12" t="s">
        <v>37</v>
      </c>
      <c r="E125" s="12" t="s">
        <v>37</v>
      </c>
      <c r="F125" s="12" t="s">
        <v>37</v>
      </c>
      <c r="G125" s="12">
        <f>G123/B123-1</f>
        <v>-0.006337865867711456</v>
      </c>
      <c r="H125" s="12">
        <f>H123/C123-1</f>
        <v>0.007695841948081705</v>
      </c>
      <c r="I125" s="35">
        <f>I123/D123-1</f>
        <v>0.00621143510577471</v>
      </c>
      <c r="J125" s="2"/>
      <c r="K125" s="2"/>
      <c r="L125" s="2"/>
      <c r="M125" s="2"/>
      <c r="N125" s="2"/>
      <c r="O125" s="2"/>
    </row>
    <row r="126">
      <c r="A126" s="14" t="s">
        <v>110</v>
      </c>
      <c r="B126" s="1" t="s">
        <v>37</v>
      </c>
      <c r="C126" s="1">
        <f>IF(AND(ISNUMBER(C123),ISNUMBER(B123)),C123-B123,"n/a")</f>
        <v>28</v>
      </c>
      <c r="D126" s="1">
        <f>IF(AND(ISNUMBER(D123),ISNUMBER(C123)),D123-C123,"n/a")</f>
        <v>39</v>
      </c>
      <c r="E126" s="1">
        <f>IF(AND(ISNUMBER(E123),ISNUMBER(D123)),E123-D123,"n/a")</f>
        <v>-17</v>
      </c>
      <c r="F126" s="1" t="s">
        <v>37</v>
      </c>
      <c r="G126" s="1">
        <f>IF(AND(ISNUMBER(G123),ISNUMBER(E123)),G123-E123,"n/a")</f>
        <v>-105</v>
      </c>
      <c r="H126" s="1">
        <f>IF(AND(ISNUMBER(H123),ISNUMBER(G123)),H123-G123,"n/a")</f>
        <v>150</v>
      </c>
      <c r="I126" s="13">
        <f>IF(AND(ISNUMBER(I123),ISNUMBER(H123)),I123-H123,"n/a")</f>
        <v>26.318999999999505</v>
      </c>
      <c r="J126" s="2"/>
      <c r="K126" s="2"/>
      <c r="L126" s="2"/>
      <c r="M126" s="2"/>
      <c r="N126" s="2"/>
      <c r="O126" s="2"/>
    </row>
    <row r="127">
      <c r="A127" s="36" t="s">
        <v>530</v>
      </c>
      <c r="B127" s="8">
        <v>77691</v>
      </c>
      <c r="C127" s="8">
        <v>78652</v>
      </c>
      <c r="D127" s="8">
        <v>79742</v>
      </c>
      <c r="E127" s="8">
        <v>80906</v>
      </c>
      <c r="F127" s="3">
        <f>E127</f>
        <v>80906</v>
      </c>
      <c r="G127" s="8">
        <v>81944</v>
      </c>
      <c r="H127" s="8">
        <v>83241</v>
      </c>
      <c r="I127" s="49">
        <f>H127+'Income Statement'!I195-'Income Statement'!I200-'Share Count'!I44</f>
        <v>84444.09037409525</v>
      </c>
      <c r="J127" s="6" t="s">
        <v>531</v>
      </c>
      <c r="K127" s="2"/>
      <c r="L127" s="2"/>
      <c r="M127" s="2"/>
      <c r="N127" s="2"/>
      <c r="O127" s="2"/>
    </row>
    <row r="128">
      <c r="A128" s="14" t="s">
        <v>122</v>
      </c>
      <c r="B128" s="12" t="s">
        <v>37</v>
      </c>
      <c r="C128" s="12" t="s">
        <v>37</v>
      </c>
      <c r="D128" s="12" t="s">
        <v>37</v>
      </c>
      <c r="E128" s="12" t="s">
        <v>37</v>
      </c>
      <c r="F128" s="12" t="s">
        <v>37</v>
      </c>
      <c r="G128" s="12">
        <f>G127/B127-1</f>
        <v>0.05474250556692528</v>
      </c>
      <c r="H128" s="12">
        <f>H127/C127-1</f>
        <v>0.05834562376036212</v>
      </c>
      <c r="I128" s="35">
        <f>I127/D127-1</f>
        <v>0.058966295980728445</v>
      </c>
      <c r="J128" s="2"/>
      <c r="K128" s="2"/>
      <c r="L128" s="2"/>
      <c r="M128" s="2"/>
      <c r="N128" s="2"/>
      <c r="O128" s="2"/>
    </row>
    <row r="129">
      <c r="A129" s="14" t="s">
        <v>110</v>
      </c>
      <c r="B129" s="1" t="s">
        <v>37</v>
      </c>
      <c r="C129" s="1">
        <f>IF(AND(ISNUMBER(C127),ISNUMBER(B127)),C127-B127,"n/a")</f>
        <v>961</v>
      </c>
      <c r="D129" s="1">
        <f>IF(AND(ISNUMBER(D127),ISNUMBER(C127)),D127-C127,"n/a")</f>
        <v>1090</v>
      </c>
      <c r="E129" s="1">
        <f>IF(AND(ISNUMBER(E127),ISNUMBER(D127)),E127-D127,"n/a")</f>
        <v>1164</v>
      </c>
      <c r="F129" s="1" t="s">
        <v>37</v>
      </c>
      <c r="G129" s="1">
        <f>IF(AND(ISNUMBER(G127),ISNUMBER(E127)),G127-E127,"n/a")</f>
        <v>1038</v>
      </c>
      <c r="H129" s="1">
        <f>IF(AND(ISNUMBER(H127),ISNUMBER(G127)),H127-G127,"n/a")</f>
        <v>1297</v>
      </c>
      <c r="I129" s="13">
        <f>IF(AND(ISNUMBER(I127),ISNUMBER(H127)),I127-H127,"n/a")</f>
        <v>1203.090374095249</v>
      </c>
      <c r="J129" s="2"/>
      <c r="K129" s="2"/>
      <c r="L129" s="2"/>
      <c r="M129" s="2"/>
      <c r="N129" s="2"/>
      <c r="O129" s="2"/>
    </row>
    <row r="130">
      <c r="A130" s="36" t="s">
        <v>532</v>
      </c>
      <c r="B130" s="8">
        <v>-24060</v>
      </c>
      <c r="C130" s="8">
        <v>-24140</v>
      </c>
      <c r="D130" s="8">
        <v>-24228</v>
      </c>
      <c r="E130" s="8">
        <v>-24283</v>
      </c>
      <c r="F130" s="3">
        <f>E130</f>
        <v>-24283</v>
      </c>
      <c r="G130" s="8">
        <v>-24387</v>
      </c>
      <c r="H130" s="8">
        <v>-24300</v>
      </c>
      <c r="I130" s="49">
        <f>H130-'Share Count'!I37</f>
        <v>-24300</v>
      </c>
      <c r="J130" s="6" t="s">
        <v>533</v>
      </c>
      <c r="K130" s="2"/>
      <c r="L130" s="2"/>
      <c r="M130" s="2"/>
      <c r="N130" s="2"/>
      <c r="O130" s="2"/>
    </row>
    <row r="131">
      <c r="A131" s="14" t="s">
        <v>122</v>
      </c>
      <c r="B131" s="12" t="s">
        <v>37</v>
      </c>
      <c r="C131" s="12" t="s">
        <v>37</v>
      </c>
      <c r="D131" s="12" t="s">
        <v>37</v>
      </c>
      <c r="E131" s="12" t="s">
        <v>37</v>
      </c>
      <c r="F131" s="12" t="s">
        <v>37</v>
      </c>
      <c r="G131" s="12">
        <f>G130/B130-1</f>
        <v>0.01359102244389021</v>
      </c>
      <c r="H131" s="12">
        <f>H130/C130-1</f>
        <v>0.006628003314001596</v>
      </c>
      <c r="I131" s="35">
        <f>I130/D130-1</f>
        <v>0.002971768202080227</v>
      </c>
      <c r="J131" s="2"/>
      <c r="K131" s="2"/>
      <c r="L131" s="2"/>
      <c r="M131" s="2"/>
      <c r="N131" s="2"/>
      <c r="O131" s="2"/>
    </row>
    <row r="132">
      <c r="A132" s="14" t="s">
        <v>110</v>
      </c>
      <c r="B132" s="1" t="s">
        <v>37</v>
      </c>
      <c r="C132" s="1">
        <f>IF(AND(ISNUMBER(C130),ISNUMBER(B130)),C130-B130,"n/a")</f>
        <v>-80</v>
      </c>
      <c r="D132" s="1">
        <f>IF(AND(ISNUMBER(D130),ISNUMBER(C130)),D130-C130,"n/a")</f>
        <v>-88</v>
      </c>
      <c r="E132" s="1">
        <f>IF(AND(ISNUMBER(E130),ISNUMBER(D130)),E130-D130,"n/a")</f>
        <v>-55</v>
      </c>
      <c r="F132" s="1" t="s">
        <v>37</v>
      </c>
      <c r="G132" s="1">
        <f>IF(AND(ISNUMBER(G130),ISNUMBER(E130)),G130-E130,"n/a")</f>
        <v>-104</v>
      </c>
      <c r="H132" s="1">
        <f>IF(AND(ISNUMBER(H130),ISNUMBER(G130)),H130-G130,"n/a")</f>
        <v>87</v>
      </c>
      <c r="I132" s="13">
        <f>IF(AND(ISNUMBER(I130),ISNUMBER(H130)),I130-H130,"n/a")</f>
        <v>0</v>
      </c>
      <c r="J132" s="2"/>
      <c r="K132" s="2"/>
      <c r="L132" s="2"/>
      <c r="M132" s="2"/>
      <c r="N132" s="2"/>
      <c r="O132" s="2"/>
    </row>
    <row r="133">
      <c r="A133" s="36" t="s">
        <v>534</v>
      </c>
      <c r="B133" s="8">
        <v>-9042</v>
      </c>
      <c r="C133" s="8">
        <v>-8609</v>
      </c>
      <c r="D133" s="8">
        <v>-7748</v>
      </c>
      <c r="E133" s="8">
        <v>-6987</v>
      </c>
      <c r="F133" s="3">
        <f>E133</f>
        <v>-6987</v>
      </c>
      <c r="G133" s="8">
        <v>-7223</v>
      </c>
      <c r="H133" s="8">
        <v>-7111</v>
      </c>
      <c r="I133" s="46">
        <f>H133+I136</f>
        <v>-7711</v>
      </c>
      <c r="J133" s="2"/>
      <c r="K133" s="2"/>
      <c r="L133" s="2"/>
      <c r="M133" s="2"/>
      <c r="N133" s="2"/>
      <c r="O133" s="2"/>
    </row>
    <row r="134">
      <c r="A134" s="14" t="s">
        <v>122</v>
      </c>
      <c r="B134" s="12" t="s">
        <v>37</v>
      </c>
      <c r="C134" s="12" t="s">
        <v>37</v>
      </c>
      <c r="D134" s="12" t="s">
        <v>37</v>
      </c>
      <c r="E134" s="12" t="s">
        <v>37</v>
      </c>
      <c r="F134" s="12" t="s">
        <v>37</v>
      </c>
      <c r="G134" s="12">
        <f>G133/B133-1</f>
        <v>-0.20117230701172306</v>
      </c>
      <c r="H134" s="12">
        <f>H133/C133-1</f>
        <v>-0.17400394935532582</v>
      </c>
      <c r="I134" s="35">
        <f>I133/D133-1</f>
        <v>-0.004775425916365483</v>
      </c>
      <c r="J134" s="2"/>
      <c r="K134" s="2"/>
      <c r="L134" s="2"/>
      <c r="M134" s="2"/>
      <c r="N134" s="2"/>
      <c r="O134" s="2"/>
    </row>
    <row r="135">
      <c r="A135" s="14" t="s">
        <v>110</v>
      </c>
      <c r="B135" s="1" t="s">
        <v>37</v>
      </c>
      <c r="C135" s="1">
        <f>IF(AND(ISNUMBER(C133),ISNUMBER(B133)),C133-B133,"n/a")</f>
        <v>433</v>
      </c>
      <c r="D135" s="1">
        <f>IF(AND(ISNUMBER(D133),ISNUMBER(C133)),D133-C133,"n/a")</f>
        <v>861</v>
      </c>
      <c r="E135" s="1">
        <f>IF(AND(ISNUMBER(E133),ISNUMBER(D133)),E133-D133,"n/a")</f>
        <v>761</v>
      </c>
      <c r="F135" s="1" t="s">
        <v>37</v>
      </c>
      <c r="G135" s="1">
        <f>IF(AND(ISNUMBER(G133),ISNUMBER(E133)),G133-E133,"n/a")</f>
        <v>-236</v>
      </c>
      <c r="H135" s="1">
        <f>IF(AND(ISNUMBER(H133),ISNUMBER(G133)),H133-G133,"n/a")</f>
        <v>112</v>
      </c>
      <c r="I135" s="13">
        <f>IF(AND(ISNUMBER(I133),ISNUMBER(H133)),I133-H133,"n/a")</f>
        <v>-600</v>
      </c>
      <c r="J135" s="2"/>
      <c r="K135" s="2"/>
      <c r="L135" s="2"/>
      <c r="M135" s="2"/>
      <c r="N135" s="2"/>
      <c r="O135" s="2"/>
    </row>
    <row r="136">
      <c r="A136" s="62" t="s">
        <v>535</v>
      </c>
      <c r="B136" s="3" t="s">
        <v>37</v>
      </c>
      <c r="C136" s="3">
        <f>C133-B133</f>
        <v>433</v>
      </c>
      <c r="D136" s="3">
        <f>D133-C133</f>
        <v>861</v>
      </c>
      <c r="E136" s="3">
        <f>E133-D133</f>
        <v>761</v>
      </c>
      <c r="F136" s="3" t="s">
        <v>37</v>
      </c>
      <c r="G136" s="3">
        <f>G133-E133</f>
        <v>-236</v>
      </c>
      <c r="H136" s="3">
        <f>H133-G133</f>
        <v>112</v>
      </c>
      <c r="I136" s="32">
        <v>-600</v>
      </c>
      <c r="J136" s="6" t="s">
        <v>536</v>
      </c>
      <c r="K136" s="2"/>
      <c r="L136" s="2"/>
      <c r="M136" s="2"/>
      <c r="N136" s="2"/>
      <c r="O136" s="2"/>
    </row>
    <row r="137">
      <c r="A137" s="61" t="s">
        <v>242</v>
      </c>
      <c r="B137" s="1" t="s">
        <v>37</v>
      </c>
      <c r="C137" s="1" t="s">
        <v>37</v>
      </c>
      <c r="D137" s="1" t="s">
        <v>37</v>
      </c>
      <c r="E137" s="1" t="s">
        <v>37</v>
      </c>
      <c r="F137" s="1" t="s">
        <v>37</v>
      </c>
      <c r="G137" s="1" t="str">
        <f>IF(AND(ISNUMBER(G136),ISNUMBER(B136)),G136-B136,"n/a")</f>
        <v>n/a</v>
      </c>
      <c r="H137" s="1">
        <f>IF(AND(ISNUMBER(H136),ISNUMBER(C136)),H136-C136,"n/a")</f>
        <v>-321</v>
      </c>
      <c r="I137" s="13">
        <f>IF(AND(ISNUMBER(I136),ISNUMBER(D136)),I136-D136,"n/a")</f>
        <v>-1461</v>
      </c>
      <c r="J137" s="2"/>
      <c r="K137" s="2"/>
      <c r="L137" s="2"/>
      <c r="M137" s="2"/>
      <c r="N137" s="2"/>
      <c r="O137" s="2"/>
    </row>
    <row r="138">
      <c r="A138" s="61" t="s">
        <v>110</v>
      </c>
      <c r="B138" s="1" t="s">
        <v>37</v>
      </c>
      <c r="C138" s="1" t="str">
        <f>IF(AND(ISNUMBER(C136),ISNUMBER(B136)),C136-B136,"n/a")</f>
        <v>n/a</v>
      </c>
      <c r="D138" s="1">
        <f>IF(AND(ISNUMBER(D136),ISNUMBER(C136)),D136-C136,"n/a")</f>
        <v>428</v>
      </c>
      <c r="E138" s="1">
        <f>IF(AND(ISNUMBER(E136),ISNUMBER(D136)),E136-D136,"n/a")</f>
        <v>-100</v>
      </c>
      <c r="F138" s="1" t="s">
        <v>37</v>
      </c>
      <c r="G138" s="1">
        <f>IF(AND(ISNUMBER(G136),ISNUMBER(E136)),G136-E136,"n/a")</f>
        <v>-997</v>
      </c>
      <c r="H138" s="1">
        <f>IF(AND(ISNUMBER(H136),ISNUMBER(G136)),H136-G136,"n/a")</f>
        <v>348</v>
      </c>
      <c r="I138" s="13">
        <f>IF(AND(ISNUMBER(I136),ISNUMBER(H136)),I136-H136,"n/a")</f>
        <v>-712</v>
      </c>
      <c r="J138" s="2"/>
      <c r="K138" s="2"/>
      <c r="L138" s="2"/>
      <c r="M138" s="2"/>
      <c r="N138" s="2"/>
      <c r="O138" s="2"/>
    </row>
    <row r="139">
      <c r="A139" s="14" t="s">
        <v>537</v>
      </c>
      <c r="B139" s="12" t="s">
        <v>37</v>
      </c>
      <c r="C139" s="12" t="s">
        <v>37</v>
      </c>
      <c r="D139" s="12" t="s">
        <v>37</v>
      </c>
      <c r="E139" s="12" t="s">
        <v>37</v>
      </c>
      <c r="F139" s="12" t="s">
        <v>37</v>
      </c>
      <c r="G139" s="12" t="s">
        <v>37</v>
      </c>
      <c r="H139" s="12" t="s">
        <v>37</v>
      </c>
      <c r="I139" s="60">
        <v>0.25</v>
      </c>
      <c r="J139" s="6" t="s">
        <v>138</v>
      </c>
      <c r="K139" s="2"/>
      <c r="L139" s="2"/>
      <c r="M139" s="2"/>
      <c r="N139" s="2"/>
      <c r="O139" s="2"/>
    </row>
    <row r="140">
      <c r="A140" s="62" t="s">
        <v>538</v>
      </c>
      <c r="B140" s="3" t="s">
        <v>37</v>
      </c>
      <c r="C140" s="3" t="s">
        <v>37</v>
      </c>
      <c r="D140" s="3" t="s">
        <v>37</v>
      </c>
      <c r="E140" s="3" t="s">
        <v>37</v>
      </c>
      <c r="F140" s="3" t="s">
        <v>37</v>
      </c>
      <c r="G140" s="3" t="s">
        <v>37</v>
      </c>
      <c r="H140" s="3" t="s">
        <v>37</v>
      </c>
      <c r="I140" s="46">
        <f>I136/(1-I139)</f>
        <v>-800</v>
      </c>
      <c r="J140" s="2"/>
      <c r="K140" s="2"/>
      <c r="L140" s="2"/>
      <c r="M140" s="2"/>
      <c r="N140" s="2"/>
      <c r="O140" s="2"/>
    </row>
    <row r="141">
      <c r="A141" s="61" t="s">
        <v>539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>
      <c r="A142" s="16" t="s">
        <v>540</v>
      </c>
      <c r="B142" s="15">
        <f>B115+B119+B123+B127+B130+B133</f>
        <v>60096</v>
      </c>
      <c r="C142" s="15">
        <f>C115+C119+C123+C127+C130+C133</f>
        <v>61438</v>
      </c>
      <c r="D142" s="15">
        <f>D115+D119+D123+D127+D130+D133</f>
        <v>63340</v>
      </c>
      <c r="E142" s="15">
        <f>E115+E119+E123+E127+E130+E133</f>
        <v>65193</v>
      </c>
      <c r="F142" s="15">
        <f>E142</f>
        <v>65193</v>
      </c>
      <c r="G142" s="15">
        <f>G115+G119+G123+G127+G130+G133</f>
        <v>65786</v>
      </c>
      <c r="H142" s="15">
        <f>H115+H119+H123+H127+H130+H133</f>
        <v>67432</v>
      </c>
      <c r="I142" s="38">
        <f>I115+I119+I123+I127+I130+I133</f>
        <v>68061.40937409525</v>
      </c>
      <c r="J142" s="2"/>
      <c r="K142" s="2"/>
      <c r="L142" s="2"/>
      <c r="M142" s="2"/>
      <c r="N142" s="2"/>
      <c r="O142" s="2"/>
    </row>
    <row r="143">
      <c r="A143" s="36" t="s">
        <v>541</v>
      </c>
      <c r="B143" s="8">
        <v>462</v>
      </c>
      <c r="C143" s="8">
        <v>458</v>
      </c>
      <c r="D143" s="8">
        <v>458</v>
      </c>
      <c r="E143" s="8">
        <v>458</v>
      </c>
      <c r="F143" s="3">
        <f>E143</f>
        <v>458</v>
      </c>
      <c r="G143" s="8">
        <v>461</v>
      </c>
      <c r="H143" s="8">
        <v>463</v>
      </c>
      <c r="I143" s="46">
        <f>H143*(1+I144)</f>
        <v>463</v>
      </c>
      <c r="J143" s="2"/>
      <c r="K143" s="2"/>
      <c r="L143" s="2"/>
      <c r="M143" s="2"/>
      <c r="N143" s="2"/>
      <c r="O143" s="2"/>
    </row>
    <row r="144">
      <c r="A144" s="14" t="s">
        <v>95</v>
      </c>
      <c r="B144" s="12" t="s">
        <v>37</v>
      </c>
      <c r="C144" s="12">
        <f>C143/B143-1</f>
        <v>-0.008658008658008698</v>
      </c>
      <c r="D144" s="12">
        <f>D143/C143-1</f>
        <v>0</v>
      </c>
      <c r="E144" s="12">
        <f>E143/D143-1</f>
        <v>0</v>
      </c>
      <c r="F144" s="12" t="s">
        <v>37</v>
      </c>
      <c r="G144" s="12">
        <f>G143/E143-1</f>
        <v>0.0065502183406114245</v>
      </c>
      <c r="H144" s="12">
        <f>H143/G143-1</f>
        <v>0.00433839479392617</v>
      </c>
      <c r="I144" s="60">
        <v>0</v>
      </c>
      <c r="J144" s="6" t="s">
        <v>138</v>
      </c>
      <c r="K144" s="2"/>
      <c r="L144" s="2"/>
      <c r="M144" s="2"/>
      <c r="N144" s="2"/>
      <c r="O144" s="2"/>
    </row>
    <row r="145">
      <c r="A145" s="14" t="s">
        <v>122</v>
      </c>
      <c r="B145" s="12" t="s">
        <v>37</v>
      </c>
      <c r="C145" s="12" t="s">
        <v>37</v>
      </c>
      <c r="D145" s="12" t="s">
        <v>37</v>
      </c>
      <c r="E145" s="12" t="s">
        <v>37</v>
      </c>
      <c r="F145" s="12" t="s">
        <v>37</v>
      </c>
      <c r="G145" s="12">
        <f>G143/B143-1</f>
        <v>-0.0021645021645021467</v>
      </c>
      <c r="H145" s="12">
        <f>H143/C143-1</f>
        <v>0.01091703056768556</v>
      </c>
      <c r="I145" s="35">
        <f>I143/D143-1</f>
        <v>0.01091703056768556</v>
      </c>
      <c r="J145" s="2"/>
      <c r="K145" s="2"/>
      <c r="L145" s="2"/>
      <c r="M145" s="2"/>
      <c r="N145" s="2"/>
      <c r="O145" s="2"/>
    </row>
    <row r="146">
      <c r="A146" s="14" t="s">
        <v>110</v>
      </c>
      <c r="B146" s="1" t="s">
        <v>37</v>
      </c>
      <c r="C146" s="1">
        <f>IF(AND(ISNUMBER(C143),ISNUMBER(B143)),C143-B143,"n/a")</f>
        <v>-4</v>
      </c>
      <c r="D146" s="1">
        <f>IF(AND(ISNUMBER(D143),ISNUMBER(C143)),D143-C143,"n/a")</f>
        <v>0</v>
      </c>
      <c r="E146" s="1">
        <f>IF(AND(ISNUMBER(E143),ISNUMBER(D143)),E143-D143,"n/a")</f>
        <v>0</v>
      </c>
      <c r="F146" s="1" t="s">
        <v>37</v>
      </c>
      <c r="G146" s="1">
        <f>IF(AND(ISNUMBER(G143),ISNUMBER(E143)),G143-E143,"n/a")</f>
        <v>3</v>
      </c>
      <c r="H146" s="1">
        <f>IF(AND(ISNUMBER(H143),ISNUMBER(G143)),H143-G143,"n/a")</f>
        <v>2</v>
      </c>
      <c r="I146" s="13">
        <f>IF(AND(ISNUMBER(I143),ISNUMBER(H143)),I143-H143,"n/a")</f>
        <v>0</v>
      </c>
      <c r="J146" s="2"/>
      <c r="K146" s="2"/>
      <c r="L146" s="2"/>
      <c r="M146" s="2"/>
      <c r="N146" s="2"/>
      <c r="O146" s="2"/>
    </row>
    <row r="147">
      <c r="A147" s="16" t="s">
        <v>542</v>
      </c>
      <c r="B147" s="15">
        <f>B142+B143</f>
        <v>60558</v>
      </c>
      <c r="C147" s="15">
        <f>C142+C143</f>
        <v>61896</v>
      </c>
      <c r="D147" s="15">
        <f>D142+D143</f>
        <v>63798</v>
      </c>
      <c r="E147" s="15">
        <f>E142+E143</f>
        <v>65651</v>
      </c>
      <c r="F147" s="15">
        <f>E147</f>
        <v>65651</v>
      </c>
      <c r="G147" s="15">
        <f>G142+G143</f>
        <v>66247</v>
      </c>
      <c r="H147" s="15">
        <f>H142+H143</f>
        <v>67895</v>
      </c>
      <c r="I147" s="38">
        <f>I142+I143</f>
        <v>68524.40937409525</v>
      </c>
      <c r="J147" s="2"/>
      <c r="K147" s="2"/>
      <c r="L147" s="2"/>
      <c r="M147" s="2"/>
      <c r="N147" s="2"/>
      <c r="O147" s="2"/>
    </row>
    <row r="148">
      <c r="A148" s="16" t="s">
        <v>543</v>
      </c>
      <c r="B148" s="15">
        <f>B112+B147</f>
        <v>676489</v>
      </c>
      <c r="C148" s="15">
        <f>C112+C147</f>
        <v>686370</v>
      </c>
      <c r="D148" s="15">
        <f>D112+D147</f>
        <v>695357</v>
      </c>
      <c r="E148" s="15">
        <f>E112+E147</f>
        <v>692345</v>
      </c>
      <c r="F148" s="15">
        <f>E148</f>
        <v>692345</v>
      </c>
      <c r="G148" s="15">
        <f>G112+G147</f>
        <v>700998</v>
      </c>
      <c r="H148" s="15">
        <f>H112+H147</f>
        <v>725918</v>
      </c>
      <c r="I148" s="38">
        <f>I112+I147</f>
        <v>731654.5193740951</v>
      </c>
      <c r="J148" s="2"/>
      <c r="K148" s="2"/>
      <c r="L148" s="2"/>
      <c r="M148" s="2"/>
      <c r="N148" s="2"/>
      <c r="O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>
      <c r="A150" s="66" t="s">
        <v>544</v>
      </c>
      <c r="B150" s="56">
        <f>B79-B112-B147</f>
        <v>0</v>
      </c>
      <c r="C150" s="56">
        <f>C79-C112-C147</f>
        <v>0</v>
      </c>
      <c r="D150" s="56">
        <f>D79-D112-D147</f>
        <v>0</v>
      </c>
      <c r="E150" s="56">
        <f>E79-E112-E147</f>
        <v>0</v>
      </c>
      <c r="F150" s="56">
        <f>F79-F112-F147</f>
        <v>0</v>
      </c>
      <c r="G150" s="56">
        <f>G79-G112-G147</f>
        <v>0</v>
      </c>
      <c r="H150" s="56">
        <f>H79-H112-H147</f>
        <v>0</v>
      </c>
      <c r="I150" s="76">
        <f>I79-I112-I147</f>
        <v>0</v>
      </c>
      <c r="J150" s="2" t="s">
        <v>545</v>
      </c>
      <c r="K150" s="2"/>
      <c r="L150" s="2"/>
      <c r="M150" s="2"/>
      <c r="N150" s="2"/>
      <c r="O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>
      <c r="A152" s="16" t="s">
        <v>546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>
      <c r="A153" s="36" t="s">
        <v>547</v>
      </c>
      <c r="B153" s="8">
        <v>547</v>
      </c>
      <c r="C153" s="8">
        <v>554</v>
      </c>
      <c r="D153" s="8">
        <v>536</v>
      </c>
      <c r="E153" s="8">
        <v>527</v>
      </c>
      <c r="F153" s="3">
        <f>SUM(B153:E153)</f>
        <v>2164</v>
      </c>
      <c r="G153" s="8">
        <v>546</v>
      </c>
      <c r="H153" s="8">
        <v>536</v>
      </c>
      <c r="I153" s="49">
        <f>'Segment - WCCIB'!I244+'Segment - Consumer &amp; Business'!I261+'Segment - Payment Services'!I211+'Segment - Treasury &amp; Corp'!I83</f>
        <v>557.6114442520548</v>
      </c>
      <c r="J153" s="2"/>
      <c r="K153" s="2"/>
      <c r="L153" s="2"/>
      <c r="M153" s="2"/>
      <c r="N153" s="2"/>
      <c r="O153" s="2"/>
    </row>
    <row r="154">
      <c r="A154" s="26" t="s">
        <v>548</v>
      </c>
      <c r="B154" s="57">
        <f>'Segment - WCCIB'!B244+'Segment - Consumer &amp; Business'!B261+'Segment - Payment Services'!B211+'Segment - Treasury &amp; Corp'!B83-B153</f>
        <v>0</v>
      </c>
      <c r="C154" s="57">
        <f>'Segment - WCCIB'!C244+'Segment - Consumer &amp; Business'!C261+'Segment - Payment Services'!C211+'Segment - Treasury &amp; Corp'!C83-C153</f>
        <v>0</v>
      </c>
      <c r="D154" s="57">
        <f>'Segment - WCCIB'!D244+'Segment - Consumer &amp; Business'!D261+'Segment - Payment Services'!D211+'Segment - Treasury &amp; Corp'!D83-D153</f>
        <v>0</v>
      </c>
      <c r="E154" s="57">
        <f>'Segment - WCCIB'!E244+'Segment - Consumer &amp; Business'!E261+'Segment - Payment Services'!E211+'Segment - Treasury &amp; Corp'!E83-E153</f>
        <v>0</v>
      </c>
      <c r="F154" s="57">
        <f>'Segment - WCCIB'!F244+'Segment - Consumer &amp; Business'!F261+'Segment - Payment Services'!F211+'Segment - Treasury &amp; Corp'!F83-F153</f>
        <v>0</v>
      </c>
      <c r="G154" s="57">
        <f>'Segment - WCCIB'!G244+'Segment - Consumer &amp; Business'!G261+'Segment - Payment Services'!G211+'Segment - Treasury &amp; Corp'!G83-G153</f>
        <v>0</v>
      </c>
      <c r="H154" s="57">
        <f>'Segment - WCCIB'!H244+'Segment - Consumer &amp; Business'!H261+'Segment - Payment Services'!H211+'Segment - Treasury &amp; Corp'!H83-H153</f>
        <v>0</v>
      </c>
      <c r="I154" s="2"/>
      <c r="J154" s="2"/>
      <c r="K154" s="2"/>
      <c r="L154" s="2"/>
      <c r="M154" s="2"/>
      <c r="N154" s="2"/>
      <c r="O154" s="2"/>
    </row>
    <row r="155">
      <c r="A155" s="19" t="s">
        <v>549</v>
      </c>
      <c r="B155" s="69">
        <f>-B61/B48</f>
        <v>0.019862814579683044</v>
      </c>
      <c r="C155" s="69">
        <f>-C61/C48</f>
        <v>0.019821535176189963</v>
      </c>
      <c r="D155" s="69">
        <f>-D61/D48</f>
        <v>0.019755984701333537</v>
      </c>
      <c r="E155" s="69">
        <f>-E61/E48</f>
        <v>0.019433477710912646</v>
      </c>
      <c r="F155" s="69">
        <f>-F61/F48</f>
        <v>0.019433477710912646</v>
      </c>
      <c r="G155" s="69">
        <f>-G61/G48</f>
        <v>0.019124753624348418</v>
      </c>
      <c r="H155" s="69">
        <f>-H61/H48</f>
        <v>0.018632707774798928</v>
      </c>
      <c r="I155" s="67">
        <f>-I61/I48</f>
        <v>0.01880524948791665</v>
      </c>
      <c r="J155" s="2"/>
      <c r="K155" s="2"/>
      <c r="L155" s="2"/>
      <c r="M155" s="2"/>
      <c r="N155" s="2"/>
      <c r="O155" s="2"/>
    </row>
    <row r="156">
      <c r="A156" s="14" t="s">
        <v>144</v>
      </c>
      <c r="B156" s="5" t="s">
        <v>37</v>
      </c>
      <c r="C156" s="5">
        <f>IF(AND(ISNUMBER(C155),ISNUMBER(B155)),(C155-B155)*10000,"n/a")</f>
        <v>-0.4127940349308093</v>
      </c>
      <c r="D156" s="5">
        <f>IF(AND(ISNUMBER(D155),ISNUMBER(C155)),(D155-C155)*10000,"n/a")</f>
        <v>-0.6555047485642604</v>
      </c>
      <c r="E156" s="5">
        <f>IF(AND(ISNUMBER(E155),ISNUMBER(D155)),(E155-D155)*10000,"n/a")</f>
        <v>-3.225069904208913</v>
      </c>
      <c r="F156" s="5" t="s">
        <v>37</v>
      </c>
      <c r="G156" s="5">
        <f>IF(AND(ISNUMBER(G155),ISNUMBER(E155)),(G155-E155)*10000,"n/a")</f>
        <v>-3.0872408656422783</v>
      </c>
      <c r="H156" s="5">
        <f>IF(AND(ISNUMBER(H155),ISNUMBER(G155)),(H155-G155)*10000,"n/a")</f>
        <v>-4.9204584954948976</v>
      </c>
      <c r="I156" s="45">
        <f>IF(AND(ISNUMBER(I155),ISNUMBER(H155)),(I155-H155)*10000,"n/a")</f>
        <v>1.7254171311772288</v>
      </c>
      <c r="J156" s="2"/>
      <c r="K156" s="2"/>
      <c r="L156" s="2"/>
      <c r="M156" s="2"/>
      <c r="N156" s="2"/>
      <c r="O156" s="2"/>
    </row>
    <row r="157">
      <c r="A157" s="14" t="s">
        <v>145</v>
      </c>
      <c r="B157" s="5" t="s">
        <v>37</v>
      </c>
      <c r="C157" s="5" t="s">
        <v>37</v>
      </c>
      <c r="D157" s="5" t="s">
        <v>37</v>
      </c>
      <c r="E157" s="5" t="s">
        <v>37</v>
      </c>
      <c r="F157" s="5" t="s">
        <v>37</v>
      </c>
      <c r="G157" s="5">
        <f>IF(AND(ISNUMBER(G155),ISNUMBER(B155)),(G155-B155)*10000,"n/a")</f>
        <v>-7.380609553346261</v>
      </c>
      <c r="H157" s="5">
        <f>IF(AND(ISNUMBER(H155),ISNUMBER(C155)),(H155-C155)*10000,"n/a")</f>
        <v>-11.88827401391035</v>
      </c>
      <c r="I157" s="45">
        <f>IF(AND(ISNUMBER(I155),ISNUMBER(D155)),(I155-D155)*10000,"n/a")</f>
        <v>-9.50735213416886</v>
      </c>
      <c r="J157" s="2"/>
      <c r="K157" s="2"/>
      <c r="L157" s="2"/>
      <c r="M157" s="2"/>
      <c r="N157" s="2"/>
      <c r="O157" s="2"/>
    </row>
    <row r="158">
      <c r="A158" s="36" t="s">
        <v>550</v>
      </c>
      <c r="B158" s="53">
        <f>(B142-B115)/'Share Count'!B17</f>
        <v>34.15897435897436</v>
      </c>
      <c r="C158" s="53">
        <f>(C142-C115)/'Share Count'!C17</f>
        <v>35.06418485237484</v>
      </c>
      <c r="D158" s="53">
        <f>(D142-D115)/'Share Count'!D17</f>
        <v>36.33161953727507</v>
      </c>
      <c r="E158" s="53">
        <f>(E142-E115)/'Share Count'!E17</f>
        <v>37.546623794212216</v>
      </c>
      <c r="F158" s="53">
        <f>(F142-F115)/'Share Count'!F17</f>
        <v>37.546623794212216</v>
      </c>
      <c r="G158" s="53">
        <f>(G142-G115)/'Share Count'!G17</f>
        <v>37.92797427652733</v>
      </c>
      <c r="H158" s="53">
        <f>(H142-H115)/'Share Count'!H17</f>
        <v>38.91142490372272</v>
      </c>
      <c r="I158" s="43">
        <f>(I142-I115)/'Share Count'!I17</f>
        <v>39.290192029567194</v>
      </c>
      <c r="J158" s="2"/>
      <c r="K158" s="2"/>
      <c r="L158" s="2"/>
      <c r="M158" s="2"/>
      <c r="N158" s="2"/>
      <c r="O158" s="2"/>
    </row>
    <row r="159">
      <c r="A159" s="14" t="s">
        <v>122</v>
      </c>
      <c r="B159" s="12" t="s">
        <v>37</v>
      </c>
      <c r="C159" s="12" t="s">
        <v>37</v>
      </c>
      <c r="D159" s="12" t="s">
        <v>37</v>
      </c>
      <c r="E159" s="12" t="s">
        <v>37</v>
      </c>
      <c r="F159" s="12" t="s">
        <v>37</v>
      </c>
      <c r="G159" s="12">
        <f>G158/B158-1</f>
        <v>0.11033703406738149</v>
      </c>
      <c r="H159" s="12">
        <f>H158/C158-1</f>
        <v>0.10971993410214176</v>
      </c>
      <c r="I159" s="35">
        <f>I158/D158-1</f>
        <v>0.08143244176761044</v>
      </c>
      <c r="J159" s="2"/>
      <c r="K159" s="2"/>
      <c r="L159" s="2"/>
      <c r="M159" s="2"/>
      <c r="N159" s="2"/>
      <c r="O159" s="2"/>
    </row>
    <row r="160">
      <c r="A160" s="19" t="s">
        <v>551</v>
      </c>
      <c r="B160" s="12" t="s">
        <v>37</v>
      </c>
      <c r="C160" s="65">
        <v>0.107</v>
      </c>
      <c r="D160" s="65">
        <v>0.109</v>
      </c>
      <c r="E160" s="65">
        <v>0.108</v>
      </c>
      <c r="F160" s="12">
        <f>E160</f>
        <v>0.108</v>
      </c>
      <c r="G160" s="65">
        <v>0.108</v>
      </c>
      <c r="H160" s="65">
        <v>0.108</v>
      </c>
      <c r="I160" s="35" t="s">
        <v>37</v>
      </c>
      <c r="J160" s="6" t="s">
        <v>552</v>
      </c>
      <c r="K160" s="2"/>
      <c r="L160" s="2"/>
      <c r="M160" s="2"/>
      <c r="N160" s="2"/>
      <c r="O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59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553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554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36" t="s">
        <v>247</v>
      </c>
      <c r="B10" s="23">
        <f>Inputs!B130</f>
        <v>1709</v>
      </c>
      <c r="C10" s="23">
        <f>Inputs!C130-Inputs!B130</f>
        <v>1815</v>
      </c>
      <c r="D10" s="23">
        <f>Inputs!D130-Inputs!C130</f>
        <v>2001</v>
      </c>
      <c r="E10" s="23">
        <f>Inputs!E130-Inputs!D130</f>
        <v>2045</v>
      </c>
      <c r="F10" s="3">
        <f>SUM(B10:E10)</f>
        <v>7570</v>
      </c>
      <c r="G10" s="23">
        <f>Inputs!F130</f>
        <v>1945</v>
      </c>
      <c r="H10" s="23">
        <f>Inputs!G130-Inputs!F130</f>
        <v>2177</v>
      </c>
      <c r="I10" s="49">
        <f>'Income Statement'!I195</f>
        <v>2148.950374095246</v>
      </c>
      <c r="J10" s="2"/>
      <c r="K10" s="2"/>
      <c r="L10" s="2"/>
      <c r="M10" s="2"/>
      <c r="N10" s="2"/>
      <c r="O10" s="2"/>
    </row>
    <row r="11">
      <c r="A11" s="36" t="s">
        <v>243</v>
      </c>
      <c r="B11" s="23">
        <f>Inputs!B131</f>
        <v>537</v>
      </c>
      <c r="C11" s="23">
        <f>Inputs!C131-Inputs!B131</f>
        <v>501</v>
      </c>
      <c r="D11" s="23">
        <f>Inputs!D131-Inputs!C131</f>
        <v>571</v>
      </c>
      <c r="E11" s="23">
        <f>Inputs!E131-Inputs!D131</f>
        <v>577</v>
      </c>
      <c r="F11" s="3">
        <f>SUM(B11:E11)</f>
        <v>2186</v>
      </c>
      <c r="G11" s="23">
        <f>Inputs!F131</f>
        <v>576</v>
      </c>
      <c r="H11" s="23">
        <f>Inputs!G131-Inputs!F131</f>
        <v>538</v>
      </c>
      <c r="I11" s="49">
        <f>'Income Statement'!I179</f>
        <v>741.6114442520549</v>
      </c>
      <c r="J11" s="2"/>
      <c r="K11" s="2"/>
      <c r="L11" s="2"/>
      <c r="M11" s="2"/>
      <c r="N11" s="2"/>
      <c r="O11" s="2"/>
    </row>
    <row r="12">
      <c r="A12" s="36" t="s">
        <v>555</v>
      </c>
      <c r="B12" s="23">
        <f>Inputs!B132</f>
        <v>92</v>
      </c>
      <c r="C12" s="23">
        <f>Inputs!C132-Inputs!B132</f>
        <v>93</v>
      </c>
      <c r="D12" s="23">
        <f>Inputs!D132-Inputs!C132</f>
        <v>91</v>
      </c>
      <c r="E12" s="23">
        <f>Inputs!E132-Inputs!D132</f>
        <v>101</v>
      </c>
      <c r="F12" s="3">
        <f>SUM(B12:E12)</f>
        <v>377</v>
      </c>
      <c r="G12" s="23">
        <f>Inputs!F132</f>
        <v>94</v>
      </c>
      <c r="H12" s="23">
        <f>Inputs!G132-Inputs!F132</f>
        <v>95</v>
      </c>
      <c r="I12" s="32">
        <v>95</v>
      </c>
      <c r="J12" s="6" t="s">
        <v>556</v>
      </c>
      <c r="K12" s="2"/>
      <c r="L12" s="2"/>
      <c r="M12" s="2"/>
      <c r="N12" s="2"/>
      <c r="O12" s="2"/>
    </row>
    <row r="13">
      <c r="A13" s="36" t="s">
        <v>557</v>
      </c>
      <c r="B13" s="23">
        <f>Inputs!B133</f>
        <v>123</v>
      </c>
      <c r="C13" s="23">
        <f>Inputs!C133-Inputs!B133</f>
        <v>124</v>
      </c>
      <c r="D13" s="23">
        <f>Inputs!D133-Inputs!C133</f>
        <v>125</v>
      </c>
      <c r="E13" s="23">
        <f>Inputs!E133-Inputs!D133</f>
        <v>126</v>
      </c>
      <c r="F13" s="3">
        <f>SUM(B13:E13)</f>
        <v>498</v>
      </c>
      <c r="G13" s="23">
        <f>Inputs!F133</f>
        <v>110</v>
      </c>
      <c r="H13" s="23">
        <f>Inputs!G133-Inputs!F133</f>
        <v>114</v>
      </c>
      <c r="I13" s="49">
        <f>'Income Statement'!I164</f>
        <v>117.99</v>
      </c>
      <c r="J13" s="2"/>
      <c r="K13" s="2"/>
      <c r="L13" s="2"/>
      <c r="M13" s="2"/>
      <c r="N13" s="2"/>
      <c r="O13" s="2"/>
    </row>
    <row r="14">
      <c r="A14" s="36" t="s">
        <v>558</v>
      </c>
      <c r="B14" s="23">
        <f>Inputs!B134</f>
        <v>-44</v>
      </c>
      <c r="C14" s="23">
        <f>Inputs!C134-Inputs!B134</f>
        <v>-64</v>
      </c>
      <c r="D14" s="23">
        <f>Inputs!D134-Inputs!C134</f>
        <v>-78</v>
      </c>
      <c r="E14" s="23">
        <f>Inputs!E134-Inputs!D134</f>
        <v>-71</v>
      </c>
      <c r="F14" s="3">
        <f>SUM(B14:E14)</f>
        <v>-257</v>
      </c>
      <c r="G14" s="23">
        <f>Inputs!F134</f>
        <v>-49</v>
      </c>
      <c r="H14" s="23">
        <f>Inputs!G134-Inputs!F134</f>
        <v>-25</v>
      </c>
      <c r="I14" s="119" t="s">
        <v>559</v>
      </c>
      <c r="J14" s="6" t="s">
        <v>560</v>
      </c>
      <c r="K14" s="2"/>
      <c r="L14" s="2"/>
      <c r="M14" s="2"/>
      <c r="N14" s="2"/>
      <c r="O14" s="2"/>
    </row>
    <row r="15">
      <c r="A15" s="36" t="s">
        <v>561</v>
      </c>
      <c r="B15" s="23">
        <f>Inputs!B135</f>
        <v>-28</v>
      </c>
      <c r="C15" s="23">
        <f>Inputs!C135-Inputs!B135</f>
        <v>43</v>
      </c>
      <c r="D15" s="23">
        <f>Inputs!D135-Inputs!C135</f>
        <v>-1</v>
      </c>
      <c r="E15" s="23">
        <f>Inputs!E135-Inputs!D135</f>
        <v>-13</v>
      </c>
      <c r="F15" s="3">
        <f>SUM(B15:E15)</f>
        <v>1</v>
      </c>
      <c r="G15" s="23">
        <f>Inputs!F135</f>
        <v>27</v>
      </c>
      <c r="H15" s="23">
        <f>Inputs!G135-Inputs!F135</f>
        <v>43</v>
      </c>
      <c r="I15" s="49">
        <f>-'Income Statement'!I125</f>
        <v>30</v>
      </c>
      <c r="J15" s="2"/>
      <c r="K15" s="2"/>
      <c r="L15" s="2"/>
      <c r="M15" s="2"/>
      <c r="N15" s="2"/>
      <c r="O15" s="2"/>
    </row>
    <row r="16">
      <c r="A16" s="36" t="s">
        <v>562</v>
      </c>
      <c r="B16" s="23">
        <f>Inputs!B136</f>
        <v>-4185</v>
      </c>
      <c r="C16" s="23">
        <f>Inputs!C136-Inputs!B136</f>
        <v>-5662</v>
      </c>
      <c r="D16" s="23">
        <f>Inputs!D136-Inputs!C136</f>
        <v>-5685</v>
      </c>
      <c r="E16" s="23">
        <f>Inputs!E136-Inputs!D136</f>
        <v>-6584</v>
      </c>
      <c r="F16" s="3">
        <f>SUM(B16:E16)</f>
        <v>-22116</v>
      </c>
      <c r="G16" s="23">
        <f>Inputs!F136</f>
        <v>-5350</v>
      </c>
      <c r="H16" s="23">
        <f>Inputs!G136-Inputs!F136</f>
        <v>-5966</v>
      </c>
      <c r="I16" s="119" t="s">
        <v>559</v>
      </c>
      <c r="J16" s="6" t="s">
        <v>563</v>
      </c>
      <c r="K16" s="2"/>
      <c r="L16" s="2"/>
      <c r="M16" s="2"/>
      <c r="N16" s="2"/>
      <c r="O16" s="2"/>
    </row>
    <row r="17">
      <c r="A17" s="36" t="s">
        <v>564</v>
      </c>
      <c r="B17" s="23">
        <f>Inputs!B137</f>
        <v>4705</v>
      </c>
      <c r="C17" s="23">
        <f>Inputs!C137-Inputs!B137</f>
        <v>5134</v>
      </c>
      <c r="D17" s="23">
        <f>Inputs!D137-Inputs!C137</f>
        <v>5684</v>
      </c>
      <c r="E17" s="23">
        <f>Inputs!E137-Inputs!D137</f>
        <v>6496</v>
      </c>
      <c r="F17" s="3">
        <f>SUM(B17:E17)</f>
        <v>22019</v>
      </c>
      <c r="G17" s="23">
        <f>Inputs!F137</f>
        <v>4937</v>
      </c>
      <c r="H17" s="23">
        <f>Inputs!G137-Inputs!F137</f>
        <v>5792</v>
      </c>
      <c r="I17" s="119" t="s">
        <v>559</v>
      </c>
      <c r="J17" s="6" t="s">
        <v>563</v>
      </c>
      <c r="K17" s="2"/>
      <c r="L17" s="2"/>
      <c r="M17" s="2"/>
      <c r="N17" s="2"/>
      <c r="O17" s="2"/>
    </row>
    <row r="18">
      <c r="A18" s="36" t="s">
        <v>565</v>
      </c>
      <c r="B18" s="23">
        <f>Inputs!B138</f>
        <v>-3217</v>
      </c>
      <c r="C18" s="23">
        <f>Inputs!C138-Inputs!B138</f>
        <v>-71</v>
      </c>
      <c r="D18" s="23">
        <f>Inputs!D138-Inputs!C138</f>
        <v>821</v>
      </c>
      <c r="E18" s="23">
        <f>Inputs!E138-Inputs!D138</f>
        <v>159</v>
      </c>
      <c r="F18" s="3">
        <f>SUM(B18:E18)</f>
        <v>-2308</v>
      </c>
      <c r="G18" s="23">
        <f>Inputs!F138</f>
        <v>-950</v>
      </c>
      <c r="H18" s="23">
        <f>Inputs!G138-Inputs!F138</f>
        <v>2052</v>
      </c>
      <c r="I18" s="49">
        <f>-('Balance Sheet'!I23-'Balance Sheet'!H23)-(('Balance Sheet'!I76-'Balance Sheet'!H76)+('Balance Sheet'!I140-'Balance Sheet'!I136))+('Balance Sheet'!I108-'Balance Sheet'!H108)+('Balance Sheet'!I123-'Balance Sheet'!H123)-'Income Statement'!I192-('Share Count'!I44-'Share Count'!H44)</f>
        <v>62.69900000000041</v>
      </c>
      <c r="J18" s="2" t="s">
        <v>566</v>
      </c>
      <c r="K18" s="2"/>
      <c r="L18" s="2"/>
      <c r="M18" s="2"/>
      <c r="N18" s="2"/>
      <c r="O18" s="2"/>
    </row>
    <row r="19">
      <c r="A19" s="16" t="s">
        <v>567</v>
      </c>
      <c r="B19" s="15">
        <f>SUM(B10:B18)</f>
        <v>-308</v>
      </c>
      <c r="C19" s="15">
        <f>SUM(C10:C18)</f>
        <v>1913</v>
      </c>
      <c r="D19" s="15">
        <f>SUM(D10:D18)</f>
        <v>3529</v>
      </c>
      <c r="E19" s="15">
        <f>SUM(E10:E18)</f>
        <v>2836</v>
      </c>
      <c r="F19" s="15">
        <f>SUM(F10:F18)</f>
        <v>7970</v>
      </c>
      <c r="G19" s="15">
        <f>SUM(G10:G18)</f>
        <v>1340</v>
      </c>
      <c r="H19" s="15">
        <f>SUM(H10:H18)</f>
        <v>4820</v>
      </c>
      <c r="I19" s="38">
        <f>SUM(I10:I18)</f>
        <v>3196.250818347301</v>
      </c>
      <c r="J19" s="2"/>
      <c r="K19" s="2"/>
      <c r="L19" s="2"/>
      <c r="M19" s="2"/>
      <c r="N19" s="2"/>
      <c r="O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>
      <c r="A21" s="16" t="s">
        <v>568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>
      <c r="A22" s="36" t="s">
        <v>569</v>
      </c>
      <c r="B22" s="23">
        <f>Inputs!B139</f>
        <v>1011</v>
      </c>
      <c r="C22" s="23">
        <f>Inputs!C139-Inputs!B139</f>
        <v>2514</v>
      </c>
      <c r="D22" s="23">
        <f>Inputs!D139-Inputs!C139</f>
        <v>2083</v>
      </c>
      <c r="E22" s="23">
        <f>Inputs!E139-Inputs!D139</f>
        <v>1510</v>
      </c>
      <c r="F22" s="3">
        <f>SUM(B22:E22)</f>
        <v>7118</v>
      </c>
      <c r="G22" s="23">
        <f>Inputs!F139</f>
        <v>3104</v>
      </c>
      <c r="H22" s="23">
        <f>Inputs!G139-Inputs!F139</f>
        <v>5042</v>
      </c>
      <c r="I22" s="119" t="s">
        <v>570</v>
      </c>
      <c r="J22" s="6" t="s">
        <v>571</v>
      </c>
      <c r="K22" s="2"/>
      <c r="L22" s="2"/>
      <c r="M22" s="2"/>
      <c r="N22" s="2"/>
      <c r="O22" s="2"/>
    </row>
    <row r="23">
      <c r="A23" s="36" t="s">
        <v>572</v>
      </c>
      <c r="B23" s="23">
        <f>Inputs!B140</f>
        <v>1387</v>
      </c>
      <c r="C23" s="23">
        <f>Inputs!C140-Inputs!B140</f>
        <v>2265</v>
      </c>
      <c r="D23" s="23">
        <f>Inputs!D140-Inputs!C140</f>
        <v>1671</v>
      </c>
      <c r="E23" s="23">
        <f>Inputs!E140-Inputs!D140</f>
        <v>1617</v>
      </c>
      <c r="F23" s="3">
        <f>SUM(B23:E23)</f>
        <v>6940</v>
      </c>
      <c r="G23" s="23">
        <f>Inputs!F140</f>
        <v>1579</v>
      </c>
      <c r="H23" s="23">
        <f>Inputs!G140-Inputs!F140</f>
        <v>1783</v>
      </c>
      <c r="I23" s="49">
        <f>-('Balance Sheet'!I13-'Balance Sheet'!H13)</f>
        <v>1407.6150000000052</v>
      </c>
      <c r="J23" s="2"/>
      <c r="K23" s="2"/>
      <c r="L23" s="2"/>
      <c r="M23" s="2"/>
      <c r="N23" s="2"/>
      <c r="O23" s="2"/>
    </row>
    <row r="24">
      <c r="A24" s="36" t="s">
        <v>573</v>
      </c>
      <c r="B24" s="23">
        <f>Inputs!B141</f>
        <v>1340</v>
      </c>
      <c r="C24" s="23">
        <f>Inputs!C141-Inputs!B141</f>
        <v>1520</v>
      </c>
      <c r="D24" s="23">
        <f>Inputs!D141-Inputs!C141</f>
        <v>1580</v>
      </c>
      <c r="E24" s="23">
        <f>Inputs!E141-Inputs!D141</f>
        <v>2541</v>
      </c>
      <c r="F24" s="3">
        <f>SUM(B24:E24)</f>
        <v>6981</v>
      </c>
      <c r="G24" s="23">
        <f>Inputs!F141</f>
        <v>2470</v>
      </c>
      <c r="H24" s="23">
        <f>Inputs!G141-Inputs!F141</f>
        <v>3004</v>
      </c>
      <c r="I24" s="119" t="s">
        <v>570</v>
      </c>
      <c r="J24" s="6" t="s">
        <v>574</v>
      </c>
      <c r="K24" s="2"/>
      <c r="L24" s="2"/>
      <c r="M24" s="2"/>
      <c r="N24" s="2"/>
      <c r="O24" s="2"/>
    </row>
    <row r="25">
      <c r="A25" s="36" t="s">
        <v>575</v>
      </c>
      <c r="B25" s="23">
        <f>Inputs!B142</f>
        <v>-644</v>
      </c>
      <c r="C25" s="23">
        <f>Inputs!C142-Inputs!B142</f>
        <v>-1976</v>
      </c>
      <c r="D25" s="23">
        <f>Inputs!D142-Inputs!C142</f>
        <v>-591</v>
      </c>
      <c r="E25" s="23">
        <f>Inputs!E142-Inputs!D142</f>
        <v>-745</v>
      </c>
      <c r="F25" s="3">
        <f>SUM(B25:E25)</f>
        <v>-3956</v>
      </c>
      <c r="G25" s="23">
        <f>Inputs!F142</f>
        <v>-763</v>
      </c>
      <c r="H25" s="23">
        <f>Inputs!G142-Inputs!F142</f>
        <v>-296</v>
      </c>
      <c r="I25" s="119" t="s">
        <v>576</v>
      </c>
      <c r="J25" s="6" t="s">
        <v>577</v>
      </c>
      <c r="K25" s="2"/>
      <c r="L25" s="2"/>
      <c r="M25" s="2"/>
      <c r="N25" s="2"/>
      <c r="O25" s="2"/>
    </row>
    <row r="26">
      <c r="A26" s="36" t="s">
        <v>578</v>
      </c>
      <c r="B26" s="23">
        <f>Inputs!B143</f>
        <v>-2104</v>
      </c>
      <c r="C26" s="23">
        <f>Inputs!C143-Inputs!B143</f>
        <v>-7374</v>
      </c>
      <c r="D26" s="23">
        <f>Inputs!D143-Inputs!C143</f>
        <v>-1212</v>
      </c>
      <c r="E26" s="23">
        <f>Inputs!E143-Inputs!D143</f>
        <v>-5168</v>
      </c>
      <c r="F26" s="3">
        <f>SUM(B26:E26)</f>
        <v>-15858</v>
      </c>
      <c r="G26" s="23">
        <f>Inputs!F143</f>
        <v>-7759</v>
      </c>
      <c r="H26" s="23">
        <f>Inputs!G143-Inputs!F143</f>
        <v>-4457</v>
      </c>
      <c r="I26" s="49">
        <f>-('Balance Sheet'!I17-'Balance Sheet'!H17)+'Balance Sheet'!I140+'Income Statement'!I125</f>
        <v>415.4250000000029</v>
      </c>
      <c r="J26" s="2"/>
      <c r="K26" s="2"/>
      <c r="L26" s="2"/>
      <c r="M26" s="2"/>
      <c r="N26" s="2"/>
      <c r="O26" s="2"/>
    </row>
    <row r="27">
      <c r="A27" s="36" t="s">
        <v>579</v>
      </c>
      <c r="B27" s="23">
        <f>Inputs!B144</f>
        <v>-2636</v>
      </c>
      <c r="C27" s="23">
        <f>Inputs!C144-Inputs!B144</f>
        <v>-4532</v>
      </c>
      <c r="D27" s="23">
        <f>Inputs!D144-Inputs!C144</f>
        <v>-2508</v>
      </c>
      <c r="E27" s="23">
        <f>Inputs!E144-Inputs!D144</f>
        <v>-8367</v>
      </c>
      <c r="F27" s="3">
        <f>SUM(B27:E27)</f>
        <v>-18043</v>
      </c>
      <c r="G27" s="23">
        <f>Inputs!F144</f>
        <v>-8282</v>
      </c>
      <c r="H27" s="23">
        <f>Inputs!G144-Inputs!F144</f>
        <v>-11027</v>
      </c>
      <c r="I27" s="49">
        <f>-(('Balance Sheet'!I48-'Balance Sheet'!H48)+'Balance Sheet'!I153)</f>
        <v>-6577.533444252075</v>
      </c>
      <c r="J27" s="2"/>
      <c r="K27" s="2"/>
      <c r="L27" s="2"/>
      <c r="M27" s="2"/>
      <c r="N27" s="2"/>
      <c r="O27" s="2"/>
    </row>
    <row r="28">
      <c r="A28" s="36" t="s">
        <v>580</v>
      </c>
      <c r="B28" s="23">
        <f>Inputs!B145</f>
        <v>766</v>
      </c>
      <c r="C28" s="23">
        <f>Inputs!C145-Inputs!B145</f>
        <v>5752</v>
      </c>
      <c r="D28" s="23">
        <f>Inputs!D145-Inputs!C145</f>
        <v>123</v>
      </c>
      <c r="E28" s="23">
        <f>Inputs!E145-Inputs!D145</f>
        <v>156</v>
      </c>
      <c r="F28" s="3">
        <f>SUM(B28:E28)</f>
        <v>6797</v>
      </c>
      <c r="G28" s="23">
        <f>Inputs!F145</f>
        <v>144</v>
      </c>
      <c r="H28" s="23">
        <f>Inputs!G145-Inputs!F145</f>
        <v>288</v>
      </c>
      <c r="I28" s="119" t="s">
        <v>581</v>
      </c>
      <c r="J28" s="2" t="s">
        <v>582</v>
      </c>
      <c r="K28" s="2"/>
      <c r="L28" s="2"/>
      <c r="M28" s="2"/>
      <c r="N28" s="2"/>
      <c r="O28" s="2"/>
    </row>
    <row r="29">
      <c r="A29" s="36" t="s">
        <v>583</v>
      </c>
      <c r="B29" s="23">
        <f>Inputs!B146</f>
        <v>-221</v>
      </c>
      <c r="C29" s="23">
        <f>Inputs!C146-Inputs!B146</f>
        <v>-475</v>
      </c>
      <c r="D29" s="23">
        <f>Inputs!D146-Inputs!C146</f>
        <v>-479</v>
      </c>
      <c r="E29" s="23">
        <f>Inputs!E146-Inputs!D146</f>
        <v>-357</v>
      </c>
      <c r="F29" s="3">
        <f>SUM(B29:E29)</f>
        <v>-1532</v>
      </c>
      <c r="G29" s="23">
        <f>Inputs!F146</f>
        <v>-283</v>
      </c>
      <c r="H29" s="23">
        <f>Inputs!G146-Inputs!F146</f>
        <v>-573</v>
      </c>
      <c r="I29" s="119" t="s">
        <v>581</v>
      </c>
      <c r="J29" s="6" t="s">
        <v>584</v>
      </c>
      <c r="K29" s="2"/>
      <c r="L29" s="2"/>
      <c r="M29" s="2"/>
      <c r="N29" s="2"/>
      <c r="O29" s="2"/>
    </row>
    <row r="30">
      <c r="A30" s="36" t="s">
        <v>585</v>
      </c>
      <c r="B30" s="23">
        <f>Inputs!B147</f>
        <v>-813</v>
      </c>
      <c r="C30" s="23">
        <f>Inputs!C147-Inputs!B147</f>
        <v>1735</v>
      </c>
      <c r="D30" s="23">
        <f>Inputs!D147-Inputs!C147</f>
        <v>119</v>
      </c>
      <c r="E30" s="23">
        <f>Inputs!E147-Inputs!D147</f>
        <v>-7029</v>
      </c>
      <c r="F30" s="3">
        <f>SUM(B30:E30)</f>
        <v>-5988</v>
      </c>
      <c r="G30" s="23">
        <f>Inputs!F147</f>
        <v>5398</v>
      </c>
      <c r="H30" s="23">
        <f>Inputs!G147-Inputs!F147</f>
        <v>1275</v>
      </c>
      <c r="I30" s="119" t="s">
        <v>586</v>
      </c>
      <c r="J30" s="2" t="s">
        <v>587</v>
      </c>
      <c r="K30" s="2"/>
      <c r="L30" s="2"/>
      <c r="M30" s="2"/>
      <c r="N30" s="2"/>
      <c r="O30" s="2"/>
    </row>
    <row r="31">
      <c r="A31" s="36" t="s">
        <v>588</v>
      </c>
      <c r="B31" s="23">
        <f>Inputs!B148</f>
        <v>0</v>
      </c>
      <c r="C31" s="23">
        <f>Inputs!C148-Inputs!B148</f>
        <v>-35</v>
      </c>
      <c r="D31" s="23">
        <f>Inputs!D148-Inputs!C148</f>
        <v>0</v>
      </c>
      <c r="E31" s="23">
        <f>Inputs!E148-Inputs!D148</f>
        <v>-1</v>
      </c>
      <c r="F31" s="3">
        <f>SUM(B31:E31)</f>
        <v>-36</v>
      </c>
      <c r="G31" s="23">
        <f>Inputs!F148</f>
        <v>0</v>
      </c>
      <c r="H31" s="23">
        <f>Inputs!G148-Inputs!F148</f>
        <v>-246</v>
      </c>
      <c r="I31" s="32">
        <v>0</v>
      </c>
      <c r="J31" s="2" t="s">
        <v>589</v>
      </c>
      <c r="K31" s="2"/>
      <c r="L31" s="2"/>
      <c r="M31" s="2"/>
      <c r="N31" s="2"/>
      <c r="O31" s="2"/>
    </row>
    <row r="32">
      <c r="A32" s="36" t="s">
        <v>565</v>
      </c>
      <c r="B32" s="23">
        <f>Inputs!B149</f>
        <v>-634</v>
      </c>
      <c r="C32" s="23">
        <f>Inputs!C149-Inputs!B149</f>
        <v>-764</v>
      </c>
      <c r="D32" s="23">
        <f>Inputs!D149-Inputs!C149</f>
        <v>-556</v>
      </c>
      <c r="E32" s="23">
        <f>Inputs!E149-Inputs!D149</f>
        <v>-1007</v>
      </c>
      <c r="F32" s="3">
        <f>SUM(B32:E32)</f>
        <v>-2961</v>
      </c>
      <c r="G32" s="23">
        <f>Inputs!F149</f>
        <v>-959</v>
      </c>
      <c r="H32" s="23">
        <f>Inputs!G149-Inputs!F149</f>
        <v>-1170</v>
      </c>
      <c r="I32" s="49">
        <f>-(('Balance Sheet'!I65-'Balance Sheet'!H65)+I12)-(('Balance Sheet'!I69-'Balance Sheet'!H69)+('Balance Sheet'!I73-'Balance Sheet'!H73)+I13)</f>
        <v>-118.0820000000001</v>
      </c>
      <c r="J32" s="2"/>
      <c r="K32" s="2"/>
      <c r="L32" s="2"/>
      <c r="M32" s="2"/>
      <c r="N32" s="2"/>
      <c r="O32" s="2"/>
    </row>
    <row r="33">
      <c r="A33" s="16" t="s">
        <v>590</v>
      </c>
      <c r="B33" s="15">
        <f>SUM(B22:B32)</f>
        <v>-2548</v>
      </c>
      <c r="C33" s="15">
        <f>SUM(C22:C32)</f>
        <v>-1370</v>
      </c>
      <c r="D33" s="15">
        <f>SUM(D22:D32)</f>
        <v>230</v>
      </c>
      <c r="E33" s="15">
        <f>SUM(E22:E32)</f>
        <v>-16850</v>
      </c>
      <c r="F33" s="15">
        <f>SUM(F22:F32)</f>
        <v>-20538</v>
      </c>
      <c r="G33" s="15">
        <f>SUM(G22:G32)</f>
        <v>-5351</v>
      </c>
      <c r="H33" s="15">
        <f>SUM(H22:H32)</f>
        <v>-6377</v>
      </c>
      <c r="I33" s="38">
        <f>SUM(I22:I32)</f>
        <v>-4872.575444252067</v>
      </c>
      <c r="J33" s="2"/>
      <c r="K33" s="2"/>
      <c r="L33" s="2"/>
      <c r="M33" s="2"/>
      <c r="N33" s="2"/>
      <c r="O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>
      <c r="A35" s="16" t="s">
        <v>591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>
      <c r="A36" s="36" t="s">
        <v>592</v>
      </c>
      <c r="B36" s="23">
        <f>Inputs!B150</f>
        <v>-5998</v>
      </c>
      <c r="C36" s="23">
        <f>Inputs!C150-Inputs!B150</f>
        <v>5799</v>
      </c>
      <c r="D36" s="23">
        <f>Inputs!D150-Inputs!C150</f>
        <v>8033</v>
      </c>
      <c r="E36" s="23">
        <f>Inputs!E150-Inputs!D150</f>
        <v>-4504</v>
      </c>
      <c r="F36" s="3">
        <f>SUM(B36:E36)</f>
        <v>3330</v>
      </c>
      <c r="G36" s="23">
        <f>Inputs!F150</f>
        <v>6070</v>
      </c>
      <c r="H36" s="23">
        <f>Inputs!G150-Inputs!F150</f>
        <v>3943</v>
      </c>
      <c r="I36" s="49">
        <f>'Balance Sheet'!I92-'Balance Sheet'!H92</f>
        <v>10675.959999999963</v>
      </c>
      <c r="J36" s="2"/>
      <c r="K36" s="2"/>
      <c r="L36" s="2"/>
      <c r="M36" s="2"/>
      <c r="N36" s="2"/>
      <c r="O36" s="2"/>
    </row>
    <row r="37">
      <c r="A37" s="36" t="s">
        <v>593</v>
      </c>
      <c r="B37" s="23">
        <f>Inputs!B151</f>
        <v>1640</v>
      </c>
      <c r="C37" s="23">
        <f>Inputs!C151-Inputs!B151</f>
        <v>-2119</v>
      </c>
      <c r="D37" s="23">
        <f>Inputs!D151-Inputs!C151</f>
        <v>410</v>
      </c>
      <c r="E37" s="23">
        <f>Inputs!E151-Inputs!D151</f>
        <v>1713</v>
      </c>
      <c r="F37" s="3">
        <f>SUM(B37:E37)</f>
        <v>1644</v>
      </c>
      <c r="G37" s="23">
        <f>Inputs!F151</f>
        <v>697</v>
      </c>
      <c r="H37" s="23">
        <f>Inputs!G151-Inputs!F151</f>
        <v>19251</v>
      </c>
      <c r="I37" s="49">
        <f>'Balance Sheet'!I100-'Balance Sheet'!H100</f>
        <v>-5600.549999999999</v>
      </c>
      <c r="J37" s="2"/>
      <c r="K37" s="2"/>
      <c r="L37" s="2"/>
      <c r="M37" s="2"/>
      <c r="N37" s="2"/>
      <c r="O37" s="2"/>
    </row>
    <row r="38">
      <c r="A38" s="36" t="s">
        <v>594</v>
      </c>
      <c r="B38" s="23">
        <f>Inputs!B152</f>
        <v>3590</v>
      </c>
      <c r="C38" s="23">
        <f>Inputs!C152-Inputs!B152</f>
        <v>5737</v>
      </c>
      <c r="D38" s="23">
        <f>Inputs!D152-Inputs!C152</f>
        <v>964</v>
      </c>
      <c r="E38" s="23">
        <f>Inputs!E152-Inputs!D152</f>
        <v>69</v>
      </c>
      <c r="F38" s="3">
        <f>SUM(B38:E38)</f>
        <v>10360</v>
      </c>
      <c r="G38" s="23">
        <f>Inputs!F152</f>
        <v>3289</v>
      </c>
      <c r="H38" s="23">
        <f>Inputs!G152-Inputs!F152</f>
        <v>4097</v>
      </c>
      <c r="I38" s="32">
        <v>3000</v>
      </c>
      <c r="J38" s="6" t="s">
        <v>595</v>
      </c>
      <c r="K38" s="2"/>
      <c r="L38" s="2"/>
      <c r="M38" s="2"/>
      <c r="N38" s="2"/>
      <c r="O38" s="2"/>
    </row>
    <row r="39">
      <c r="A39" s="36" t="s">
        <v>596</v>
      </c>
      <c r="B39" s="23">
        <f>Inputs!B153</f>
        <v>-2101</v>
      </c>
      <c r="C39" s="23">
        <f>Inputs!C153-Inputs!B153</f>
        <v>-1649</v>
      </c>
      <c r="D39" s="23">
        <f>Inputs!D153-Inputs!C153</f>
        <v>-2622</v>
      </c>
      <c r="E39" s="23">
        <f>Inputs!E153-Inputs!D153</f>
        <v>-2680</v>
      </c>
      <c r="F39" s="3">
        <f>SUM(B39:E39)</f>
        <v>-9052</v>
      </c>
      <c r="G39" s="23">
        <f>Inputs!F153</f>
        <v>-3225</v>
      </c>
      <c r="H39" s="23">
        <f>Inputs!G153-Inputs!F153</f>
        <v>-6483</v>
      </c>
      <c r="I39" s="49">
        <f>('Balance Sheet'!I104-'Balance Sheet'!H104)-I38</f>
        <v>-3000</v>
      </c>
      <c r="J39" s="2"/>
      <c r="K39" s="2"/>
      <c r="L39" s="2"/>
      <c r="M39" s="2"/>
      <c r="N39" s="2"/>
      <c r="O39" s="2"/>
    </row>
    <row r="40">
      <c r="A40" s="36" t="s">
        <v>597</v>
      </c>
      <c r="B40" s="23">
        <f>Inputs!B154</f>
        <v>16</v>
      </c>
      <c r="C40" s="23">
        <f>Inputs!C154-Inputs!B154</f>
        <v>6</v>
      </c>
      <c r="D40" s="23">
        <f>Inputs!D154-Inputs!C154</f>
        <v>10</v>
      </c>
      <c r="E40" s="23">
        <f>Inputs!E154-Inputs!D154</f>
        <v>13</v>
      </c>
      <c r="F40" s="3">
        <f>SUM(B40:E40)</f>
        <v>45</v>
      </c>
      <c r="G40" s="23">
        <f>Inputs!F154</f>
        <v>16</v>
      </c>
      <c r="H40" s="23">
        <f>Inputs!G154-Inputs!F154</f>
        <v>3</v>
      </c>
      <c r="I40" s="49">
        <f>('Balance Sheet'!I119-'Balance Sheet'!H119)+('Balance Sheet'!I130-'Balance Sheet'!H130)+'Share Count'!I37</f>
        <v>0</v>
      </c>
      <c r="J40" s="2"/>
      <c r="K40" s="2"/>
      <c r="L40" s="2"/>
      <c r="M40" s="2"/>
      <c r="N40" s="2"/>
      <c r="O40" s="2"/>
    </row>
    <row r="41">
      <c r="A41" s="36" t="s">
        <v>598</v>
      </c>
      <c r="B41" s="23">
        <f>Inputs!B155</f>
        <v>-160</v>
      </c>
      <c r="C41" s="23">
        <f>Inputs!C155-Inputs!B155</f>
        <v>-106</v>
      </c>
      <c r="D41" s="23">
        <f>Inputs!D155-Inputs!C155</f>
        <v>-101</v>
      </c>
      <c r="E41" s="23">
        <f>Inputs!E155-Inputs!D155</f>
        <v>-122</v>
      </c>
      <c r="F41" s="3">
        <f>SUM(B41:E41)</f>
        <v>-489</v>
      </c>
      <c r="G41" s="23">
        <f>Inputs!F155</f>
        <v>-276</v>
      </c>
      <c r="H41" s="23">
        <f>Inputs!G155-Inputs!F155</f>
        <v>-201</v>
      </c>
      <c r="I41" s="49">
        <f>-'Share Count'!I37</f>
        <v>0</v>
      </c>
      <c r="J41" s="2"/>
      <c r="K41" s="2"/>
      <c r="L41" s="2"/>
      <c r="M41" s="2"/>
      <c r="N41" s="2"/>
      <c r="O41" s="2"/>
    </row>
    <row r="42">
      <c r="A42" s="36" t="s">
        <v>599</v>
      </c>
      <c r="B42" s="23">
        <f>Inputs!B156</f>
        <v>-72</v>
      </c>
      <c r="C42" s="23">
        <f>Inputs!C156-Inputs!B156</f>
        <v>-96</v>
      </c>
      <c r="D42" s="23">
        <f>Inputs!D156-Inputs!C156</f>
        <v>-69</v>
      </c>
      <c r="E42" s="23">
        <f>Inputs!E156-Inputs!D156</f>
        <v>-97</v>
      </c>
      <c r="F42" s="3">
        <f>SUM(B42:E42)</f>
        <v>-334</v>
      </c>
      <c r="G42" s="23">
        <f>Inputs!F156</f>
        <v>-68</v>
      </c>
      <c r="H42" s="23">
        <f>Inputs!G156-Inputs!F156</f>
        <v>-92</v>
      </c>
      <c r="I42" s="49">
        <f>-'Income Statement'!I200</f>
        <v>-104</v>
      </c>
      <c r="J42" s="6" t="s">
        <v>600</v>
      </c>
      <c r="K42" s="2"/>
      <c r="L42" s="2"/>
      <c r="M42" s="2"/>
      <c r="N42" s="2"/>
      <c r="O42" s="2"/>
    </row>
    <row r="43">
      <c r="A43" s="36" t="s">
        <v>601</v>
      </c>
      <c r="B43" s="23">
        <f>Inputs!B157</f>
        <v>-787</v>
      </c>
      <c r="C43" s="23">
        <f>Inputs!C157-Inputs!B157</f>
        <v>-784</v>
      </c>
      <c r="D43" s="23">
        <f>Inputs!D157-Inputs!C157</f>
        <v>-784</v>
      </c>
      <c r="E43" s="23">
        <f>Inputs!E157-Inputs!D157</f>
        <v>-813</v>
      </c>
      <c r="F43" s="3">
        <f>SUM(B43:E43)</f>
        <v>-3168</v>
      </c>
      <c r="G43" s="23">
        <f>Inputs!F157</f>
        <v>-816</v>
      </c>
      <c r="H43" s="23">
        <f>Inputs!G157-Inputs!F157</f>
        <v>-812</v>
      </c>
      <c r="I43" s="49">
        <f>-'Share Count'!H44</f>
        <v>-810.1600000000001</v>
      </c>
      <c r="J43" s="6" t="s">
        <v>602</v>
      </c>
      <c r="K43" s="2"/>
      <c r="L43" s="2"/>
      <c r="M43" s="2"/>
      <c r="N43" s="2"/>
      <c r="O43" s="2"/>
    </row>
    <row r="44">
      <c r="A44" s="36" t="s">
        <v>565</v>
      </c>
      <c r="B44" s="23">
        <f>Inputs!B158</f>
        <v>-24</v>
      </c>
      <c r="C44" s="23">
        <f>Inputs!C158-Inputs!B158</f>
        <v>-23</v>
      </c>
      <c r="D44" s="23">
        <f>Inputs!D158-Inputs!C158</f>
        <v>-21</v>
      </c>
      <c r="E44" s="23">
        <f>Inputs!E158-Inputs!D158</f>
        <v>-18</v>
      </c>
      <c r="F44" s="3">
        <f>SUM(B44:E44)</f>
        <v>-86</v>
      </c>
      <c r="G44" s="23">
        <f>Inputs!F158</f>
        <v>-14</v>
      </c>
      <c r="H44" s="23">
        <f>Inputs!G158-Inputs!F158</f>
        <v>-11</v>
      </c>
      <c r="I44" s="49">
        <f>('Balance Sheet'!I143-'Balance Sheet'!H143)+'Income Statement'!I192+('Balance Sheet'!I115-'Balance Sheet'!H115)</f>
        <v>-6</v>
      </c>
      <c r="J44" s="2"/>
      <c r="K44" s="2"/>
      <c r="L44" s="2"/>
      <c r="M44" s="2"/>
      <c r="N44" s="2"/>
      <c r="O44" s="2"/>
    </row>
    <row r="45">
      <c r="A45" s="16" t="s">
        <v>603</v>
      </c>
      <c r="B45" s="15">
        <f>B36+B37+B38+B39+B40+B41+B42+B43+B44</f>
        <v>-3896</v>
      </c>
      <c r="C45" s="15">
        <f>C36+C37+C38+C39+C40+C41+C42+C43+C44</f>
        <v>6765</v>
      </c>
      <c r="D45" s="15">
        <f>D36+D37+D38+D39+D40+D41+D42+D43+D44</f>
        <v>5820</v>
      </c>
      <c r="E45" s="15">
        <f>E36+E37+E38+E39+E40+E41+E42+E43+E44</f>
        <v>-6439</v>
      </c>
      <c r="F45" s="15">
        <f>F36+F37+F38+F39+F40+F41+F42+F43+F44</f>
        <v>2250</v>
      </c>
      <c r="G45" s="15">
        <f>G36+G37+G38+G39+G40+G41+G42+G43+G44</f>
        <v>5673</v>
      </c>
      <c r="H45" s="15">
        <f>H36+H37+H38+H39+H40+H41+H42+H43+H44</f>
        <v>19695</v>
      </c>
      <c r="I45" s="38">
        <f>I36+I37+I38+I39+I40+I41+I42+I43+I44</f>
        <v>4155.249999999964</v>
      </c>
      <c r="J45" s="2"/>
      <c r="K45" s="2"/>
      <c r="L45" s="2"/>
      <c r="M45" s="2"/>
      <c r="N45" s="2"/>
      <c r="O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>
      <c r="A47" s="36" t="s">
        <v>604</v>
      </c>
      <c r="B47" s="23">
        <f>Inputs!B159</f>
        <v>263</v>
      </c>
      <c r="C47" s="23">
        <f>Inputs!C159-Inputs!B159</f>
        <v>486</v>
      </c>
      <c r="D47" s="120">
        <f>N(Inputs!D159)-Inputs!C159</f>
        <v>-749</v>
      </c>
      <c r="E47" s="120">
        <f>Inputs!E159-N(Inputs!D159)</f>
        <v>706</v>
      </c>
      <c r="F47" s="3">
        <f>SUM(B47:E47)</f>
        <v>706</v>
      </c>
      <c r="G47" s="23">
        <f>Inputs!F159</f>
        <v>-132</v>
      </c>
      <c r="H47" s="23">
        <f>Inputs!G159-Inputs!F159</f>
        <v>-67</v>
      </c>
      <c r="I47" s="32">
        <v>0</v>
      </c>
      <c r="J47" s="6" t="s">
        <v>605</v>
      </c>
      <c r="K47" s="2"/>
      <c r="L47" s="2"/>
      <c r="M47" s="2"/>
      <c r="N47" s="2"/>
      <c r="O47" s="2"/>
    </row>
    <row r="48">
      <c r="A48" s="16" t="s">
        <v>606</v>
      </c>
      <c r="B48" s="15">
        <f>B19+B33+B45+B47</f>
        <v>-6489</v>
      </c>
      <c r="C48" s="15">
        <f>C19+C33+C45+C47</f>
        <v>7794</v>
      </c>
      <c r="D48" s="15">
        <f>D19+D33+D45+D47</f>
        <v>8830</v>
      </c>
      <c r="E48" s="15">
        <f>E19+E33+E45+E47</f>
        <v>-19747</v>
      </c>
      <c r="F48" s="15">
        <f>F19+F33+F45+F47</f>
        <v>-9612</v>
      </c>
      <c r="G48" s="15">
        <f>G19+G33+G45+G47</f>
        <v>1530</v>
      </c>
      <c r="H48" s="15">
        <f>H19+H33+H45+H47</f>
        <v>18071</v>
      </c>
      <c r="I48" s="38">
        <f>I19+I33+I45+I47</f>
        <v>2478.925374095197</v>
      </c>
      <c r="J48" s="2"/>
      <c r="K48" s="2"/>
      <c r="L48" s="2"/>
      <c r="M48" s="2"/>
      <c r="N48" s="2"/>
      <c r="O48" s="2"/>
    </row>
    <row r="49">
      <c r="A49" s="36" t="s">
        <v>607</v>
      </c>
      <c r="B49" s="23">
        <f>Inputs!B160</f>
        <v>56502</v>
      </c>
      <c r="C49" s="23">
        <f>'Balance Sheet'!B10</f>
        <v>50013</v>
      </c>
      <c r="D49" s="23">
        <f>'Balance Sheet'!C10</f>
        <v>57807</v>
      </c>
      <c r="E49" s="23">
        <f>'Balance Sheet'!D10</f>
        <v>66637</v>
      </c>
      <c r="F49" s="23">
        <f>Inputs!E160</f>
        <v>56502</v>
      </c>
      <c r="G49" s="23">
        <f>'Balance Sheet'!E10</f>
        <v>46890</v>
      </c>
      <c r="H49" s="23">
        <f>'Balance Sheet'!G10</f>
        <v>48420</v>
      </c>
      <c r="I49" s="49">
        <f>'Balance Sheet'!H10</f>
        <v>66491</v>
      </c>
      <c r="J49" s="2"/>
      <c r="K49" s="2"/>
      <c r="L49" s="2"/>
      <c r="M49" s="2"/>
      <c r="N49" s="2"/>
      <c r="O49" s="2"/>
    </row>
    <row r="50">
      <c r="A50" s="16" t="s">
        <v>608</v>
      </c>
      <c r="B50" s="15">
        <f>B49+B48</f>
        <v>50013</v>
      </c>
      <c r="C50" s="15">
        <f>C49+C48</f>
        <v>57807</v>
      </c>
      <c r="D50" s="15">
        <f>D49+D48</f>
        <v>66637</v>
      </c>
      <c r="E50" s="15">
        <f>E49+E48</f>
        <v>46890</v>
      </c>
      <c r="F50" s="15">
        <f>F49+F48</f>
        <v>46890</v>
      </c>
      <c r="G50" s="15">
        <f>G49+G48</f>
        <v>48420</v>
      </c>
      <c r="H50" s="15">
        <f>H49+H48</f>
        <v>66491</v>
      </c>
      <c r="I50" s="38">
        <f>I49+I48</f>
        <v>68969.9253740952</v>
      </c>
      <c r="J50" s="2"/>
      <c r="K50" s="2"/>
      <c r="L50" s="2"/>
      <c r="M50" s="2"/>
      <c r="N50" s="2"/>
      <c r="O50" s="2"/>
    </row>
    <row r="51">
      <c r="A51" s="19" t="s">
        <v>609</v>
      </c>
      <c r="B51" s="57">
        <f>'Balance Sheet'!B10</f>
        <v>50013</v>
      </c>
      <c r="C51" s="57">
        <f>'Balance Sheet'!C10</f>
        <v>57807</v>
      </c>
      <c r="D51" s="57">
        <f>'Balance Sheet'!D10</f>
        <v>66637</v>
      </c>
      <c r="E51" s="57">
        <f>'Balance Sheet'!E10</f>
        <v>46890</v>
      </c>
      <c r="F51" s="57">
        <f>'Balance Sheet'!F10</f>
        <v>46890</v>
      </c>
      <c r="G51" s="57">
        <f>'Balance Sheet'!G10</f>
        <v>48420</v>
      </c>
      <c r="H51" s="57">
        <f>'Balance Sheet'!H10</f>
        <v>66491</v>
      </c>
      <c r="I51" s="59">
        <f>'Balance Sheet'!I10</f>
        <v>68969.9253740951</v>
      </c>
      <c r="J51" s="2"/>
      <c r="K51" s="2"/>
      <c r="L51" s="2"/>
      <c r="M51" s="2"/>
      <c r="N51" s="2"/>
      <c r="O51" s="2"/>
    </row>
    <row r="52">
      <c r="A52" s="66" t="s">
        <v>610</v>
      </c>
      <c r="B52" s="56">
        <f>B50-B51</f>
        <v>0</v>
      </c>
      <c r="C52" s="56">
        <f>C50-C51</f>
        <v>0</v>
      </c>
      <c r="D52" s="56">
        <f>D50-D51</f>
        <v>0</v>
      </c>
      <c r="E52" s="56">
        <f>E50-E51</f>
        <v>0</v>
      </c>
      <c r="F52" s="56">
        <f>F50-F51</f>
        <v>0</v>
      </c>
      <c r="G52" s="56">
        <f>G50-G51</f>
        <v>0</v>
      </c>
      <c r="H52" s="56">
        <f>H50-H51</f>
        <v>0</v>
      </c>
      <c r="I52" s="76">
        <f>I50-I51</f>
        <v>0</v>
      </c>
      <c r="J52" s="2"/>
      <c r="K52" s="2"/>
      <c r="L52" s="2"/>
      <c r="M52" s="2"/>
      <c r="N52" s="2"/>
      <c r="O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>
      <c r="A54" s="16" t="s">
        <v>611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>
      <c r="A55" s="36" t="s">
        <v>612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>
      <c r="A56" s="36" t="s">
        <v>613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>
      <c r="A57" s="36" t="s">
        <v>614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O49"/>
  <sheetViews>
    <sheetView showGridLines="0" workbookViewId="0"/>
  </sheetViews>
  <sheetFormatPr defaultColWidth="8.42578125" defaultRowHeight="15"/>
  <cols>
    <col min="1" max="1" width="38" customWidth="1"/>
    <col min="2" max="9" width="12" customWidth="1"/>
    <col min="10" max="10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615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30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30" t="s">
        <v>90</v>
      </c>
      <c r="K5" s="2"/>
      <c r="L5" s="2"/>
      <c r="M5" s="2"/>
      <c r="N5" s="2"/>
      <c r="O5" s="2"/>
    </row>
    <row r="6">
      <c r="A6" s="4" t="s">
        <v>91</v>
      </c>
      <c r="B6" s="17">
        <f>DATE(2025,3,31)</f>
        <v>45747</v>
      </c>
      <c r="C6" s="17">
        <f>DATE(2025,6,30)</f>
        <v>45838</v>
      </c>
      <c r="D6" s="17">
        <f>DATE(2025,9,30)</f>
        <v>45930</v>
      </c>
      <c r="E6" s="17">
        <f>DATE(2025,12,31)</f>
        <v>46022</v>
      </c>
      <c r="F6" s="17">
        <f>DATE(2025,12,31)</f>
        <v>46022</v>
      </c>
      <c r="G6" s="17">
        <f>DATE(2026,3,31)</f>
        <v>46112</v>
      </c>
      <c r="H6" s="17">
        <f>DATE(2026,6,30)</f>
        <v>46203</v>
      </c>
      <c r="I6" s="17">
        <f>DATE(2026,9,30)</f>
        <v>46295</v>
      </c>
      <c r="J6" s="4"/>
      <c r="K6" s="2"/>
      <c r="L6" s="2"/>
      <c r="M6" s="2"/>
      <c r="N6" s="2"/>
      <c r="O6" s="2"/>
    </row>
    <row r="7">
      <c r="A7" s="39" t="s">
        <v>92</v>
      </c>
      <c r="B7" s="27">
        <v>90</v>
      </c>
      <c r="C7" s="27">
        <v>91</v>
      </c>
      <c r="D7" s="27">
        <v>92</v>
      </c>
      <c r="E7" s="27">
        <v>92</v>
      </c>
      <c r="F7" s="27">
        <v>365</v>
      </c>
      <c r="G7" s="27">
        <v>90</v>
      </c>
      <c r="H7" s="27">
        <v>91</v>
      </c>
      <c r="I7" s="27">
        <v>92</v>
      </c>
      <c r="J7" s="39"/>
      <c r="K7" s="2"/>
      <c r="L7" s="2"/>
      <c r="M7" s="2"/>
      <c r="N7" s="2"/>
      <c r="O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16" t="s">
        <v>616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6" t="s">
        <v>617</v>
      </c>
      <c r="B10" s="8">
        <v>1560</v>
      </c>
      <c r="C10" s="8">
        <v>1560</v>
      </c>
      <c r="D10" s="8">
        <v>1558</v>
      </c>
      <c r="E10" s="8">
        <v>1556</v>
      </c>
      <c r="F10" s="3">
        <f>B10</f>
        <v>1560</v>
      </c>
      <c r="G10" s="8">
        <v>1555</v>
      </c>
      <c r="H10" s="8">
        <v>1555</v>
      </c>
      <c r="I10" s="46">
        <f>H18</f>
        <v>1558</v>
      </c>
      <c r="J10" s="2"/>
      <c r="K10" s="2"/>
      <c r="L10" s="2"/>
      <c r="M10" s="2"/>
      <c r="N10" s="2"/>
      <c r="O10" s="2"/>
    </row>
    <row r="11">
      <c r="A11" s="36" t="s">
        <v>618</v>
      </c>
      <c r="B11" s="8">
        <v>4</v>
      </c>
      <c r="C11" s="8">
        <v>0</v>
      </c>
      <c r="D11" s="8">
        <v>0</v>
      </c>
      <c r="E11" s="8">
        <v>2</v>
      </c>
      <c r="F11" s="3">
        <f>SUM(B11:E11)</f>
        <v>6</v>
      </c>
      <c r="G11" s="8">
        <v>5</v>
      </c>
      <c r="H11" s="8">
        <v>6</v>
      </c>
      <c r="I11" s="32">
        <v>1</v>
      </c>
      <c r="J11" s="6" t="s">
        <v>619</v>
      </c>
      <c r="K11" s="2"/>
      <c r="L11" s="2"/>
      <c r="M11" s="2"/>
      <c r="N11" s="2"/>
      <c r="O11" s="2"/>
    </row>
    <row r="12">
      <c r="A12" s="14" t="s">
        <v>216</v>
      </c>
      <c r="B12" s="1" t="s">
        <v>37</v>
      </c>
      <c r="C12" s="1" t="s">
        <v>37</v>
      </c>
      <c r="D12" s="1" t="s">
        <v>37</v>
      </c>
      <c r="E12" s="1" t="s">
        <v>37</v>
      </c>
      <c r="F12" s="1" t="s">
        <v>37</v>
      </c>
      <c r="G12" s="1">
        <f>IF(AND(ISNUMBER(G11),ISNUMBER(B11)),G11-B11,"n/a")</f>
        <v>1</v>
      </c>
      <c r="H12" s="1">
        <f>IF(AND(ISNUMBER(H11),ISNUMBER(C11)),H11-C11,"n/a")</f>
        <v>6</v>
      </c>
      <c r="I12" s="13">
        <f>IF(AND(ISNUMBER(I11),ISNUMBER(D11)),I11-D11,"n/a")</f>
        <v>1</v>
      </c>
      <c r="J12" s="2"/>
      <c r="K12" s="2"/>
      <c r="L12" s="2"/>
      <c r="M12" s="2"/>
      <c r="N12" s="2"/>
      <c r="O12" s="2"/>
    </row>
    <row r="13">
      <c r="A13" s="14" t="s">
        <v>620</v>
      </c>
      <c r="B13" s="1" t="s">
        <v>37</v>
      </c>
      <c r="C13" s="1">
        <f>IF(AND(ISNUMBER(C11),ISNUMBER(B11)),C11-B11,"n/a")</f>
        <v>-4</v>
      </c>
      <c r="D13" s="1">
        <f>IF(AND(ISNUMBER(D11),ISNUMBER(C11)),D11-C11,"n/a")</f>
        <v>0</v>
      </c>
      <c r="E13" s="1">
        <f>IF(AND(ISNUMBER(E11),ISNUMBER(D11)),E11-D11,"n/a")</f>
        <v>2</v>
      </c>
      <c r="F13" s="1" t="s">
        <v>37</v>
      </c>
      <c r="G13" s="1">
        <f>IF(AND(ISNUMBER(G11),ISNUMBER(E11)),G11-E11,"n/a")</f>
        <v>3</v>
      </c>
      <c r="H13" s="1">
        <f>IF(AND(ISNUMBER(H11),ISNUMBER(G11)),H11-G11,"n/a")</f>
        <v>1</v>
      </c>
      <c r="I13" s="13">
        <f>IF(AND(ISNUMBER(I11),ISNUMBER(H11)),I11-H11,"n/a")</f>
        <v>-5</v>
      </c>
      <c r="J13" s="2"/>
      <c r="K13" s="2"/>
      <c r="L13" s="2"/>
      <c r="M13" s="2"/>
      <c r="N13" s="2"/>
      <c r="O13" s="2"/>
    </row>
    <row r="14">
      <c r="A14" s="36" t="s">
        <v>621</v>
      </c>
      <c r="B14" s="8">
        <v>4</v>
      </c>
      <c r="C14" s="8">
        <v>2</v>
      </c>
      <c r="D14" s="8">
        <v>2</v>
      </c>
      <c r="E14" s="8">
        <v>3</v>
      </c>
      <c r="F14" s="3">
        <f>SUM(B14:E14)</f>
        <v>11</v>
      </c>
      <c r="G14" s="8">
        <v>5</v>
      </c>
      <c r="H14" s="8">
        <v>3</v>
      </c>
      <c r="I14" s="32">
        <v>0</v>
      </c>
      <c r="J14" s="6" t="s">
        <v>622</v>
      </c>
      <c r="K14" s="2"/>
      <c r="L14" s="2"/>
      <c r="M14" s="2"/>
      <c r="N14" s="2"/>
      <c r="O14" s="2"/>
    </row>
    <row r="15">
      <c r="A15" s="14" t="s">
        <v>216</v>
      </c>
      <c r="B15" s="1" t="s">
        <v>37</v>
      </c>
      <c r="C15" s="1" t="s">
        <v>37</v>
      </c>
      <c r="D15" s="1" t="s">
        <v>37</v>
      </c>
      <c r="E15" s="1" t="s">
        <v>37</v>
      </c>
      <c r="F15" s="1" t="s">
        <v>37</v>
      </c>
      <c r="G15" s="1">
        <f>IF(AND(ISNUMBER(G14),ISNUMBER(B14)),G14-B14,"n/a")</f>
        <v>1</v>
      </c>
      <c r="H15" s="1">
        <f>IF(AND(ISNUMBER(H14),ISNUMBER(C14)),H14-C14,"n/a")</f>
        <v>1</v>
      </c>
      <c r="I15" s="13">
        <f>IF(AND(ISNUMBER(I14),ISNUMBER(D14)),I14-D14,"n/a")</f>
        <v>-2</v>
      </c>
      <c r="J15" s="2"/>
      <c r="K15" s="2"/>
      <c r="L15" s="2"/>
      <c r="M15" s="2"/>
      <c r="N15" s="2"/>
      <c r="O15" s="2"/>
    </row>
    <row r="16">
      <c r="A16" s="14" t="s">
        <v>620</v>
      </c>
      <c r="B16" s="1" t="s">
        <v>37</v>
      </c>
      <c r="C16" s="1">
        <f>IF(AND(ISNUMBER(C14),ISNUMBER(B14)),C14-B14,"n/a")</f>
        <v>-2</v>
      </c>
      <c r="D16" s="1">
        <f>IF(AND(ISNUMBER(D14),ISNUMBER(C14)),D14-C14,"n/a")</f>
        <v>0</v>
      </c>
      <c r="E16" s="1">
        <f>IF(AND(ISNUMBER(E14),ISNUMBER(D14)),E14-D14,"n/a")</f>
        <v>1</v>
      </c>
      <c r="F16" s="1" t="s">
        <v>37</v>
      </c>
      <c r="G16" s="1">
        <f>IF(AND(ISNUMBER(G14),ISNUMBER(E14)),G14-E14,"n/a")</f>
        <v>2</v>
      </c>
      <c r="H16" s="1">
        <f>IF(AND(ISNUMBER(H14),ISNUMBER(G14)),H14-G14,"n/a")</f>
        <v>-2</v>
      </c>
      <c r="I16" s="13">
        <f>IF(AND(ISNUMBER(I14),ISNUMBER(H14)),I14-H14,"n/a")</f>
        <v>-3</v>
      </c>
      <c r="J16" s="2"/>
      <c r="K16" s="2"/>
      <c r="L16" s="2"/>
      <c r="M16" s="2"/>
      <c r="N16" s="2"/>
      <c r="O16" s="2"/>
    </row>
    <row r="17">
      <c r="A17" s="16" t="s">
        <v>623</v>
      </c>
      <c r="B17" s="15">
        <f>B10+B11-B14</f>
        <v>1560</v>
      </c>
      <c r="C17" s="15">
        <f>C10+C11-C14</f>
        <v>1558</v>
      </c>
      <c r="D17" s="15">
        <f>D10+D11-D14</f>
        <v>1556</v>
      </c>
      <c r="E17" s="15">
        <f>E10+E11-E14</f>
        <v>1555</v>
      </c>
      <c r="F17" s="15">
        <f>F10+F11-F14</f>
        <v>1555</v>
      </c>
      <c r="G17" s="15">
        <f>G10+G11-G14</f>
        <v>1555</v>
      </c>
      <c r="H17" s="15">
        <f>H10+H11-H14</f>
        <v>1558</v>
      </c>
      <c r="I17" s="38">
        <f>I10+I11-I14</f>
        <v>1559</v>
      </c>
      <c r="J17" s="2"/>
      <c r="K17" s="2"/>
      <c r="L17" s="2"/>
      <c r="M17" s="2"/>
      <c r="N17" s="2"/>
      <c r="O17" s="2"/>
    </row>
    <row r="18">
      <c r="A18" s="19" t="s">
        <v>624</v>
      </c>
      <c r="B18" s="10">
        <v>1560</v>
      </c>
      <c r="C18" s="10">
        <v>1558</v>
      </c>
      <c r="D18" s="10">
        <v>1556</v>
      </c>
      <c r="E18" s="10">
        <v>1555</v>
      </c>
      <c r="F18" s="1">
        <f>E18</f>
        <v>1555</v>
      </c>
      <c r="G18" s="10">
        <v>1555</v>
      </c>
      <c r="H18" s="10">
        <v>1558</v>
      </c>
      <c r="I18" s="13" t="s">
        <v>37</v>
      </c>
      <c r="J18" s="2"/>
      <c r="K18" s="2"/>
      <c r="L18" s="2"/>
      <c r="M18" s="2"/>
      <c r="N18" s="2"/>
      <c r="O18" s="2"/>
    </row>
    <row r="19">
      <c r="A19" s="26" t="s">
        <v>625</v>
      </c>
      <c r="B19" s="1">
        <f>B17-B18</f>
        <v>0</v>
      </c>
      <c r="C19" s="1">
        <f>C17-C18</f>
        <v>0</v>
      </c>
      <c r="D19" s="1">
        <f>D17-D18</f>
        <v>0</v>
      </c>
      <c r="E19" s="1">
        <f>E17-E18</f>
        <v>0</v>
      </c>
      <c r="F19" s="1">
        <f>F17-F18</f>
        <v>0</v>
      </c>
      <c r="G19" s="1">
        <f>G17-G18</f>
        <v>0</v>
      </c>
      <c r="H19" s="1">
        <f>H17-H18</f>
        <v>0</v>
      </c>
      <c r="I19" s="2"/>
      <c r="J19" s="2"/>
      <c r="K19" s="2"/>
      <c r="L19" s="2"/>
      <c r="M19" s="2"/>
      <c r="N19" s="2"/>
      <c r="O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>
      <c r="A21" s="16" t="s">
        <v>626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>
      <c r="A22" s="16" t="s">
        <v>627</v>
      </c>
      <c r="B22" s="20">
        <v>1559</v>
      </c>
      <c r="C22" s="20">
        <v>1559</v>
      </c>
      <c r="D22" s="20">
        <v>1557</v>
      </c>
      <c r="E22" s="20">
        <v>1555</v>
      </c>
      <c r="F22" s="9">
        <f>SUMPRODUCT(B22:E22,B7:E7)/F7</f>
        <v>1557.4876712328767</v>
      </c>
      <c r="G22" s="20">
        <v>1554</v>
      </c>
      <c r="H22" s="20">
        <v>1554</v>
      </c>
      <c r="I22" s="31">
        <f>(I10+I17)/2-I25</f>
        <v>1558</v>
      </c>
      <c r="J22" s="6" t="s">
        <v>628</v>
      </c>
      <c r="K22" s="2"/>
      <c r="L22" s="2"/>
      <c r="M22" s="2"/>
      <c r="N22" s="2"/>
      <c r="O22" s="2"/>
    </row>
    <row r="23">
      <c r="A23" s="19" t="s">
        <v>216</v>
      </c>
      <c r="B23" s="1" t="s">
        <v>37</v>
      </c>
      <c r="C23" s="1" t="s">
        <v>37</v>
      </c>
      <c r="D23" s="1" t="s">
        <v>37</v>
      </c>
      <c r="E23" s="1" t="s">
        <v>37</v>
      </c>
      <c r="F23" s="1" t="s">
        <v>37</v>
      </c>
      <c r="G23" s="1">
        <f>IF(AND(ISNUMBER(G22),ISNUMBER(B22)),G22-B22,"n/a")</f>
        <v>-5</v>
      </c>
      <c r="H23" s="1">
        <f>IF(AND(ISNUMBER(H22),ISNUMBER(C22)),H22-C22,"n/a")</f>
        <v>-5</v>
      </c>
      <c r="I23" s="13">
        <f>IF(AND(ISNUMBER(I22),ISNUMBER(D22)),I22-D22,"n/a")</f>
        <v>1</v>
      </c>
      <c r="J23" s="2"/>
      <c r="K23" s="2"/>
      <c r="L23" s="2"/>
      <c r="M23" s="2"/>
      <c r="N23" s="2"/>
      <c r="O23" s="2"/>
    </row>
    <row r="24">
      <c r="A24" s="19" t="s">
        <v>620</v>
      </c>
      <c r="B24" s="1" t="s">
        <v>37</v>
      </c>
      <c r="C24" s="1">
        <f>IF(AND(ISNUMBER(C22),ISNUMBER(B22)),C22-B22,"n/a")</f>
        <v>0</v>
      </c>
      <c r="D24" s="1">
        <f>IF(AND(ISNUMBER(D22),ISNUMBER(C22)),D22-C22,"n/a")</f>
        <v>-2</v>
      </c>
      <c r="E24" s="1">
        <f>IF(AND(ISNUMBER(E22),ISNUMBER(D22)),E22-D22,"n/a")</f>
        <v>-2</v>
      </c>
      <c r="F24" s="1" t="s">
        <v>37</v>
      </c>
      <c r="G24" s="1">
        <f>IF(AND(ISNUMBER(G22),ISNUMBER(E22)),G22-E22,"n/a")</f>
        <v>-1</v>
      </c>
      <c r="H24" s="1">
        <f>IF(AND(ISNUMBER(H22),ISNUMBER(G22)),H22-G22,"n/a")</f>
        <v>0</v>
      </c>
      <c r="I24" s="13">
        <f>IF(AND(ISNUMBER(I22),ISNUMBER(H22)),I22-H22,"n/a")</f>
        <v>4</v>
      </c>
      <c r="J24" s="2"/>
      <c r="K24" s="2"/>
      <c r="L24" s="2"/>
      <c r="M24" s="2"/>
      <c r="N24" s="2"/>
      <c r="O24" s="2"/>
    </row>
    <row r="25">
      <c r="A25" s="36" t="s">
        <v>629</v>
      </c>
      <c r="B25" s="3">
        <f>(B10+B17)/2-B22</f>
        <v>1</v>
      </c>
      <c r="C25" s="3">
        <f>(C10+C17)/2-C22</f>
        <v>0</v>
      </c>
      <c r="D25" s="3">
        <f>(D10+D17)/2-D22</f>
        <v>0</v>
      </c>
      <c r="E25" s="3">
        <f>(E10+E17)/2-E22</f>
        <v>0.5</v>
      </c>
      <c r="F25" s="3" t="s">
        <v>37</v>
      </c>
      <c r="G25" s="3">
        <f>(G10+G17)/2-G22</f>
        <v>1</v>
      </c>
      <c r="H25" s="3">
        <f>(H10+H17)/2-H22</f>
        <v>2.5</v>
      </c>
      <c r="I25" s="32">
        <v>0.5</v>
      </c>
      <c r="J25" s="6" t="s">
        <v>138</v>
      </c>
      <c r="K25" s="2"/>
      <c r="L25" s="2"/>
      <c r="M25" s="2"/>
      <c r="N25" s="2"/>
      <c r="O25" s="2"/>
    </row>
    <row r="26">
      <c r="A26" s="14" t="s">
        <v>630</v>
      </c>
      <c r="B26" s="1" t="s">
        <v>37</v>
      </c>
      <c r="C26" s="1" t="s">
        <v>37</v>
      </c>
      <c r="D26" s="1" t="s">
        <v>37</v>
      </c>
      <c r="E26" s="1" t="s">
        <v>37</v>
      </c>
      <c r="F26" s="1" t="s">
        <v>37</v>
      </c>
      <c r="G26" s="1">
        <f>IF(AND(ISNUMBER(G25),ISNUMBER(B25)),G25-B25,"n/a")</f>
        <v>0</v>
      </c>
      <c r="H26" s="1">
        <f>IF(AND(ISNUMBER(H25),ISNUMBER(C25)),H25-C25,"n/a")</f>
        <v>2.5</v>
      </c>
      <c r="I26" s="13">
        <f>IF(AND(ISNUMBER(I25),ISNUMBER(D25)),I25-D25,"n/a")</f>
        <v>0.5</v>
      </c>
      <c r="J26" s="2"/>
      <c r="K26" s="2"/>
      <c r="L26" s="2"/>
      <c r="M26" s="2"/>
      <c r="N26" s="2"/>
      <c r="O26" s="2"/>
    </row>
    <row r="27">
      <c r="A27" s="14" t="s">
        <v>620</v>
      </c>
      <c r="B27" s="1" t="s">
        <v>37</v>
      </c>
      <c r="C27" s="1">
        <f>IF(AND(ISNUMBER(C25),ISNUMBER(B25)),C25-B25,"n/a")</f>
        <v>-1</v>
      </c>
      <c r="D27" s="1">
        <f>IF(AND(ISNUMBER(D25),ISNUMBER(C25)),D25-C25,"n/a")</f>
        <v>0</v>
      </c>
      <c r="E27" s="1">
        <f>IF(AND(ISNUMBER(E25),ISNUMBER(D25)),E25-D25,"n/a")</f>
        <v>0.5</v>
      </c>
      <c r="F27" s="1" t="s">
        <v>37</v>
      </c>
      <c r="G27" s="1">
        <f>IF(AND(ISNUMBER(G25),ISNUMBER(E25)),G25-E25,"n/a")</f>
        <v>0.5</v>
      </c>
      <c r="H27" s="1">
        <f>IF(AND(ISNUMBER(H25),ISNUMBER(G25)),H25-G25,"n/a")</f>
        <v>1.5</v>
      </c>
      <c r="I27" s="13">
        <f>IF(AND(ISNUMBER(I25),ISNUMBER(H25)),I25-H25,"n/a")</f>
        <v>-2</v>
      </c>
      <c r="J27" s="2"/>
      <c r="K27" s="2"/>
      <c r="L27" s="2"/>
      <c r="M27" s="2"/>
      <c r="N27" s="2"/>
      <c r="O27" s="2"/>
    </row>
    <row r="28">
      <c r="A28" s="36" t="s">
        <v>631</v>
      </c>
      <c r="B28" s="3">
        <f>B31-B22</f>
        <v>1</v>
      </c>
      <c r="C28" s="3">
        <f>C31-C22</f>
        <v>0</v>
      </c>
      <c r="D28" s="3">
        <f>D31-D22</f>
        <v>0</v>
      </c>
      <c r="E28" s="3">
        <f>E31-E22</f>
        <v>1</v>
      </c>
      <c r="F28" s="3">
        <f>F31-F22</f>
        <v>0.4986301369863213</v>
      </c>
      <c r="G28" s="3">
        <f>G31-G22</f>
        <v>1</v>
      </c>
      <c r="H28" s="3">
        <f>H31-H22</f>
        <v>1</v>
      </c>
      <c r="I28" s="32">
        <v>1</v>
      </c>
      <c r="J28" s="6" t="s">
        <v>138</v>
      </c>
      <c r="K28" s="2"/>
      <c r="L28" s="2"/>
      <c r="M28" s="2"/>
      <c r="N28" s="2"/>
      <c r="O28" s="2"/>
    </row>
    <row r="29">
      <c r="A29" s="14" t="s">
        <v>630</v>
      </c>
      <c r="B29" s="1" t="s">
        <v>37</v>
      </c>
      <c r="C29" s="1" t="s">
        <v>37</v>
      </c>
      <c r="D29" s="1" t="s">
        <v>37</v>
      </c>
      <c r="E29" s="1" t="s">
        <v>37</v>
      </c>
      <c r="F29" s="1" t="s">
        <v>37</v>
      </c>
      <c r="G29" s="1">
        <f>IF(AND(ISNUMBER(G28),ISNUMBER(B28)),G28-B28,"n/a")</f>
        <v>0</v>
      </c>
      <c r="H29" s="1">
        <f>IF(AND(ISNUMBER(H28),ISNUMBER(C28)),H28-C28,"n/a")</f>
        <v>1</v>
      </c>
      <c r="I29" s="13">
        <f>IF(AND(ISNUMBER(I28),ISNUMBER(D28)),I28-D28,"n/a")</f>
        <v>1</v>
      </c>
      <c r="J29" s="2"/>
      <c r="K29" s="2"/>
      <c r="L29" s="2"/>
      <c r="M29" s="2"/>
      <c r="N29" s="2"/>
      <c r="O29" s="2"/>
    </row>
    <row r="30">
      <c r="A30" s="14" t="s">
        <v>620</v>
      </c>
      <c r="B30" s="1" t="s">
        <v>37</v>
      </c>
      <c r="C30" s="1">
        <f>IF(AND(ISNUMBER(C28),ISNUMBER(B28)),C28-B28,"n/a")</f>
        <v>-1</v>
      </c>
      <c r="D30" s="1">
        <f>IF(AND(ISNUMBER(D28),ISNUMBER(C28)),D28-C28,"n/a")</f>
        <v>0</v>
      </c>
      <c r="E30" s="1">
        <f>IF(AND(ISNUMBER(E28),ISNUMBER(D28)),E28-D28,"n/a")</f>
        <v>1</v>
      </c>
      <c r="F30" s="1" t="s">
        <v>37</v>
      </c>
      <c r="G30" s="1">
        <f>IF(AND(ISNUMBER(G28),ISNUMBER(E28)),G28-E28,"n/a")</f>
        <v>0</v>
      </c>
      <c r="H30" s="1">
        <f>IF(AND(ISNUMBER(H28),ISNUMBER(G28)),H28-G28,"n/a")</f>
        <v>0</v>
      </c>
      <c r="I30" s="13">
        <f>IF(AND(ISNUMBER(I28),ISNUMBER(H28)),I28-H28,"n/a")</f>
        <v>0</v>
      </c>
      <c r="J30" s="2"/>
      <c r="K30" s="2"/>
      <c r="L30" s="2"/>
      <c r="M30" s="2"/>
      <c r="N30" s="2"/>
      <c r="O30" s="2"/>
    </row>
    <row r="31">
      <c r="A31" s="16" t="s">
        <v>632</v>
      </c>
      <c r="B31" s="25">
        <v>1560</v>
      </c>
      <c r="C31" s="25">
        <v>1559</v>
      </c>
      <c r="D31" s="25">
        <v>1557</v>
      </c>
      <c r="E31" s="25">
        <v>1556</v>
      </c>
      <c r="F31" s="15">
        <f>SUMPRODUCT(B31:E31,B7:E7)/F7</f>
        <v>1557.986301369863</v>
      </c>
      <c r="G31" s="25">
        <v>1555</v>
      </c>
      <c r="H31" s="25">
        <v>1555</v>
      </c>
      <c r="I31" s="38">
        <f>I22+I28</f>
        <v>1559</v>
      </c>
      <c r="J31" s="2" t="s">
        <v>633</v>
      </c>
      <c r="K31" s="2"/>
      <c r="L31" s="2"/>
      <c r="M31" s="2"/>
      <c r="N31" s="2"/>
      <c r="O31" s="2"/>
    </row>
    <row r="32">
      <c r="A32" s="19" t="s">
        <v>122</v>
      </c>
      <c r="B32" s="12" t="s">
        <v>37</v>
      </c>
      <c r="C32" s="12" t="s">
        <v>37</v>
      </c>
      <c r="D32" s="12" t="s">
        <v>37</v>
      </c>
      <c r="E32" s="12" t="s">
        <v>37</v>
      </c>
      <c r="F32" s="12" t="s">
        <v>37</v>
      </c>
      <c r="G32" s="12">
        <f>G31/B31-1</f>
        <v>-0.0032051282051281937</v>
      </c>
      <c r="H32" s="12">
        <f>H31/C31-1</f>
        <v>-0.0025657472738934706</v>
      </c>
      <c r="I32" s="35">
        <f>I31/D31-1</f>
        <v>0.0012845215157353262</v>
      </c>
      <c r="J32" s="2"/>
      <c r="K32" s="2"/>
      <c r="L32" s="2"/>
      <c r="M32" s="2"/>
      <c r="N32" s="2"/>
      <c r="O32" s="2"/>
    </row>
    <row r="33">
      <c r="A33" s="19" t="s">
        <v>620</v>
      </c>
      <c r="B33" s="1" t="s">
        <v>37</v>
      </c>
      <c r="C33" s="1">
        <f>IF(AND(ISNUMBER(C31),ISNUMBER(B31)),C31-B31,"n/a")</f>
        <v>-1</v>
      </c>
      <c r="D33" s="1">
        <f>IF(AND(ISNUMBER(D31),ISNUMBER(C31)),D31-C31,"n/a")</f>
        <v>-2</v>
      </c>
      <c r="E33" s="1">
        <f>IF(AND(ISNUMBER(E31),ISNUMBER(D31)),E31-D31,"n/a")</f>
        <v>-1</v>
      </c>
      <c r="F33" s="1" t="s">
        <v>37</v>
      </c>
      <c r="G33" s="1">
        <f>IF(AND(ISNUMBER(G31),ISNUMBER(E31)),G31-E31,"n/a")</f>
        <v>-1</v>
      </c>
      <c r="H33" s="1">
        <f>IF(AND(ISNUMBER(H31),ISNUMBER(G31)),H31-G31,"n/a")</f>
        <v>0</v>
      </c>
      <c r="I33" s="13">
        <f>IF(AND(ISNUMBER(I31),ISNUMBER(H31)),I31-H31,"n/a")</f>
        <v>4</v>
      </c>
      <c r="J33" s="2"/>
      <c r="K33" s="2"/>
      <c r="L33" s="2"/>
      <c r="M33" s="2"/>
      <c r="N33" s="2"/>
      <c r="O33" s="2"/>
    </row>
    <row r="34">
      <c r="A34" s="16" t="s">
        <v>634</v>
      </c>
      <c r="B34" s="9">
        <f>B31</f>
        <v>1560</v>
      </c>
      <c r="C34" s="9">
        <f>C31</f>
        <v>1559</v>
      </c>
      <c r="D34" s="9">
        <f>D31</f>
        <v>1557</v>
      </c>
      <c r="E34" s="9">
        <f>E31</f>
        <v>1556</v>
      </c>
      <c r="F34" s="9">
        <f>F31</f>
        <v>1557.986301369863</v>
      </c>
      <c r="G34" s="9">
        <f>G31</f>
        <v>1555</v>
      </c>
      <c r="H34" s="9">
        <f>H31</f>
        <v>1555</v>
      </c>
      <c r="I34" s="31">
        <f>I31</f>
        <v>1559</v>
      </c>
      <c r="J34" s="6" t="s">
        <v>635</v>
      </c>
      <c r="K34" s="2"/>
      <c r="L34" s="2"/>
      <c r="M34" s="2"/>
      <c r="N34" s="2"/>
      <c r="O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>
      <c r="A36" s="16" t="s">
        <v>636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>
      <c r="A37" s="36" t="s">
        <v>637</v>
      </c>
      <c r="B37" s="23">
        <f>-'Cash Flow Statement'!B41</f>
        <v>160</v>
      </c>
      <c r="C37" s="23">
        <f>-'Cash Flow Statement'!C41</f>
        <v>106</v>
      </c>
      <c r="D37" s="23">
        <f>-'Cash Flow Statement'!D41</f>
        <v>101</v>
      </c>
      <c r="E37" s="23">
        <f>-'Cash Flow Statement'!E41</f>
        <v>122</v>
      </c>
      <c r="F37" s="3">
        <f>SUM(B37:E37)</f>
        <v>489</v>
      </c>
      <c r="G37" s="23">
        <f>-'Cash Flow Statement'!G41</f>
        <v>276</v>
      </c>
      <c r="H37" s="23">
        <f>-'Cash Flow Statement'!H41</f>
        <v>201</v>
      </c>
      <c r="I37" s="32">
        <v>0</v>
      </c>
      <c r="J37" s="6" t="s">
        <v>638</v>
      </c>
      <c r="K37" s="2"/>
      <c r="L37" s="2"/>
      <c r="M37" s="2"/>
      <c r="N37" s="2"/>
      <c r="O37" s="2"/>
    </row>
    <row r="38">
      <c r="A38" s="14" t="s">
        <v>242</v>
      </c>
      <c r="B38" s="1" t="s">
        <v>37</v>
      </c>
      <c r="C38" s="1" t="s">
        <v>37</v>
      </c>
      <c r="D38" s="1" t="s">
        <v>37</v>
      </c>
      <c r="E38" s="1" t="s">
        <v>37</v>
      </c>
      <c r="F38" s="1" t="s">
        <v>37</v>
      </c>
      <c r="G38" s="1">
        <f>IF(AND(ISNUMBER(G37),ISNUMBER(B37)),G37-B37,"n/a")</f>
        <v>116</v>
      </c>
      <c r="H38" s="1">
        <f>IF(AND(ISNUMBER(H37),ISNUMBER(C37)),H37-C37,"n/a")</f>
        <v>95</v>
      </c>
      <c r="I38" s="13">
        <f>IF(AND(ISNUMBER(I37),ISNUMBER(D37)),I37-D37,"n/a")</f>
        <v>-101</v>
      </c>
      <c r="J38" s="2"/>
      <c r="K38" s="2"/>
      <c r="L38" s="2"/>
      <c r="M38" s="2"/>
      <c r="N38" s="2"/>
      <c r="O38" s="2"/>
    </row>
    <row r="39">
      <c r="A39" s="14" t="s">
        <v>110</v>
      </c>
      <c r="B39" s="1" t="s">
        <v>37</v>
      </c>
      <c r="C39" s="1">
        <f>IF(AND(ISNUMBER(C37),ISNUMBER(B37)),C37-B37,"n/a")</f>
        <v>-54</v>
      </c>
      <c r="D39" s="1">
        <f>IF(AND(ISNUMBER(D37),ISNUMBER(C37)),D37-C37,"n/a")</f>
        <v>-5</v>
      </c>
      <c r="E39" s="1">
        <f>IF(AND(ISNUMBER(E37),ISNUMBER(D37)),E37-D37,"n/a")</f>
        <v>21</v>
      </c>
      <c r="F39" s="1" t="s">
        <v>37</v>
      </c>
      <c r="G39" s="1">
        <f>IF(AND(ISNUMBER(G37),ISNUMBER(E37)),G37-E37,"n/a")</f>
        <v>154</v>
      </c>
      <c r="H39" s="1">
        <f>IF(AND(ISNUMBER(H37),ISNUMBER(G37)),H37-G37,"n/a")</f>
        <v>-75</v>
      </c>
      <c r="I39" s="13">
        <f>IF(AND(ISNUMBER(I37),ISNUMBER(H37)),I37-H37,"n/a")</f>
        <v>-201</v>
      </c>
      <c r="J39" s="2"/>
      <c r="K39" s="2"/>
      <c r="L39" s="2"/>
      <c r="M39" s="2"/>
      <c r="N39" s="2"/>
      <c r="O39" s="2"/>
    </row>
    <row r="40">
      <c r="A40" s="36" t="s">
        <v>639</v>
      </c>
      <c r="B40" s="7">
        <f>IF(B14=0,0,B37/B14)</f>
        <v>40</v>
      </c>
      <c r="C40" s="7">
        <f>IF(C14=0,0,C37/C14)</f>
        <v>53</v>
      </c>
      <c r="D40" s="7">
        <f>IF(D14=0,0,D37/D14)</f>
        <v>50.5</v>
      </c>
      <c r="E40" s="7">
        <f>IF(E14=0,0,E37/E14)</f>
        <v>40.666666666666664</v>
      </c>
      <c r="F40" s="7">
        <f>IF(F14=0,0,F37/F14)</f>
        <v>44.45454545454545</v>
      </c>
      <c r="G40" s="7">
        <f>IF(G14=0,0,G37/G14)</f>
        <v>55.2</v>
      </c>
      <c r="H40" s="7">
        <f>IF(H14=0,0,H37/H14)</f>
        <v>67</v>
      </c>
      <c r="I40" s="44">
        <f>IF(I14=0,0,I37/I14)</f>
        <v>0</v>
      </c>
      <c r="J40" s="6" t="s">
        <v>640</v>
      </c>
      <c r="K40" s="2"/>
      <c r="L40" s="2"/>
      <c r="M40" s="2"/>
      <c r="N40" s="2"/>
      <c r="O40" s="2"/>
    </row>
    <row r="41">
      <c r="A41" s="6" t="s">
        <v>641</v>
      </c>
      <c r="B41" s="18">
        <v>0.5</v>
      </c>
      <c r="C41" s="18">
        <v>0.5</v>
      </c>
      <c r="D41" s="18">
        <v>0.52</v>
      </c>
      <c r="E41" s="18">
        <v>0.52</v>
      </c>
      <c r="F41" s="7">
        <f>SUM(B41:E41)</f>
        <v>2.04</v>
      </c>
      <c r="G41" s="18">
        <v>0.52</v>
      </c>
      <c r="H41" s="18">
        <v>0.52</v>
      </c>
      <c r="I41" s="29">
        <v>0.54</v>
      </c>
      <c r="J41" s="6" t="s">
        <v>642</v>
      </c>
      <c r="K41" s="2"/>
      <c r="L41" s="2"/>
      <c r="M41" s="2"/>
      <c r="N41" s="2"/>
      <c r="O41" s="2"/>
    </row>
    <row r="42">
      <c r="A42" s="19" t="s">
        <v>216</v>
      </c>
      <c r="B42" s="21" t="s">
        <v>37</v>
      </c>
      <c r="C42" s="21" t="s">
        <v>37</v>
      </c>
      <c r="D42" s="21" t="s">
        <v>37</v>
      </c>
      <c r="E42" s="21" t="s">
        <v>37</v>
      </c>
      <c r="F42" s="21" t="s">
        <v>37</v>
      </c>
      <c r="G42" s="21">
        <f>IF(AND(ISNUMBER(G41),ISNUMBER(B41)),G41-B41,"n/a")</f>
        <v>0.020000000000000018</v>
      </c>
      <c r="H42" s="21">
        <f>IF(AND(ISNUMBER(H41),ISNUMBER(C41)),H41-C41,"n/a")</f>
        <v>0.020000000000000018</v>
      </c>
      <c r="I42" s="34">
        <f>IF(AND(ISNUMBER(I41),ISNUMBER(D41)),I41-D41,"n/a")</f>
        <v>0.020000000000000018</v>
      </c>
      <c r="J42" s="2"/>
      <c r="K42" s="2"/>
      <c r="L42" s="2"/>
      <c r="M42" s="2"/>
      <c r="N42" s="2"/>
      <c r="O42" s="2"/>
    </row>
    <row r="43">
      <c r="A43" s="19" t="s">
        <v>318</v>
      </c>
      <c r="B43" s="21" t="s">
        <v>37</v>
      </c>
      <c r="C43" s="21">
        <f>IF(AND(ISNUMBER(C41),ISNUMBER(B41)),C41-B41,"n/a")</f>
        <v>0</v>
      </c>
      <c r="D43" s="21">
        <f>IF(AND(ISNUMBER(D41),ISNUMBER(C41)),D41-C41,"n/a")</f>
        <v>0.020000000000000018</v>
      </c>
      <c r="E43" s="21">
        <f>IF(AND(ISNUMBER(E41),ISNUMBER(D41)),E41-D41,"n/a")</f>
        <v>0</v>
      </c>
      <c r="F43" s="21" t="s">
        <v>37</v>
      </c>
      <c r="G43" s="21">
        <f>IF(AND(ISNUMBER(G41),ISNUMBER(E41)),G41-E41,"n/a")</f>
        <v>0</v>
      </c>
      <c r="H43" s="21">
        <f>IF(AND(ISNUMBER(H41),ISNUMBER(G41)),H41-G41,"n/a")</f>
        <v>0</v>
      </c>
      <c r="I43" s="34">
        <f>IF(AND(ISNUMBER(I41),ISNUMBER(H41)),I41-H41,"n/a")</f>
        <v>0.020000000000000018</v>
      </c>
      <c r="J43" s="2"/>
      <c r="K43" s="2"/>
      <c r="L43" s="2"/>
      <c r="M43" s="2"/>
      <c r="N43" s="2"/>
      <c r="O43" s="2"/>
    </row>
    <row r="44">
      <c r="A44" s="36" t="s">
        <v>643</v>
      </c>
      <c r="B44" s="3">
        <f>B41*B17</f>
        <v>780</v>
      </c>
      <c r="C44" s="3">
        <f>C41*C17</f>
        <v>779</v>
      </c>
      <c r="D44" s="3">
        <f>D41*D17</f>
        <v>809.12</v>
      </c>
      <c r="E44" s="3">
        <f>E41*E17</f>
        <v>808.6</v>
      </c>
      <c r="F44" s="3">
        <f>SUM(B44:E44)</f>
        <v>3176.7200000000003</v>
      </c>
      <c r="G44" s="3">
        <f>G41*G17</f>
        <v>808.6</v>
      </c>
      <c r="H44" s="3">
        <f>H41*H17</f>
        <v>810.1600000000001</v>
      </c>
      <c r="I44" s="46">
        <f>I41*I17</f>
        <v>841.86</v>
      </c>
      <c r="J44" s="131" t="s">
        <v>644</v>
      </c>
      <c r="K44" s="2"/>
      <c r="L44" s="2"/>
      <c r="M44" s="2"/>
      <c r="N44" s="2"/>
      <c r="O44" s="2"/>
    </row>
    <row r="45">
      <c r="A45" s="26" t="s">
        <v>645</v>
      </c>
      <c r="B45" s="22">
        <f>(B44+B37)/'Income Statement'!B203</f>
        <v>0.5864004990642545</v>
      </c>
      <c r="C45" s="22">
        <f>(C44+C37)/'Income Statement'!C203</f>
        <v>0.5106751298326602</v>
      </c>
      <c r="D45" s="22">
        <f>(D44+D37)/'Income Statement'!D203</f>
        <v>0.4807818277865821</v>
      </c>
      <c r="E45" s="22">
        <f>(E44+E37)/'Income Statement'!E203</f>
        <v>0.473587786259542</v>
      </c>
      <c r="F45" s="22">
        <f>(F44+F37)/'Income Statement'!F203</f>
        <v>0.5095524047817627</v>
      </c>
      <c r="G45" s="22">
        <f>(G44+G37)/'Income Statement'!G203</f>
        <v>0.5891363389462249</v>
      </c>
      <c r="H45" s="22">
        <f>(H44+H37)/'Income Statement'!H203</f>
        <v>0.48196377502383225</v>
      </c>
      <c r="I45" s="33">
        <f>(I44+I37)/'Income Statement'!I203</f>
        <v>0.4116774718176068</v>
      </c>
      <c r="J45" s="2"/>
      <c r="K45" s="2"/>
      <c r="L45" s="2"/>
      <c r="M45" s="2"/>
      <c r="N45" s="2"/>
      <c r="O45" s="2"/>
    </row>
    <row r="46">
      <c r="A46" s="19" t="s">
        <v>144</v>
      </c>
      <c r="B46" s="5" t="s">
        <v>37</v>
      </c>
      <c r="C46" s="5">
        <f>IF(AND(ISNUMBER(C45),ISNUMBER(B45)),(C45-B45)*10000,"n/a")</f>
        <v>-757.2536923159435</v>
      </c>
      <c r="D46" s="5">
        <f>IF(AND(ISNUMBER(D45),ISNUMBER(C45)),(D45-C45)*10000,"n/a")</f>
        <v>-298.9330204607804</v>
      </c>
      <c r="E46" s="5">
        <f>IF(AND(ISNUMBER(E45),ISNUMBER(D45)),(E45-D45)*10000,"n/a")</f>
        <v>-71.94041527040118</v>
      </c>
      <c r="F46" s="5" t="s">
        <v>37</v>
      </c>
      <c r="G46" s="5">
        <f>IF(AND(ISNUMBER(G45),ISNUMBER(E45)),(G45-E45)*10000,"n/a")</f>
        <v>1155.4855268668284</v>
      </c>
      <c r="H46" s="5">
        <f>IF(AND(ISNUMBER(H45),ISNUMBER(G45)),(H45-G45)*10000,"n/a")</f>
        <v>-1071.725639223926</v>
      </c>
      <c r="I46" s="45">
        <f>IF(AND(ISNUMBER(I45),ISNUMBER(H45)),(I45-H45)*10000,"n/a")</f>
        <v>-702.8630320622548</v>
      </c>
      <c r="J46" s="2"/>
      <c r="K46" s="2"/>
      <c r="L46" s="2"/>
      <c r="M46" s="2"/>
      <c r="N46" s="2"/>
      <c r="O46" s="2"/>
    </row>
    <row r="47">
      <c r="A47" s="19" t="s">
        <v>145</v>
      </c>
      <c r="B47" s="5" t="s">
        <v>37</v>
      </c>
      <c r="C47" s="5" t="s">
        <v>37</v>
      </c>
      <c r="D47" s="5" t="s">
        <v>37</v>
      </c>
      <c r="E47" s="5" t="s">
        <v>37</v>
      </c>
      <c r="F47" s="5" t="s">
        <v>37</v>
      </c>
      <c r="G47" s="5">
        <f>IF(AND(ISNUMBER(G45),ISNUMBER(B45)),(G45-B45)*10000,"n/a")</f>
        <v>27.358398819703478</v>
      </c>
      <c r="H47" s="5">
        <f>IF(AND(ISNUMBER(H45),ISNUMBER(C45)),(H45-C45)*10000,"n/a")</f>
        <v>-287.1135480882792</v>
      </c>
      <c r="I47" s="45">
        <f>IF(AND(ISNUMBER(I45),ISNUMBER(D45)),(I45-D45)*10000,"n/a")</f>
        <v>-691.0435596897535</v>
      </c>
      <c r="J47" s="2"/>
      <c r="K47" s="2"/>
      <c r="L47" s="2"/>
      <c r="M47" s="2"/>
      <c r="N47" s="2"/>
      <c r="O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9"/>
  <sheetViews>
    <sheetView showGridLines="0" workbookViewId="0"/>
  </sheetViews>
  <sheetFormatPr defaultColWidth="8.42578125" defaultRowHeight="15"/>
  <cols>
    <col min="1" max="1" width="36" customWidth="1"/>
    <col min="2" max="2" width="11" customWidth="1"/>
    <col min="3" max="3" width="8" customWidth="1"/>
    <col min="4" max="5" width="10" customWidth="1"/>
    <col min="6" max="6" width="38" customWidth="1"/>
    <col min="7" max="9" width="11" customWidth="1"/>
    <col min="10" max="10" width="15" customWidth="1"/>
    <col min="11" max="11" width="27" customWidth="1"/>
    <col min="12" max="12" width="11" customWidth="1"/>
    <col min="13" max="13" width="40" customWidth="1"/>
    <col min="14" max="14" width="8" customWidth="1"/>
    <col min="15" max="15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646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48" t="s">
        <v>647</v>
      </c>
      <c r="B5" s="40" t="s">
        <v>648</v>
      </c>
      <c r="C5" s="40" t="s">
        <v>81</v>
      </c>
      <c r="D5" s="40" t="s">
        <v>649</v>
      </c>
      <c r="E5" s="40" t="s">
        <v>650</v>
      </c>
      <c r="F5" s="114" t="s">
        <v>651</v>
      </c>
      <c r="G5" s="40" t="s">
        <v>652</v>
      </c>
      <c r="H5" s="40" t="s">
        <v>653</v>
      </c>
      <c r="I5" s="40" t="s">
        <v>654</v>
      </c>
      <c r="J5" s="40" t="s">
        <v>655</v>
      </c>
      <c r="K5" s="40" t="s">
        <v>656</v>
      </c>
      <c r="L5" s="40" t="s">
        <v>657</v>
      </c>
      <c r="M5" s="114" t="s">
        <v>658</v>
      </c>
      <c r="N5" s="114" t="s">
        <v>659</v>
      </c>
      <c r="O5" s="2"/>
    </row>
    <row r="6">
      <c r="A6" s="6" t="s">
        <v>121</v>
      </c>
      <c r="B6" s="24">
        <f>DATE(2025,7,17)</f>
        <v>45855</v>
      </c>
      <c r="C6" s="94" t="s">
        <v>660</v>
      </c>
      <c r="D6" s="8">
        <v>4100</v>
      </c>
      <c r="E6" s="8">
        <v>4200</v>
      </c>
      <c r="F6" s="6" t="s">
        <v>661</v>
      </c>
      <c r="G6" s="3" t="s">
        <v>37</v>
      </c>
      <c r="H6" s="3">
        <f>D6</f>
        <v>4100</v>
      </c>
      <c r="I6" s="3">
        <f>E6</f>
        <v>4200</v>
      </c>
      <c r="J6" s="3">
        <f>IF(ISNUMBER(H6),(H6+I6)/2,I6)</f>
        <v>4150</v>
      </c>
      <c r="K6" s="23">
        <f>'Income Statement'!D46</f>
        <v>4251</v>
      </c>
      <c r="L6" s="3">
        <f>IF(ISNUMBER(K6),K6-J6,"n/a")</f>
        <v>101</v>
      </c>
      <c r="M6" s="6" t="str">
        <f>IF(NOT(ISNUMBER(K6)),"Pending",IF(K6&gt;I6,"Beat (above range)",IF(K6&gt;=H6,"In range","Miss")))</f>
        <v>Beat (above range)</v>
      </c>
      <c r="N6" s="6" t="s">
        <v>662</v>
      </c>
      <c r="O6" s="2"/>
    </row>
    <row r="7">
      <c r="A7" s="6" t="s">
        <v>123</v>
      </c>
      <c r="B7" s="24">
        <f>DATE(2025,7,17)</f>
        <v>45855</v>
      </c>
      <c r="C7" s="94" t="s">
        <v>660</v>
      </c>
      <c r="D7" s="8">
        <v>3000</v>
      </c>
      <c r="E7" s="8">
        <v>3000</v>
      </c>
      <c r="F7" s="6" t="s">
        <v>663</v>
      </c>
      <c r="G7" s="3" t="s">
        <v>37</v>
      </c>
      <c r="H7" s="3">
        <f>D7</f>
        <v>3000</v>
      </c>
      <c r="I7" s="3">
        <f>E7</f>
        <v>3000</v>
      </c>
      <c r="J7" s="3">
        <f>IF(ISNUMBER(H7),(H7+I7)/2,I7)</f>
        <v>3000</v>
      </c>
      <c r="K7" s="23">
        <f>'Income Statement'!D118</f>
        <v>3085</v>
      </c>
      <c r="L7" s="3">
        <f>IF(ISNUMBER(K7),K7-J7,"n/a")</f>
        <v>85</v>
      </c>
      <c r="M7" s="6" t="str">
        <f>IF(NOT(ISNUMBER(K7)),"Pending",IF(K7&gt;I7,"Beat (above range)",IF(K7&gt;=H7,"In range","Miss")))</f>
        <v>Beat (above range)</v>
      </c>
      <c r="N7" s="6" t="s">
        <v>662</v>
      </c>
      <c r="O7" s="2"/>
    </row>
    <row r="8">
      <c r="A8" s="6" t="s">
        <v>664</v>
      </c>
      <c r="B8" s="24">
        <f>DATE(2025,7,17)</f>
        <v>45855</v>
      </c>
      <c r="C8" s="94" t="s">
        <v>660</v>
      </c>
      <c r="D8" s="3" t="s">
        <v>37</v>
      </c>
      <c r="E8" s="8">
        <v>4200</v>
      </c>
      <c r="F8" s="6" t="s">
        <v>665</v>
      </c>
      <c r="G8" s="3" t="s">
        <v>37</v>
      </c>
      <c r="H8" s="3" t="s">
        <v>37</v>
      </c>
      <c r="I8" s="3">
        <f>E8</f>
        <v>4200</v>
      </c>
      <c r="J8" s="3">
        <f>IF(ISNUMBER(H8),(H8+I8)/2,I8)</f>
        <v>4200</v>
      </c>
      <c r="K8" s="23">
        <f>'Income Statement'!D172</f>
        <v>4197</v>
      </c>
      <c r="L8" s="3">
        <f>IF(ISNUMBER(K8),K8-J8,"n/a")</f>
        <v>-3</v>
      </c>
      <c r="M8" s="118" t="str">
        <f>IF(NOT(ISNUMBER(K8)),"Pending",IF(K8&lt;=I8,"In line (at/below ceiling)","Miss (above ceiling)"))</f>
        <v>In line (at/below ceiling)</v>
      </c>
      <c r="N8" s="6" t="s">
        <v>662</v>
      </c>
      <c r="O8" s="2"/>
    </row>
    <row r="9">
      <c r="A9" s="6" t="s">
        <v>121</v>
      </c>
      <c r="B9" s="24">
        <f>DATE(2025,10,16)</f>
        <v>45946</v>
      </c>
      <c r="C9" s="94" t="s">
        <v>666</v>
      </c>
      <c r="D9" s="28">
        <v>0</v>
      </c>
      <c r="E9" s="28">
        <v>0</v>
      </c>
      <c r="F9" s="6" t="s">
        <v>667</v>
      </c>
      <c r="G9" s="23">
        <f>'Income Statement'!D46</f>
        <v>4251</v>
      </c>
      <c r="H9" s="3">
        <f>IF(ISNUMBER(D9),G9*(1+D9),"n/a")</f>
        <v>4251</v>
      </c>
      <c r="I9" s="3">
        <f>G9*(1+E9)</f>
        <v>4251</v>
      </c>
      <c r="J9" s="3">
        <f>IF(ISNUMBER(H9),(H9+I9)/2,I9)</f>
        <v>4251</v>
      </c>
      <c r="K9" s="23">
        <f>'Income Statement'!E46</f>
        <v>4312</v>
      </c>
      <c r="L9" s="3">
        <f>IF(ISNUMBER(K9),K9-J9,"n/a")</f>
        <v>61</v>
      </c>
      <c r="M9" s="6" t="str">
        <f>IF(NOT(ISNUMBER(K9)),"Pending",IF(K9&gt;I9,"Beat (above range)",IF(K9&gt;=H9,"In range","Miss")))</f>
        <v>Beat (above range)</v>
      </c>
      <c r="N9" s="6" t="s">
        <v>668</v>
      </c>
      <c r="O9" s="2"/>
    </row>
    <row r="10">
      <c r="A10" s="6" t="s">
        <v>123</v>
      </c>
      <c r="B10" s="24">
        <f>DATE(2025,10,16)</f>
        <v>45946</v>
      </c>
      <c r="C10" s="94" t="s">
        <v>666</v>
      </c>
      <c r="D10" s="8">
        <v>3000</v>
      </c>
      <c r="E10" s="8">
        <v>3000</v>
      </c>
      <c r="F10" s="6" t="s">
        <v>663</v>
      </c>
      <c r="G10" s="3" t="s">
        <v>37</v>
      </c>
      <c r="H10" s="3">
        <f>D10</f>
        <v>3000</v>
      </c>
      <c r="I10" s="3">
        <f>E10</f>
        <v>3000</v>
      </c>
      <c r="J10" s="3">
        <f>IF(ISNUMBER(H10),(H10+I10)/2,I10)</f>
        <v>3000</v>
      </c>
      <c r="K10" s="23">
        <f>'Income Statement'!E118</f>
        <v>3050</v>
      </c>
      <c r="L10" s="3">
        <f>IF(ISNUMBER(K10),K10-J10,"n/a")</f>
        <v>50</v>
      </c>
      <c r="M10" s="6" t="str">
        <f>IF(NOT(ISNUMBER(K10)),"Pending",IF(K10&gt;I10,"Beat (above range)",IF(K10&gt;=H10,"In range","Miss")))</f>
        <v>Beat (above range)</v>
      </c>
      <c r="N10" s="6" t="s">
        <v>668</v>
      </c>
      <c r="O10" s="2"/>
    </row>
    <row r="11">
      <c r="A11" s="6" t="s">
        <v>664</v>
      </c>
      <c r="B11" s="24">
        <f>DATE(2025,10,16)</f>
        <v>45946</v>
      </c>
      <c r="C11" s="94" t="s">
        <v>666</v>
      </c>
      <c r="D11" s="28">
        <v>0.01</v>
      </c>
      <c r="E11" s="28">
        <v>0.015</v>
      </c>
      <c r="F11" s="6" t="s">
        <v>95</v>
      </c>
      <c r="G11" s="23">
        <f>'Income Statement'!D172</f>
        <v>4197</v>
      </c>
      <c r="H11" s="3">
        <f>IF(ISNUMBER(D11),G11*(1+D11),"n/a")</f>
        <v>4238.97</v>
      </c>
      <c r="I11" s="3">
        <f>G11*(1+E11)</f>
        <v>4259.955</v>
      </c>
      <c r="J11" s="3">
        <f>IF(ISNUMBER(H11),(H11+I11)/2,I11)</f>
        <v>4249.4625</v>
      </c>
      <c r="K11" s="23">
        <f>'Income Statement'!E172</f>
        <v>4227</v>
      </c>
      <c r="L11" s="3">
        <f>IF(ISNUMBER(K11),K11-J11,"n/a")</f>
        <v>-22.462499999999636</v>
      </c>
      <c r="M11" s="6" t="str">
        <f>IF(NOT(ISNUMBER(K11)),"Pending",IF(K11&lt;IF(ISNUMBER(H11),H11,I11),"Beat (below range)",IF(K11&lt;=I11,"In range","Miss (above range)")))</f>
        <v>Beat (below range)</v>
      </c>
      <c r="N11" s="6" t="s">
        <v>668</v>
      </c>
      <c r="O11" s="2"/>
    </row>
    <row r="12">
      <c r="A12" s="6" t="s">
        <v>121</v>
      </c>
      <c r="B12" s="24">
        <f>DATE(2026,1,20)</f>
        <v>46042</v>
      </c>
      <c r="C12" s="94" t="s">
        <v>669</v>
      </c>
      <c r="D12" s="28">
        <v>0.03</v>
      </c>
      <c r="E12" s="28">
        <v>0.04</v>
      </c>
      <c r="F12" s="6" t="s">
        <v>122</v>
      </c>
      <c r="G12" s="23">
        <f>'Income Statement'!B46</f>
        <v>4122</v>
      </c>
      <c r="H12" s="3">
        <f>IF(ISNUMBER(D12),G12*(1+D12),"n/a")</f>
        <v>4245.66</v>
      </c>
      <c r="I12" s="3">
        <f>G12*(1+E12)</f>
        <v>4286.88</v>
      </c>
      <c r="J12" s="3">
        <f>IF(ISNUMBER(H12),(H12+I12)/2,I12)</f>
        <v>4266.27</v>
      </c>
      <c r="K12" s="23">
        <f>'Income Statement'!G46</f>
        <v>4291</v>
      </c>
      <c r="L12" s="3">
        <f>IF(ISNUMBER(K12),K12-J12,"n/a")</f>
        <v>24.729999999999563</v>
      </c>
      <c r="M12" s="6" t="str">
        <f>IF(NOT(ISNUMBER(K12)),"Pending",IF(K12&gt;I12,"Beat (above range)",IF(K12&gt;=H12,"In range","Miss")))</f>
        <v>Beat (above range)</v>
      </c>
      <c r="N12" s="6" t="s">
        <v>670</v>
      </c>
      <c r="O12" s="2"/>
    </row>
    <row r="13">
      <c r="A13" s="6" t="s">
        <v>123</v>
      </c>
      <c r="B13" s="24">
        <f>DATE(2026,1,20)</f>
        <v>46042</v>
      </c>
      <c r="C13" s="94" t="s">
        <v>669</v>
      </c>
      <c r="D13" s="28">
        <v>0.05</v>
      </c>
      <c r="E13" s="28">
        <v>0.06</v>
      </c>
      <c r="F13" s="6" t="s">
        <v>122</v>
      </c>
      <c r="G13" s="23">
        <f>'Income Statement'!B118</f>
        <v>2836</v>
      </c>
      <c r="H13" s="3">
        <f>IF(ISNUMBER(D13),G13*(1+D13),"n/a")</f>
        <v>2977.8</v>
      </c>
      <c r="I13" s="3">
        <f>G13*(1+E13)</f>
        <v>3006.1600000000003</v>
      </c>
      <c r="J13" s="3">
        <f>IF(ISNUMBER(H13),(H13+I13)/2,I13)</f>
        <v>2991.9800000000005</v>
      </c>
      <c r="K13" s="23">
        <f>'Income Statement'!G118</f>
        <v>3032</v>
      </c>
      <c r="L13" s="3">
        <f>IF(ISNUMBER(K13),K13-J13,"n/a")</f>
        <v>40.01999999999953</v>
      </c>
      <c r="M13" s="6" t="str">
        <f>IF(NOT(ISNUMBER(K13)),"Pending",IF(K13&gt;I13,"Beat (above range)",IF(K13&gt;=H13,"In range","Miss")))</f>
        <v>Beat (above range)</v>
      </c>
      <c r="N13" s="6" t="s">
        <v>670</v>
      </c>
      <c r="O13" s="2"/>
    </row>
    <row r="14">
      <c r="A14" s="6" t="s">
        <v>664</v>
      </c>
      <c r="B14" s="24">
        <f>DATE(2026,1,20)</f>
        <v>46042</v>
      </c>
      <c r="C14" s="94" t="s">
        <v>669</v>
      </c>
      <c r="D14" s="28">
        <v>0.01</v>
      </c>
      <c r="E14" s="28">
        <v>0.01</v>
      </c>
      <c r="F14" s="6" t="s">
        <v>671</v>
      </c>
      <c r="G14" s="23">
        <f>'Income Statement'!B172</f>
        <v>4232</v>
      </c>
      <c r="H14" s="3">
        <f>IF(ISNUMBER(D14),G14*(1+D14),"n/a")</f>
        <v>4274.32</v>
      </c>
      <c r="I14" s="3">
        <f>G14*(1+E14)</f>
        <v>4274.32</v>
      </c>
      <c r="J14" s="3">
        <f>IF(ISNUMBER(H14),(H14+I14)/2,I14)</f>
        <v>4274.32</v>
      </c>
      <c r="K14" s="23">
        <f>'Income Statement'!G172</f>
        <v>4265</v>
      </c>
      <c r="L14" s="3">
        <f>IF(ISNUMBER(K14),K14-J14,"n/a")</f>
        <v>-9.319999999999709</v>
      </c>
      <c r="M14" s="118" t="str">
        <f>IF(NOT(ISNUMBER(K14)),"Pending",IF(K14&lt;I14,"Below ~point guide",IF(K14&gt;I14,"Above ~point guide","At point guide")))</f>
        <v>Below ~point guide</v>
      </c>
      <c r="N14" s="6" t="s">
        <v>670</v>
      </c>
      <c r="O14" s="2"/>
    </row>
    <row r="15">
      <c r="A15" s="6" t="s">
        <v>672</v>
      </c>
      <c r="B15" s="24">
        <f>DATE(2026,1,20)</f>
        <v>46042</v>
      </c>
      <c r="C15" s="94" t="s">
        <v>673</v>
      </c>
      <c r="D15" s="28">
        <v>0.04</v>
      </c>
      <c r="E15" s="28">
        <v>0.06</v>
      </c>
      <c r="F15" s="6" t="s">
        <v>122</v>
      </c>
      <c r="G15" s="23">
        <f>'Income Statement'!F130</f>
        <v>28656</v>
      </c>
      <c r="H15" s="3">
        <f>IF(ISNUMBER(D15),G15*(1+D15),"n/a")</f>
        <v>29802.24</v>
      </c>
      <c r="I15" s="3">
        <f>G15*(1+E15)</f>
        <v>30375.36</v>
      </c>
      <c r="J15" s="3">
        <f>IF(ISNUMBER(H15),(H15+I15)/2,I15)</f>
        <v>30088.800000000003</v>
      </c>
      <c r="K15" s="3" t="s">
        <v>37</v>
      </c>
      <c r="L15" s="3" t="str">
        <f>IF(ISNUMBER(K15),K15-J15,"n/a")</f>
        <v>n/a</v>
      </c>
      <c r="M15" s="6" t="str">
        <f>IF(NOT(ISNUMBER(K15)),"Pending",IF(K15&gt;I15,"Beat (above range)",IF(K15&gt;=H15,"In range","Miss")))</f>
        <v>Pending</v>
      </c>
      <c r="N15" s="6" t="s">
        <v>670</v>
      </c>
      <c r="O15" s="2"/>
    </row>
    <row r="16">
      <c r="A16" s="6" t="s">
        <v>121</v>
      </c>
      <c r="B16" s="24">
        <f>DATE(2026,4,16)</f>
        <v>46128</v>
      </c>
      <c r="C16" s="94" t="s">
        <v>674</v>
      </c>
      <c r="D16" s="28">
        <v>0.06</v>
      </c>
      <c r="E16" s="28">
        <v>0.07</v>
      </c>
      <c r="F16" s="6" t="s">
        <v>122</v>
      </c>
      <c r="G16" s="23">
        <f>'Income Statement'!C46</f>
        <v>4080</v>
      </c>
      <c r="H16" s="3">
        <f>IF(ISNUMBER(D16),G16*(1+D16),"n/a")</f>
        <v>4324.8</v>
      </c>
      <c r="I16" s="3">
        <f>G16*(1+E16)</f>
        <v>4365.6</v>
      </c>
      <c r="J16" s="3">
        <f>IF(ISNUMBER(H16),(H16+I16)/2,I16)</f>
        <v>4345.200000000001</v>
      </c>
      <c r="K16" s="23">
        <f>'Income Statement'!H46</f>
        <v>4387</v>
      </c>
      <c r="L16" s="3">
        <f>IF(ISNUMBER(K16),K16-J16,"n/a")</f>
        <v>41.79999999999927</v>
      </c>
      <c r="M16" s="6" t="str">
        <f>IF(NOT(ISNUMBER(K16)),"Pending",IF(K16&gt;I16,"Beat (above range)",IF(K16&gt;=H16,"In range","Miss")))</f>
        <v>Beat (above range)</v>
      </c>
      <c r="N16" s="6" t="s">
        <v>675</v>
      </c>
      <c r="O16" s="2"/>
    </row>
    <row r="17">
      <c r="A17" s="6" t="s">
        <v>676</v>
      </c>
      <c r="B17" s="24">
        <f>DATE(2026,4,16)</f>
        <v>46128</v>
      </c>
      <c r="C17" s="94" t="s">
        <v>674</v>
      </c>
      <c r="D17" s="28">
        <v>0.06</v>
      </c>
      <c r="E17" s="28">
        <v>0.07</v>
      </c>
      <c r="F17" s="6" t="s">
        <v>122</v>
      </c>
      <c r="G17" s="23">
        <f>'Income Statement'!C118</f>
        <v>2981</v>
      </c>
      <c r="H17" s="3">
        <f>IF(ISNUMBER(D17),G17*(1+D17),"n/a")</f>
        <v>3159.86</v>
      </c>
      <c r="I17" s="3">
        <f>G17*(1+E17)</f>
        <v>3189.67</v>
      </c>
      <c r="J17" s="3">
        <f>IF(ISNUMBER(H17),(H17+I17)/2,I17)</f>
        <v>3174.7650000000003</v>
      </c>
      <c r="K17" s="23">
        <f>'Income Statement'!H118-'Segment - WCCIB'!H157</f>
        <v>3276</v>
      </c>
      <c r="L17" s="3">
        <f>IF(ISNUMBER(K17),K17-J17,"n/a")</f>
        <v>101.23499999999967</v>
      </c>
      <c r="M17" s="6" t="str">
        <f>IF(NOT(ISNUMBER(K17)),"Pending",IF(K17&gt;I17,"Beat (above range)",IF(K17&gt;=H17,"In range","Miss")))</f>
        <v>Beat (above range)</v>
      </c>
      <c r="N17" s="6" t="s">
        <v>675</v>
      </c>
      <c r="O17" s="2"/>
    </row>
    <row r="18">
      <c r="A18" s="6" t="s">
        <v>677</v>
      </c>
      <c r="B18" s="24">
        <f>DATE(2026,4,16)</f>
        <v>46128</v>
      </c>
      <c r="C18" s="94" t="s">
        <v>674</v>
      </c>
      <c r="D18" s="28">
        <v>0.03</v>
      </c>
      <c r="E18" s="28">
        <v>0.04</v>
      </c>
      <c r="F18" s="6" t="s">
        <v>122</v>
      </c>
      <c r="G18" s="23">
        <f>'Income Statement'!C172</f>
        <v>4181</v>
      </c>
      <c r="H18" s="3">
        <f>IF(ISNUMBER(D18),G18*(1+D18),"n/a")</f>
        <v>4306.43</v>
      </c>
      <c r="I18" s="3">
        <f>G18*(1+E18)</f>
        <v>4348.24</v>
      </c>
      <c r="J18" s="3">
        <f>IF(ISNUMBER(H18),(H18+I18)/2,I18)</f>
        <v>4327.335</v>
      </c>
      <c r="K18" s="23">
        <f>'Income Statement'!H172-K30</f>
        <v>4344</v>
      </c>
      <c r="L18" s="3">
        <f>IF(ISNUMBER(K18),K18-J18,"n/a")</f>
        <v>16.664999999999964</v>
      </c>
      <c r="M18" s="6" t="str">
        <f>IF(NOT(ISNUMBER(K18)),"Pending",IF(K18&lt;IF(ISNUMBER(H18),H18,I18),"Beat (below range)",IF(K18&lt;=I18,"In range","Miss (above range)")))</f>
        <v>In range</v>
      </c>
      <c r="N18" s="6" t="s">
        <v>675</v>
      </c>
      <c r="O18" s="2"/>
    </row>
    <row r="19">
      <c r="A19" s="6" t="s">
        <v>121</v>
      </c>
      <c r="B19" s="24">
        <f>DATE(2026,7,16)</f>
        <v>46219</v>
      </c>
      <c r="C19" s="94" t="s">
        <v>678</v>
      </c>
      <c r="D19" s="28">
        <v>0.04</v>
      </c>
      <c r="E19" s="28">
        <v>0.06</v>
      </c>
      <c r="F19" s="6" t="s">
        <v>122</v>
      </c>
      <c r="G19" s="23">
        <f>'Income Statement'!D46</f>
        <v>4251</v>
      </c>
      <c r="H19" s="3">
        <f>IF(ISNUMBER(D19),G19*(1+D19),"n/a")</f>
        <v>4421.04</v>
      </c>
      <c r="I19" s="3">
        <f>G19*(1+E19)</f>
        <v>4506.06</v>
      </c>
      <c r="J19" s="3">
        <f>IF(ISNUMBER(H19),(H19+I19)/2,I19)</f>
        <v>4463.55</v>
      </c>
      <c r="K19" s="23">
        <f>'Income Statement'!I46</f>
        <v>4509.620398871233</v>
      </c>
      <c r="L19" s="3">
        <f>IF(ISNUMBER(K19),K19-J19,"n/a")</f>
        <v>46.07039887123301</v>
      </c>
      <c r="M19" s="6" t="str">
        <f>"3Q26E model: "&amp;IF(NOT(ISNUMBER(K19)),"Pending",IF(K19&gt;I19,"Beat (above range)",IF(K19&gt;=H19,"In range","Miss")))</f>
        <v>3Q26E model: Beat (above range)</v>
      </c>
      <c r="N19" s="6" t="s">
        <v>679</v>
      </c>
      <c r="O19" s="2"/>
    </row>
    <row r="20">
      <c r="A20" s="6" t="s">
        <v>123</v>
      </c>
      <c r="B20" s="24">
        <f>DATE(2026,7,16)</f>
        <v>46219</v>
      </c>
      <c r="C20" s="94" t="s">
        <v>678</v>
      </c>
      <c r="D20" s="28">
        <v>0.12</v>
      </c>
      <c r="E20" s="28">
        <v>0.14</v>
      </c>
      <c r="F20" s="6" t="s">
        <v>122</v>
      </c>
      <c r="G20" s="23">
        <f>'Income Statement'!D118</f>
        <v>3085</v>
      </c>
      <c r="H20" s="3">
        <f>IF(ISNUMBER(D20),G20*(1+D20),"n/a")</f>
        <v>3455.2000000000003</v>
      </c>
      <c r="I20" s="3">
        <f>G20*(1+E20)</f>
        <v>3516.9000000000005</v>
      </c>
      <c r="J20" s="3">
        <f>IF(ISNUMBER(H20),(H20+I20)/2,I20)</f>
        <v>3486.05</v>
      </c>
      <c r="K20" s="23">
        <f>'Income Statement'!I118</f>
        <v>3509.8200129998786</v>
      </c>
      <c r="L20" s="3">
        <f>IF(ISNUMBER(K20),K20-J20,"n/a")</f>
        <v>23.770012999878418</v>
      </c>
      <c r="M20" s="6" t="str">
        <f>"3Q26E model: "&amp;IF(NOT(ISNUMBER(K20)),"Pending",IF(K20&gt;I20,"Beat (above range)",IF(K20&gt;=H20,"In range","Miss")))</f>
        <v>3Q26E model: In range</v>
      </c>
      <c r="N20" s="6" t="s">
        <v>679</v>
      </c>
      <c r="O20" s="2"/>
    </row>
    <row r="21">
      <c r="A21" s="6" t="s">
        <v>664</v>
      </c>
      <c r="B21" s="24">
        <f>DATE(2026,7,16)</f>
        <v>46219</v>
      </c>
      <c r="C21" s="94" t="s">
        <v>678</v>
      </c>
      <c r="D21" s="28">
        <v>0.08</v>
      </c>
      <c r="E21" s="28">
        <v>0.08</v>
      </c>
      <c r="F21" s="6" t="s">
        <v>680</v>
      </c>
      <c r="G21" s="23">
        <f>'Income Statement'!D172</f>
        <v>4197</v>
      </c>
      <c r="H21" s="3">
        <f>IF(ISNUMBER(D21),G21*(1+D21),"n/a")</f>
        <v>4532.76</v>
      </c>
      <c r="I21" s="3">
        <f>G21*(1+E21)</f>
        <v>4532.76</v>
      </c>
      <c r="J21" s="3">
        <f>IF(ISNUMBER(H21),(H21+I21)/2,I21)</f>
        <v>4532.76</v>
      </c>
      <c r="K21" s="23">
        <f>'Income Statement'!I172</f>
        <v>4528.141</v>
      </c>
      <c r="L21" s="3">
        <f>IF(ISNUMBER(K21),K21-J21,"n/a")</f>
        <v>-4.619000000000597</v>
      </c>
      <c r="M21" s="118" t="str">
        <f>"3Q26E model: "&amp;IF(NOT(ISNUMBER(K21)),"Pending",IF(K21&lt;I21,"Below ~point guide",IF(K21&gt;I21,"Above ~point guide","At point guide")))</f>
        <v>3Q26E model: Below ~point guide</v>
      </c>
      <c r="N21" s="6" t="s">
        <v>679</v>
      </c>
      <c r="O21" s="2"/>
    </row>
    <row r="22">
      <c r="A22" s="6" t="s">
        <v>360</v>
      </c>
      <c r="B22" s="24">
        <f>DATE(2026,7,16)</f>
        <v>46219</v>
      </c>
      <c r="C22" s="94" t="s">
        <v>678</v>
      </c>
      <c r="D22" s="8">
        <v>160</v>
      </c>
      <c r="E22" s="8">
        <v>160</v>
      </c>
      <c r="F22" s="6" t="s">
        <v>663</v>
      </c>
      <c r="G22" s="3" t="s">
        <v>37</v>
      </c>
      <c r="H22" s="3">
        <f>D22</f>
        <v>160</v>
      </c>
      <c r="I22" s="3">
        <f>E22</f>
        <v>160</v>
      </c>
      <c r="J22" s="3">
        <f>IF(ISNUMBER(H22),(H22+I22)/2,I22)</f>
        <v>160</v>
      </c>
      <c r="K22" s="23">
        <f>'Segment - Payment Services'!I215</f>
        <v>160</v>
      </c>
      <c r="L22" s="3">
        <f>IF(ISNUMBER(K22),K22-J22,"n/a")</f>
        <v>0</v>
      </c>
      <c r="M22" s="6" t="str">
        <f>"3Q26E model: "&amp;IF(NOT(ISNUMBER(K22)),"Pending",IF(K22=J22,"Model = guide",IF(K22&gt;J22,"Model above","Model below")))</f>
        <v>3Q26E model: Model = guide</v>
      </c>
      <c r="N22" s="6" t="s">
        <v>679</v>
      </c>
      <c r="O22" s="2"/>
    </row>
    <row r="23">
      <c r="A23" s="6" t="s">
        <v>681</v>
      </c>
      <c r="B23" s="24">
        <f>DATE(2026,7,16)</f>
        <v>46219</v>
      </c>
      <c r="C23" s="94" t="s">
        <v>678</v>
      </c>
      <c r="D23" s="8">
        <v>200</v>
      </c>
      <c r="E23" s="8">
        <v>200</v>
      </c>
      <c r="F23" s="6" t="s">
        <v>663</v>
      </c>
      <c r="G23" s="3" t="s">
        <v>37</v>
      </c>
      <c r="H23" s="3">
        <f>D23</f>
        <v>200</v>
      </c>
      <c r="I23" s="3">
        <f>E23</f>
        <v>200</v>
      </c>
      <c r="J23" s="3">
        <f>IF(ISNUMBER(H23),(H23+I23)/2,I23)</f>
        <v>200</v>
      </c>
      <c r="K23" s="23">
        <f>'Segment - WCCIB'!I157</f>
        <v>200</v>
      </c>
      <c r="L23" s="3">
        <f>IF(ISNUMBER(K23),K23-J23,"n/a")</f>
        <v>0</v>
      </c>
      <c r="M23" s="6" t="str">
        <f>"3Q26E model: "&amp;IF(NOT(ISNUMBER(K23)),"Pending",IF(K23=J23,"Model = guide",IF(K23&gt;J23,"Model above","Model below")))</f>
        <v>3Q26E model: Model = guide</v>
      </c>
      <c r="N23" s="6" t="s">
        <v>679</v>
      </c>
      <c r="O23" s="2"/>
    </row>
    <row r="24">
      <c r="A24" s="6" t="s">
        <v>682</v>
      </c>
      <c r="B24" s="24">
        <f>DATE(2026,7,16)</f>
        <v>46219</v>
      </c>
      <c r="C24" s="94" t="s">
        <v>683</v>
      </c>
      <c r="D24" s="8">
        <v>60</v>
      </c>
      <c r="E24" s="8">
        <v>60</v>
      </c>
      <c r="F24" s="6" t="s">
        <v>663</v>
      </c>
      <c r="G24" s="3" t="s">
        <v>37</v>
      </c>
      <c r="H24" s="3">
        <f>D24</f>
        <v>60</v>
      </c>
      <c r="I24" s="3">
        <f>E24</f>
        <v>60</v>
      </c>
      <c r="J24" s="3">
        <f>IF(ISNUMBER(H24),(H24+I24)/2,I24)</f>
        <v>60</v>
      </c>
      <c r="K24" s="3" t="s">
        <v>37</v>
      </c>
      <c r="L24" s="3" t="str">
        <f>IF(ISNUMBER(K24),K24-J24,"n/a")</f>
        <v>n/a</v>
      </c>
      <c r="M24" s="6" t="str">
        <f>IF(NOT(ISNUMBER(K24)),"Pending",IF(K24=J24,"Model = guide",IF(K24&gt;J24,"Model above","Model below")))</f>
        <v>Pending</v>
      </c>
      <c r="N24" s="6" t="s">
        <v>679</v>
      </c>
      <c r="O24" s="2"/>
    </row>
    <row r="25">
      <c r="A25" s="6" t="s">
        <v>684</v>
      </c>
      <c r="B25" s="24">
        <f>DATE(2026,7,16)</f>
        <v>46219</v>
      </c>
      <c r="C25" s="94" t="s">
        <v>673</v>
      </c>
      <c r="D25" s="28">
        <v>0.07</v>
      </c>
      <c r="E25" s="28">
        <v>0.09</v>
      </c>
      <c r="F25" s="6" t="s">
        <v>122</v>
      </c>
      <c r="G25" s="23">
        <f>'Income Statement'!F130</f>
        <v>28656</v>
      </c>
      <c r="H25" s="3">
        <f>IF(ISNUMBER(D25),G25*(1+D25),"n/a")</f>
        <v>30661.920000000002</v>
      </c>
      <c r="I25" s="3">
        <f>G25*(1+E25)</f>
        <v>31235.04</v>
      </c>
      <c r="J25" s="3">
        <f>IF(ISNUMBER(H25),(H25+I25)/2,I25)</f>
        <v>30948.480000000003</v>
      </c>
      <c r="K25" s="3" t="s">
        <v>37</v>
      </c>
      <c r="L25" s="3" t="str">
        <f>IF(ISNUMBER(K25),K25-J25,"n/a")</f>
        <v>n/a</v>
      </c>
      <c r="M25" s="6" t="str">
        <f>IF(NOT(ISNUMBER(K25)),"Pending",IF(K25&gt;I25,"Beat (above range)",IF(K25&gt;=H25,"In range","Miss")))</f>
        <v>Pending</v>
      </c>
      <c r="N25" s="6" t="s">
        <v>679</v>
      </c>
      <c r="O25" s="2"/>
    </row>
    <row r="26">
      <c r="A26" s="6" t="s">
        <v>685</v>
      </c>
      <c r="B26" s="24">
        <f>DATE(2026,9,16)</f>
        <v>46281</v>
      </c>
      <c r="C26" s="94" t="s">
        <v>678</v>
      </c>
      <c r="D26" s="28">
        <v>0.06</v>
      </c>
      <c r="E26" s="28">
        <v>0.06</v>
      </c>
      <c r="F26" s="6" t="s">
        <v>686</v>
      </c>
      <c r="G26" s="23">
        <f>'Income Statement'!D46</f>
        <v>4251</v>
      </c>
      <c r="H26" s="3">
        <f>IF(ISNUMBER(D26),G26*(1+D26),"n/a")</f>
        <v>4506.06</v>
      </c>
      <c r="I26" s="3">
        <f>G26*(1+E26)</f>
        <v>4506.06</v>
      </c>
      <c r="J26" s="3">
        <f>IF(ISNUMBER(H26),(H26+I26)/2,I26)</f>
        <v>4506.06</v>
      </c>
      <c r="K26" s="23">
        <f>'Income Statement'!I46</f>
        <v>4509.620398871233</v>
      </c>
      <c r="L26" s="3">
        <f>IF(ISNUMBER(K26),K26-J26,"n/a")</f>
        <v>3.560398871232792</v>
      </c>
      <c r="M26" s="118" t="str">
        <f>"3Q26E model: "&amp;IF(NOT(ISNUMBER(K26)),"Pending",IF(K26&gt;I26,"Above ~point guide",IF(K26&lt;I26,"Below ~point guide","At point guide")))</f>
        <v>3Q26E model: Above ~point guide</v>
      </c>
      <c r="N26" s="6" t="s">
        <v>687</v>
      </c>
      <c r="O26" s="2"/>
    </row>
    <row r="27">
      <c r="A27" s="6" t="s">
        <v>688</v>
      </c>
      <c r="B27" s="24">
        <f>DATE(2026,9,16)</f>
        <v>46281</v>
      </c>
      <c r="C27" s="94" t="s">
        <v>678</v>
      </c>
      <c r="D27" s="28">
        <v>0.14</v>
      </c>
      <c r="E27" s="28">
        <v>0.14</v>
      </c>
      <c r="F27" s="6" t="s">
        <v>689</v>
      </c>
      <c r="G27" s="23">
        <f>'Income Statement'!D118</f>
        <v>3085</v>
      </c>
      <c r="H27" s="3">
        <f>IF(ISNUMBER(D27),G27*(1+D27),"n/a")</f>
        <v>3516.9000000000005</v>
      </c>
      <c r="I27" s="3">
        <f>G27*(1+E27)</f>
        <v>3516.9000000000005</v>
      </c>
      <c r="J27" s="3">
        <f>IF(ISNUMBER(H27),(H27+I27)/2,I27)</f>
        <v>3516.9000000000005</v>
      </c>
      <c r="K27" s="23">
        <f>'Income Statement'!I118</f>
        <v>3509.8200129998786</v>
      </c>
      <c r="L27" s="3">
        <f>IF(ISNUMBER(K27),K27-J27,"n/a")</f>
        <v>-7.079987000121946</v>
      </c>
      <c r="M27" s="118" t="str">
        <f>"3Q26E model: "&amp;IF(NOT(ISNUMBER(K27)),"Pending",IF(K27&gt;I27,"Above ~point guide",IF(K27&lt;I27,"Below ~point guide","At point guide")))</f>
        <v>3Q26E model: Below ~point guide</v>
      </c>
      <c r="N27" s="6" t="s">
        <v>687</v>
      </c>
      <c r="O27" s="2"/>
    </row>
    <row r="28">
      <c r="A28" s="6" t="s">
        <v>690</v>
      </c>
      <c r="B28" s="24">
        <f>DATE(2026,9,16)</f>
        <v>46281</v>
      </c>
      <c r="C28" s="94" t="s">
        <v>678</v>
      </c>
      <c r="D28" s="28">
        <v>0.08</v>
      </c>
      <c r="E28" s="28">
        <v>0.08</v>
      </c>
      <c r="F28" s="6" t="s">
        <v>691</v>
      </c>
      <c r="G28" s="23">
        <f>'Income Statement'!D172</f>
        <v>4197</v>
      </c>
      <c r="H28" s="3">
        <f>IF(ISNUMBER(D28),G28*(1+D28),"n/a")</f>
        <v>4532.76</v>
      </c>
      <c r="I28" s="3">
        <f>G28*(1+E28)</f>
        <v>4532.76</v>
      </c>
      <c r="J28" s="3">
        <f>IF(ISNUMBER(H28),(H28+I28)/2,I28)</f>
        <v>4532.76</v>
      </c>
      <c r="K28" s="23">
        <f>'Income Statement'!I172</f>
        <v>4528.141</v>
      </c>
      <c r="L28" s="3">
        <f>IF(ISNUMBER(K28),K28-J28,"n/a")</f>
        <v>-4.619000000000597</v>
      </c>
      <c r="M28" s="118" t="str">
        <f>"3Q26E model: "&amp;IF(NOT(ISNUMBER(K28)),"Pending",IF(K28&lt;I28,"Below ~point guide",IF(K28&gt;I28,"Above ~point guide","At point guide")))</f>
        <v>3Q26E model: Below ~point guide</v>
      </c>
      <c r="N28" s="6" t="s">
        <v>687</v>
      </c>
      <c r="O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>
      <c r="A30" s="6" t="s">
        <v>692</v>
      </c>
      <c r="B30" s="2"/>
      <c r="C30" s="2"/>
      <c r="D30" s="2"/>
      <c r="E30" s="2"/>
      <c r="F30" s="2"/>
      <c r="G30" s="2"/>
      <c r="H30" s="2"/>
      <c r="I30" s="2"/>
      <c r="J30" s="2"/>
      <c r="K30" s="8">
        <v>84</v>
      </c>
      <c r="L30" s="2"/>
      <c r="M30" s="2"/>
      <c r="N30" s="2"/>
      <c r="O30" s="6" t="s">
        <v>693</v>
      </c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>
      <c r="A32" s="16" t="s">
        <v>694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>
      <c r="A33" s="6" t="s">
        <v>695</v>
      </c>
      <c r="B33" s="2"/>
      <c r="C33" s="2"/>
      <c r="D33" s="2"/>
      <c r="E33" s="2"/>
      <c r="F33" s="2"/>
      <c r="G33" s="2"/>
      <c r="H33" s="2"/>
      <c r="I33" s="2"/>
      <c r="J33" s="3">
        <f>J19+J20</f>
        <v>7949.6</v>
      </c>
      <c r="K33" s="2"/>
      <c r="L33" s="2"/>
      <c r="M33" s="2"/>
      <c r="N33" s="2"/>
      <c r="O33" s="2"/>
    </row>
    <row r="34">
      <c r="A34" s="6" t="s">
        <v>696</v>
      </c>
      <c r="B34" s="2"/>
      <c r="C34" s="2"/>
      <c r="D34" s="2"/>
      <c r="E34" s="2"/>
      <c r="F34" s="2"/>
      <c r="G34" s="2"/>
      <c r="H34" s="3">
        <f>H19+H20</f>
        <v>7876.24</v>
      </c>
      <c r="I34" s="3">
        <f>I19+I20</f>
        <v>8022.960000000001</v>
      </c>
      <c r="J34" s="2"/>
      <c r="K34" s="2"/>
      <c r="L34" s="2"/>
      <c r="M34" s="2"/>
      <c r="N34" s="2"/>
      <c r="O34" s="2"/>
    </row>
    <row r="35">
      <c r="A35" s="6" t="s">
        <v>697</v>
      </c>
      <c r="B35" s="2"/>
      <c r="C35" s="2"/>
      <c r="D35" s="2"/>
      <c r="E35" s="2"/>
      <c r="F35" s="2"/>
      <c r="G35" s="2"/>
      <c r="H35" s="2"/>
      <c r="I35" s="2"/>
      <c r="J35" s="3">
        <f>J26+J27</f>
        <v>8022.960000000001</v>
      </c>
      <c r="K35" s="2"/>
      <c r="L35" s="2"/>
      <c r="M35" s="2"/>
      <c r="N35" s="2"/>
      <c r="O35" s="2"/>
    </row>
    <row r="36">
      <c r="A36" s="6" t="s">
        <v>698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>
      <c r="A37" s="26" t="s">
        <v>699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2"/>
  <sheetViews>
    <sheetView showGridLines="0" workbookViewId="0"/>
  </sheetViews>
  <sheetFormatPr defaultColWidth="8.42578125" defaultRowHeight="15"/>
  <cols>
    <col min="1" max="1" width="18" customWidth="1"/>
    <col min="2" max="2" width="12" customWidth="1"/>
    <col min="3" max="3" width="44" customWidth="1"/>
    <col min="4" max="4" width="118" customWidth="1"/>
    <col min="5" max="5" width="72" customWidth="1"/>
    <col min="6" max="6" width="4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700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48" t="s">
        <v>701</v>
      </c>
      <c r="B5" s="40" t="s">
        <v>702</v>
      </c>
      <c r="C5" s="114" t="s">
        <v>703</v>
      </c>
      <c r="D5" s="114" t="s">
        <v>704</v>
      </c>
      <c r="E5" s="114" t="s">
        <v>705</v>
      </c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6" t="s">
        <v>706</v>
      </c>
      <c r="B6" s="24">
        <v>46306</v>
      </c>
      <c r="C6" s="6" t="s">
        <v>707</v>
      </c>
      <c r="D6" s="6" t="s">
        <v>708</v>
      </c>
      <c r="E6" s="6" t="s">
        <v>709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6" t="s">
        <v>710</v>
      </c>
      <c r="B7" s="24">
        <v>46306</v>
      </c>
      <c r="C7" s="6" t="s">
        <v>707</v>
      </c>
      <c r="D7" s="6" t="s">
        <v>711</v>
      </c>
      <c r="E7" s="6" t="s">
        <v>712</v>
      </c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6" t="s">
        <v>713</v>
      </c>
      <c r="B8" s="24">
        <v>46219</v>
      </c>
      <c r="C8" s="6" t="s">
        <v>5</v>
      </c>
      <c r="D8" s="6" t="s">
        <v>714</v>
      </c>
      <c r="E8" s="6" t="s">
        <v>715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6" t="s">
        <v>716</v>
      </c>
      <c r="B9" s="24">
        <v>46219</v>
      </c>
      <c r="C9" s="6" t="s">
        <v>717</v>
      </c>
      <c r="D9" s="6" t="s">
        <v>718</v>
      </c>
      <c r="E9" s="6" t="s">
        <v>719</v>
      </c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6" t="s">
        <v>720</v>
      </c>
      <c r="B10" s="24">
        <v>46128</v>
      </c>
      <c r="C10" s="6" t="s">
        <v>5</v>
      </c>
      <c r="D10" s="6" t="s">
        <v>721</v>
      </c>
      <c r="E10" s="6" t="s">
        <v>722</v>
      </c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6" t="s">
        <v>723</v>
      </c>
      <c r="B11" s="24">
        <v>46128</v>
      </c>
      <c r="C11" s="6" t="s">
        <v>717</v>
      </c>
      <c r="D11" s="6" t="s">
        <v>724</v>
      </c>
      <c r="E11" s="6" t="s">
        <v>725</v>
      </c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6" t="s">
        <v>726</v>
      </c>
      <c r="B12" s="24">
        <v>46240</v>
      </c>
      <c r="C12" s="6" t="s">
        <v>727</v>
      </c>
      <c r="D12" s="6" t="s">
        <v>728</v>
      </c>
      <c r="E12" s="6" t="s">
        <v>729</v>
      </c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6" t="s">
        <v>730</v>
      </c>
      <c r="B13" s="24">
        <v>46146</v>
      </c>
      <c r="C13" s="6" t="s">
        <v>731</v>
      </c>
      <c r="D13" s="6" t="s">
        <v>732</v>
      </c>
      <c r="E13" s="6" t="s">
        <v>733</v>
      </c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6" t="s">
        <v>734</v>
      </c>
      <c r="B14" s="24">
        <v>45965</v>
      </c>
      <c r="C14" s="6" t="s">
        <v>735</v>
      </c>
      <c r="D14" s="6" t="s">
        <v>736</v>
      </c>
      <c r="E14" s="6" t="s">
        <v>737</v>
      </c>
      <c r="F14" s="2"/>
      <c r="G14" s="2"/>
      <c r="H14" s="2"/>
      <c r="I14" s="2"/>
      <c r="J14" s="2"/>
      <c r="K14" s="2"/>
      <c r="L14" s="2"/>
      <c r="M14" s="2"/>
      <c r="N14" s="2"/>
      <c r="O14" s="2"/>
    </row>
    <row r="15">
      <c r="A15" s="6" t="s">
        <v>738</v>
      </c>
      <c r="B15" s="24">
        <v>46076</v>
      </c>
      <c r="C15" s="6" t="s">
        <v>739</v>
      </c>
      <c r="D15" s="6" t="s">
        <v>740</v>
      </c>
      <c r="E15" s="6" t="s">
        <v>741</v>
      </c>
      <c r="F15" s="2"/>
      <c r="G15" s="2"/>
      <c r="H15" s="2"/>
      <c r="I15" s="2"/>
      <c r="J15" s="2"/>
      <c r="K15" s="2"/>
      <c r="L15" s="2"/>
      <c r="M15" s="2"/>
      <c r="N15" s="2"/>
      <c r="O15" s="2"/>
    </row>
    <row r="16">
      <c r="A16" s="6" t="s">
        <v>742</v>
      </c>
      <c r="B16" s="24">
        <v>46076</v>
      </c>
      <c r="C16" s="6" t="s">
        <v>743</v>
      </c>
      <c r="D16" s="6" t="s">
        <v>744</v>
      </c>
      <c r="E16" s="6" t="s">
        <v>745</v>
      </c>
      <c r="F16" s="2"/>
      <c r="G16" s="2"/>
      <c r="H16" s="2"/>
      <c r="I16" s="2"/>
      <c r="J16" s="2"/>
      <c r="K16" s="2"/>
      <c r="L16" s="2"/>
      <c r="M16" s="2"/>
      <c r="N16" s="2"/>
      <c r="O16" s="2"/>
    </row>
    <row r="17">
      <c r="A17" s="6" t="s">
        <v>679</v>
      </c>
      <c r="B17" s="24">
        <v>46226</v>
      </c>
      <c r="C17" s="6" t="s">
        <v>746</v>
      </c>
      <c r="D17" s="6" t="s">
        <v>747</v>
      </c>
      <c r="E17" s="6" t="s">
        <v>748</v>
      </c>
      <c r="F17" s="2"/>
      <c r="G17" s="2"/>
      <c r="H17" s="2"/>
      <c r="I17" s="2"/>
      <c r="J17" s="2"/>
      <c r="K17" s="2"/>
      <c r="L17" s="2"/>
      <c r="M17" s="2"/>
      <c r="N17" s="2"/>
      <c r="O17" s="2"/>
    </row>
    <row r="18">
      <c r="A18" s="6" t="s">
        <v>687</v>
      </c>
      <c r="B18" s="24">
        <v>46281</v>
      </c>
      <c r="C18" s="6" t="s">
        <v>749</v>
      </c>
      <c r="D18" s="6" t="s">
        <v>750</v>
      </c>
      <c r="E18" s="6" t="s">
        <v>751</v>
      </c>
      <c r="F18" s="2"/>
      <c r="G18" s="2"/>
      <c r="H18" s="2"/>
      <c r="I18" s="2"/>
      <c r="J18" s="2"/>
      <c r="K18" s="2"/>
      <c r="L18" s="2"/>
      <c r="M18" s="2"/>
      <c r="N18" s="2"/>
      <c r="O18" s="2"/>
    </row>
    <row r="19">
      <c r="A19" s="6" t="s">
        <v>675</v>
      </c>
      <c r="B19" s="24">
        <v>46128</v>
      </c>
      <c r="C19" s="6" t="s">
        <v>752</v>
      </c>
      <c r="D19" s="6" t="s">
        <v>753</v>
      </c>
      <c r="E19" s="6" t="s">
        <v>754</v>
      </c>
      <c r="F19" s="2"/>
      <c r="G19" s="2"/>
      <c r="H19" s="2"/>
      <c r="I19" s="2"/>
      <c r="J19" s="2"/>
      <c r="K19" s="2"/>
      <c r="L19" s="2"/>
      <c r="M19" s="2"/>
      <c r="N19" s="2"/>
      <c r="O19" s="2"/>
    </row>
    <row r="20">
      <c r="A20" s="6" t="s">
        <v>670</v>
      </c>
      <c r="B20" s="24">
        <v>46042</v>
      </c>
      <c r="C20" s="6" t="s">
        <v>755</v>
      </c>
      <c r="D20" s="6" t="s">
        <v>756</v>
      </c>
      <c r="E20" s="6" t="s">
        <v>757</v>
      </c>
      <c r="F20" s="2"/>
      <c r="G20" s="2"/>
      <c r="H20" s="2"/>
      <c r="I20" s="2"/>
      <c r="J20" s="2"/>
      <c r="K20" s="2"/>
      <c r="L20" s="2"/>
      <c r="M20" s="2"/>
      <c r="N20" s="2"/>
      <c r="O20" s="2"/>
    </row>
    <row r="21">
      <c r="A21" s="6" t="s">
        <v>668</v>
      </c>
      <c r="B21" s="24">
        <v>45946</v>
      </c>
      <c r="C21" s="6" t="s">
        <v>758</v>
      </c>
      <c r="D21" s="6" t="s">
        <v>759</v>
      </c>
      <c r="E21" s="6" t="s">
        <v>760</v>
      </c>
      <c r="F21" s="2"/>
      <c r="G21" s="2"/>
      <c r="H21" s="2"/>
      <c r="I21" s="2"/>
      <c r="J21" s="2"/>
      <c r="K21" s="2"/>
      <c r="L21" s="2"/>
      <c r="M21" s="2"/>
      <c r="N21" s="2"/>
      <c r="O21" s="2"/>
    </row>
    <row r="22">
      <c r="A22" s="6" t="s">
        <v>662</v>
      </c>
      <c r="B22" s="24">
        <v>45855</v>
      </c>
      <c r="C22" s="6" t="s">
        <v>761</v>
      </c>
      <c r="D22" s="6" t="s">
        <v>762</v>
      </c>
      <c r="E22" s="6" t="s">
        <v>763</v>
      </c>
      <c r="F22" s="2"/>
      <c r="G22" s="2"/>
      <c r="H22" s="2"/>
      <c r="I22" s="2"/>
      <c r="J22" s="2"/>
      <c r="K22" s="2"/>
      <c r="L22" s="2"/>
      <c r="M22" s="2"/>
      <c r="N22" s="2"/>
      <c r="O22" s="2"/>
    </row>
    <row r="23">
      <c r="A23" s="6" t="s">
        <v>764</v>
      </c>
      <c r="B23" s="24">
        <v>46302</v>
      </c>
      <c r="C23" s="6" t="s">
        <v>765</v>
      </c>
      <c r="D23" s="6" t="s">
        <v>766</v>
      </c>
      <c r="E23" s="6" t="s">
        <v>767</v>
      </c>
      <c r="F23" s="2"/>
      <c r="G23" s="2"/>
      <c r="H23" s="2"/>
      <c r="I23" s="2"/>
      <c r="J23" s="2"/>
      <c r="K23" s="2"/>
      <c r="L23" s="2"/>
      <c r="M23" s="2"/>
      <c r="N23" s="2"/>
      <c r="O23" s="2"/>
    </row>
    <row r="24">
      <c r="A24" s="6" t="s">
        <v>768</v>
      </c>
      <c r="B24" s="24">
        <v>46303</v>
      </c>
      <c r="C24" s="6" t="s">
        <v>769</v>
      </c>
      <c r="D24" s="6" t="s">
        <v>770</v>
      </c>
      <c r="E24" s="6" t="s">
        <v>771</v>
      </c>
      <c r="F24" s="2"/>
      <c r="G24" s="2"/>
      <c r="H24" s="2"/>
      <c r="I24" s="2"/>
      <c r="J24" s="2"/>
      <c r="K24" s="2"/>
      <c r="L24" s="2"/>
      <c r="M24" s="2"/>
      <c r="N24" s="2"/>
      <c r="O24" s="2"/>
    </row>
    <row r="25">
      <c r="A25" s="6" t="s">
        <v>772</v>
      </c>
      <c r="B25" s="24">
        <v>46304</v>
      </c>
      <c r="C25" s="6" t="s">
        <v>773</v>
      </c>
      <c r="D25" s="6" t="s">
        <v>774</v>
      </c>
      <c r="E25" s="6" t="s">
        <v>775</v>
      </c>
      <c r="F25" s="2"/>
      <c r="G25" s="2"/>
      <c r="H25" s="2"/>
      <c r="I25" s="2"/>
      <c r="J25" s="2"/>
      <c r="K25" s="2"/>
      <c r="L25" s="2"/>
      <c r="M25" s="2"/>
      <c r="N25" s="2"/>
      <c r="O25" s="2"/>
    </row>
    <row r="26">
      <c r="A26" s="6" t="s">
        <v>776</v>
      </c>
      <c r="B26" s="24">
        <v>46303</v>
      </c>
      <c r="C26" s="6" t="s">
        <v>777</v>
      </c>
      <c r="D26" s="6" t="s">
        <v>778</v>
      </c>
      <c r="E26" s="6" t="s">
        <v>779</v>
      </c>
      <c r="F26" s="2"/>
      <c r="G26" s="2"/>
      <c r="H26" s="2"/>
      <c r="I26" s="2"/>
      <c r="J26" s="2"/>
      <c r="K26" s="2"/>
      <c r="L26" s="2"/>
      <c r="M26" s="2"/>
      <c r="N26" s="2"/>
      <c r="O26" s="2"/>
    </row>
    <row r="27">
      <c r="A27" s="6" t="s">
        <v>780</v>
      </c>
      <c r="B27" s="24">
        <v>46281</v>
      </c>
      <c r="C27" s="6" t="s">
        <v>781</v>
      </c>
      <c r="D27" s="6" t="s">
        <v>782</v>
      </c>
      <c r="E27" s="6" t="s">
        <v>783</v>
      </c>
      <c r="F27" s="2"/>
      <c r="G27" s="2"/>
      <c r="H27" s="2"/>
      <c r="I27" s="2"/>
      <c r="J27" s="2"/>
      <c r="K27" s="2"/>
      <c r="L27" s="2"/>
      <c r="M27" s="2"/>
      <c r="N27" s="2"/>
      <c r="O27" s="2"/>
    </row>
    <row r="28">
      <c r="A28" s="6" t="s">
        <v>784</v>
      </c>
      <c r="B28" s="24">
        <v>46295</v>
      </c>
      <c r="C28" s="6" t="s">
        <v>785</v>
      </c>
      <c r="D28" s="6" t="s">
        <v>786</v>
      </c>
      <c r="E28" s="6" t="s">
        <v>787</v>
      </c>
      <c r="F28" s="2"/>
      <c r="G28" s="2"/>
      <c r="H28" s="2"/>
      <c r="I28" s="2"/>
      <c r="J28" s="2"/>
      <c r="K28" s="2"/>
      <c r="L28" s="2"/>
      <c r="M28" s="2"/>
      <c r="N28" s="2"/>
      <c r="O28" s="2"/>
    </row>
    <row r="29">
      <c r="A29" s="6" t="s">
        <v>788</v>
      </c>
      <c r="B29" s="24">
        <v>46235</v>
      </c>
      <c r="C29" s="6" t="s">
        <v>789</v>
      </c>
      <c r="D29" s="6" t="s">
        <v>790</v>
      </c>
      <c r="E29" s="6" t="s">
        <v>791</v>
      </c>
      <c r="F29" s="2"/>
      <c r="G29" s="2"/>
      <c r="H29" s="2"/>
      <c r="I29" s="2"/>
      <c r="J29" s="2"/>
      <c r="K29" s="2"/>
      <c r="L29" s="2"/>
      <c r="M29" s="2"/>
      <c r="N29" s="2"/>
      <c r="O29" s="2"/>
    </row>
    <row r="30">
      <c r="A30" s="6" t="s">
        <v>792</v>
      </c>
      <c r="B30" s="24">
        <v>46042</v>
      </c>
      <c r="C30" s="6" t="s">
        <v>793</v>
      </c>
      <c r="D30" s="6" t="s">
        <v>794</v>
      </c>
      <c r="E30" s="6" t="s">
        <v>795</v>
      </c>
      <c r="F30" s="2"/>
      <c r="G30" s="2"/>
      <c r="H30" s="2"/>
      <c r="I30" s="2"/>
      <c r="J30" s="2"/>
      <c r="K30" s="2"/>
      <c r="L30" s="2"/>
      <c r="M30" s="2"/>
      <c r="N30" s="2"/>
      <c r="O30" s="2"/>
    </row>
    <row r="31">
      <c r="A31" s="6" t="s">
        <v>796</v>
      </c>
      <c r="B31" s="24">
        <v>46035</v>
      </c>
      <c r="C31" s="6" t="s">
        <v>717</v>
      </c>
      <c r="D31" s="6" t="s">
        <v>797</v>
      </c>
      <c r="E31" s="6" t="s">
        <v>798</v>
      </c>
      <c r="F31" s="2"/>
      <c r="G31" s="2"/>
      <c r="H31" s="2"/>
      <c r="I31" s="2"/>
      <c r="J31" s="2"/>
      <c r="K31" s="2"/>
      <c r="L31" s="2"/>
      <c r="M31" s="2"/>
      <c r="N31" s="2"/>
      <c r="O31" s="2"/>
    </row>
    <row r="32">
      <c r="A32" s="6" t="s">
        <v>799</v>
      </c>
      <c r="B32" s="24">
        <v>46300</v>
      </c>
      <c r="C32" s="6" t="s">
        <v>800</v>
      </c>
      <c r="D32" s="6" t="s">
        <v>801</v>
      </c>
      <c r="E32" s="6" t="s">
        <v>802</v>
      </c>
      <c r="F32" s="2"/>
      <c r="G32" s="2"/>
      <c r="H32" s="2"/>
      <c r="I32" s="2"/>
      <c r="J32" s="2"/>
      <c r="K32" s="2"/>
      <c r="L32" s="2"/>
      <c r="M32" s="2"/>
      <c r="N32" s="2"/>
      <c r="O32" s="2"/>
    </row>
    <row r="33">
      <c r="A33" s="6" t="s">
        <v>803</v>
      </c>
      <c r="B33" s="24">
        <v>46296</v>
      </c>
      <c r="C33" s="6" t="s">
        <v>804</v>
      </c>
      <c r="D33" s="6" t="s">
        <v>805</v>
      </c>
      <c r="E33" s="6" t="s">
        <v>806</v>
      </c>
      <c r="F33" s="2"/>
      <c r="G33" s="2"/>
      <c r="H33" s="2"/>
      <c r="I33" s="2"/>
      <c r="J33" s="2"/>
      <c r="K33" s="2"/>
      <c r="L33" s="2"/>
      <c r="M33" s="2"/>
      <c r="N33" s="2"/>
      <c r="O33" s="2"/>
    </row>
    <row r="34">
      <c r="A34" s="6" t="s">
        <v>807</v>
      </c>
      <c r="B34" s="24">
        <v>46303</v>
      </c>
      <c r="C34" s="6" t="s">
        <v>808</v>
      </c>
      <c r="D34" s="6" t="s">
        <v>809</v>
      </c>
      <c r="E34" s="6" t="s">
        <v>810</v>
      </c>
      <c r="F34" s="2"/>
      <c r="G34" s="2"/>
      <c r="H34" s="2"/>
      <c r="I34" s="2"/>
      <c r="J34" s="2"/>
      <c r="K34" s="2"/>
      <c r="L34" s="2"/>
      <c r="M34" s="2"/>
      <c r="N34" s="2"/>
      <c r="O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>
      <c r="A36" s="16" t="s">
        <v>811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>
      <c r="A37" s="6" t="s">
        <v>812</v>
      </c>
      <c r="B37" s="6" t="s">
        <v>813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>
      <c r="A38" s="6" t="s">
        <v>814</v>
      </c>
      <c r="B38" s="6" t="s">
        <v>815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>
      <c r="A39" s="6" t="s">
        <v>18</v>
      </c>
      <c r="B39" s="6" t="s">
        <v>816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>
      <c r="A40" s="6" t="s">
        <v>817</v>
      </c>
      <c r="B40" s="6" t="s">
        <v>818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O166"/>
  <sheetViews>
    <sheetView showGridLines="0" workbookViewId="0"/>
  </sheetViews>
  <sheetFormatPr defaultColWidth="8.42578125" defaultRowHeight="15"/>
  <cols>
    <col min="1" max="1" width="62" customWidth="1"/>
    <col min="2" max="2" width="16" customWidth="1"/>
    <col min="3" max="8" width="24" customWidth="1"/>
    <col min="9" max="9" width="33" customWidth="1"/>
    <col min="10" max="10" width="30" customWidth="1"/>
    <col min="11" max="11" width="60" customWidth="1"/>
  </cols>
  <sheetData>
    <row r="1">
      <c r="A1" s="3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6" t="s">
        <v>819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6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16" t="s">
        <v>820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6" t="s">
        <v>821</v>
      </c>
      <c r="B6" s="6" t="s">
        <v>822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6" t="s">
        <v>823</v>
      </c>
      <c r="B7" s="6" t="s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6" t="s">
        <v>824</v>
      </c>
      <c r="B8" s="6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6" t="s">
        <v>825</v>
      </c>
      <c r="B9" s="6" t="s">
        <v>826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6" t="s">
        <v>827</v>
      </c>
      <c r="B10" s="24">
        <v>46295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6" t="s">
        <v>828</v>
      </c>
      <c r="B11" s="24">
        <v>46306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6" t="s">
        <v>829</v>
      </c>
      <c r="B12" s="74">
        <v>15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6" t="s">
        <v>830</v>
      </c>
      <c r="B13" s="18">
        <v>1.33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6" t="s">
        <v>831</v>
      </c>
      <c r="B14" s="6" t="s">
        <v>832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>
      <c r="A15" s="6" t="s">
        <v>833</v>
      </c>
      <c r="B15" s="8">
        <v>8006.85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>
      <c r="A16" s="6" t="s">
        <v>834</v>
      </c>
      <c r="B16" s="6" t="s">
        <v>835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>
      <c r="A17" s="6" t="s">
        <v>836</v>
      </c>
      <c r="B17" s="6" t="s">
        <v>837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>
      <c r="A18" s="6" t="s">
        <v>838</v>
      </c>
      <c r="B18" s="6" t="s">
        <v>839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>
      <c r="A19" s="6" t="s">
        <v>840</v>
      </c>
      <c r="B19" s="6" t="s">
        <v>841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>
      <c r="A20" s="6" t="s">
        <v>842</v>
      </c>
      <c r="B20" s="6" t="s">
        <v>835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>
      <c r="A21" s="6" t="s">
        <v>843</v>
      </c>
      <c r="B21" s="6" t="s">
        <v>844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>
      <c r="A22" s="6" t="s">
        <v>845</v>
      </c>
      <c r="B22" s="6" t="s">
        <v>835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>
      <c r="A23" s="6" t="s">
        <v>846</v>
      </c>
      <c r="B23" s="6" t="s">
        <v>847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>
      <c r="A25" s="16" t="s">
        <v>848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>
      <c r="A26" s="6" t="s">
        <v>823</v>
      </c>
      <c r="B26" s="6" t="s">
        <v>7</v>
      </c>
      <c r="C26" s="7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>
      <c r="A27" s="6" t="s">
        <v>849</v>
      </c>
      <c r="B27" s="6" t="s">
        <v>5</v>
      </c>
      <c r="C27" s="7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>
      <c r="A28" s="6" t="s">
        <v>850</v>
      </c>
      <c r="B28" s="6" t="s">
        <v>851</v>
      </c>
      <c r="C28" s="7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>
      <c r="A29" s="6" t="s">
        <v>852</v>
      </c>
      <c r="B29" s="74">
        <v>305304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>
      <c r="A30" s="6" t="s">
        <v>853</v>
      </c>
      <c r="B30" s="6" t="s">
        <v>854</v>
      </c>
      <c r="C30" s="7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>
      <c r="A31" s="6" t="s">
        <v>855</v>
      </c>
      <c r="B31" s="70"/>
      <c r="C31" s="6" t="s">
        <v>856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>
      <c r="A32" s="6" t="s">
        <v>857</v>
      </c>
      <c r="B32" s="6" t="s">
        <v>826</v>
      </c>
      <c r="C32" s="70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>
      <c r="A33" s="6" t="s">
        <v>858</v>
      </c>
      <c r="B33" s="24">
        <v>46295</v>
      </c>
      <c r="C33" s="70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>
      <c r="A34" s="6" t="s">
        <v>859</v>
      </c>
      <c r="B34" s="24">
        <v>46310</v>
      </c>
      <c r="C34" s="70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>
      <c r="A35" s="6" t="s">
        <v>860</v>
      </c>
      <c r="B35" s="6" t="s">
        <v>861</v>
      </c>
      <c r="C35" s="70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>
      <c r="A36" s="6" t="s">
        <v>862</v>
      </c>
      <c r="B36" s="74">
        <v>24</v>
      </c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>
      <c r="A37" s="6" t="s">
        <v>863</v>
      </c>
      <c r="B37" s="18">
        <v>1.33</v>
      </c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>
      <c r="A38" s="6" t="s">
        <v>864</v>
      </c>
      <c r="B38" s="18">
        <v>1.33</v>
      </c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>
      <c r="A39" s="6" t="s">
        <v>865</v>
      </c>
      <c r="B39" s="18">
        <v>1.41</v>
      </c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>
      <c r="A40" s="6" t="s">
        <v>866</v>
      </c>
      <c r="B40" s="18">
        <v>1.25</v>
      </c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>
      <c r="A41" s="6" t="s">
        <v>867</v>
      </c>
      <c r="B41" s="18">
        <v>0.04</v>
      </c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>
      <c r="A42" s="6" t="s">
        <v>868</v>
      </c>
      <c r="B42" s="74">
        <v>15</v>
      </c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>
      <c r="A43" s="6" t="s">
        <v>869</v>
      </c>
      <c r="B43" s="70"/>
      <c r="C43" s="6" t="s">
        <v>856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>
      <c r="A44" s="6" t="s">
        <v>870</v>
      </c>
      <c r="B44" s="70"/>
      <c r="C44" s="6" t="s">
        <v>856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>
      <c r="A45" s="6" t="s">
        <v>871</v>
      </c>
      <c r="B45" s="70"/>
      <c r="C45" s="6" t="s">
        <v>856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>
      <c r="A46" s="6" t="s">
        <v>872</v>
      </c>
      <c r="B46" s="18">
        <v>1.32</v>
      </c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>
      <c r="A47" s="6" t="s">
        <v>873</v>
      </c>
      <c r="B47" s="18">
        <v>1.31</v>
      </c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>
      <c r="A48" s="6" t="s">
        <v>874</v>
      </c>
      <c r="B48" s="18">
        <v>1.38</v>
      </c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>
      <c r="A49" s="6" t="s">
        <v>875</v>
      </c>
      <c r="B49" s="18">
        <v>1.24</v>
      </c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>
      <c r="A50" s="6" t="s">
        <v>876</v>
      </c>
      <c r="B50" s="18">
        <v>0.03</v>
      </c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>
      <c r="A51" s="6" t="s">
        <v>877</v>
      </c>
      <c r="B51" s="74">
        <v>19</v>
      </c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>
      <c r="A52" s="6" t="s">
        <v>878</v>
      </c>
      <c r="B52" s="70"/>
      <c r="C52" s="6" t="s">
        <v>856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>
      <c r="A53" s="6" t="s">
        <v>879</v>
      </c>
      <c r="B53" s="8">
        <v>8006.85</v>
      </c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>
      <c r="A54" s="6" t="s">
        <v>880</v>
      </c>
      <c r="B54" s="8">
        <v>8012</v>
      </c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>
      <c r="A55" s="6" t="s">
        <v>881</v>
      </c>
      <c r="B55" s="8">
        <v>8048</v>
      </c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>
      <c r="A56" s="6" t="s">
        <v>882</v>
      </c>
      <c r="B56" s="8">
        <v>7866</v>
      </c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>
      <c r="A57" s="6" t="s">
        <v>883</v>
      </c>
      <c r="B57" s="8">
        <v>43.88</v>
      </c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>
      <c r="A58" s="6" t="s">
        <v>884</v>
      </c>
      <c r="B58" s="74">
        <v>13</v>
      </c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>
      <c r="A59" s="6" t="s">
        <v>885</v>
      </c>
      <c r="B59" s="70"/>
      <c r="C59" s="6" t="s">
        <v>856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>
      <c r="A60" s="6" t="s">
        <v>886</v>
      </c>
      <c r="B60" s="70"/>
      <c r="C60" s="6" t="s">
        <v>856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>
      <c r="A61" s="6" t="s">
        <v>887</v>
      </c>
      <c r="B61" s="70"/>
      <c r="C61" s="6" t="s">
        <v>856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>
      <c r="A62" s="6" t="s">
        <v>888</v>
      </c>
      <c r="B62" s="70"/>
      <c r="C62" s="6" t="s">
        <v>856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>
      <c r="A63" s="6" t="s">
        <v>889</v>
      </c>
      <c r="B63" s="8">
        <v>3476.29</v>
      </c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>
      <c r="A64" s="6" t="s">
        <v>890</v>
      </c>
      <c r="B64" s="8">
        <v>2723.74</v>
      </c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>
      <c r="A65" s="6" t="s">
        <v>891</v>
      </c>
      <c r="B65" s="8">
        <v>2717.04</v>
      </c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>
      <c r="A66" s="6" t="s">
        <v>892</v>
      </c>
      <c r="B66" s="8">
        <v>2086.87</v>
      </c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>
      <c r="A67" s="6" t="s">
        <v>893</v>
      </c>
      <c r="B67" s="8">
        <v>2062.14</v>
      </c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>
      <c r="A68" s="6" t="s">
        <v>894</v>
      </c>
      <c r="B68" s="8">
        <v>2.82</v>
      </c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>
      <c r="A69" s="6" t="s">
        <v>895</v>
      </c>
      <c r="B69" s="8">
        <v>20.56</v>
      </c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>
      <c r="A70" s="6" t="s">
        <v>896</v>
      </c>
      <c r="B70" s="70"/>
      <c r="C70" s="6" t="s">
        <v>856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>
      <c r="A71" s="6" t="s">
        <v>897</v>
      </c>
      <c r="B71" s="70"/>
      <c r="C71" s="6" t="s">
        <v>856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>
      <c r="A72" s="6" t="s">
        <v>898</v>
      </c>
      <c r="B72" s="70"/>
      <c r="C72" s="6" t="s">
        <v>856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>
      <c r="A73" s="6" t="s">
        <v>899</v>
      </c>
      <c r="B73" s="70"/>
      <c r="C73" s="6" t="s">
        <v>856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>
      <c r="A74" s="6" t="s">
        <v>900</v>
      </c>
      <c r="B74" s="70"/>
      <c r="C74" s="6" t="s">
        <v>856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>
      <c r="A75" s="6" t="s">
        <v>901</v>
      </c>
      <c r="B75" s="70"/>
      <c r="C75" s="6" t="s">
        <v>856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>
      <c r="A76" s="6" t="s">
        <v>902</v>
      </c>
      <c r="B76" s="70"/>
      <c r="C76" s="6" t="s">
        <v>856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>
      <c r="A77" s="6" t="s">
        <v>903</v>
      </c>
      <c r="B77" s="70"/>
      <c r="C77" s="6" t="s">
        <v>856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>
      <c r="A78" s="6" t="s">
        <v>904</v>
      </c>
      <c r="B78" s="70"/>
      <c r="C78" s="6" t="s">
        <v>856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>
      <c r="A79" s="6" t="s">
        <v>905</v>
      </c>
      <c r="B79" s="8">
        <v>47220.2</v>
      </c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>
      <c r="A80" s="6" t="s">
        <v>906</v>
      </c>
      <c r="B80" s="70"/>
      <c r="C80" s="6" t="s">
        <v>856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>
      <c r="A81" s="6" t="s">
        <v>907</v>
      </c>
      <c r="B81" s="8">
        <v>13.18</v>
      </c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>
      <c r="A82" s="6" t="s">
        <v>908</v>
      </c>
      <c r="B82" s="18">
        <v>69</v>
      </c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>
      <c r="A83" s="6" t="s">
        <v>909</v>
      </c>
      <c r="B83" s="18">
        <v>68</v>
      </c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>
      <c r="A84" s="6" t="s">
        <v>910</v>
      </c>
      <c r="B84" s="18">
        <v>76</v>
      </c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>
      <c r="A85" s="6" t="s">
        <v>911</v>
      </c>
      <c r="B85" s="18">
        <v>64</v>
      </c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>
      <c r="A86" s="6" t="s">
        <v>912</v>
      </c>
      <c r="B86" s="18">
        <v>3.66</v>
      </c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>
      <c r="A87" s="6" t="s">
        <v>913</v>
      </c>
      <c r="B87" s="74">
        <v>22</v>
      </c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>
      <c r="A88" s="6" t="s">
        <v>914</v>
      </c>
      <c r="B88" s="6" t="s">
        <v>915</v>
      </c>
      <c r="C88" s="7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>
      <c r="A89" s="6" t="s">
        <v>916</v>
      </c>
      <c r="B89" s="8">
        <v>1.79</v>
      </c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>
      <c r="A90" s="6" t="s">
        <v>917</v>
      </c>
      <c r="B90" s="18">
        <v>57.08</v>
      </c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>
      <c r="A91" s="6" t="s">
        <v>918</v>
      </c>
      <c r="B91" s="6" t="s">
        <v>919</v>
      </c>
      <c r="C91" s="7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>
      <c r="A92" s="6" t="s">
        <v>834</v>
      </c>
      <c r="B92" s="6" t="s">
        <v>835</v>
      </c>
      <c r="C92" s="7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>
      <c r="A93" s="6" t="s">
        <v>920</v>
      </c>
      <c r="B93" s="6" t="s">
        <v>841</v>
      </c>
      <c r="C93" s="7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>
      <c r="A94" s="6" t="s">
        <v>921</v>
      </c>
      <c r="B94" s="24">
        <v>46306</v>
      </c>
      <c r="C94" s="7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>
      <c r="A95" s="6" t="s">
        <v>922</v>
      </c>
      <c r="B95" s="70"/>
      <c r="C95" s="6" t="s">
        <v>856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>
      <c r="A96" s="6" t="s">
        <v>923</v>
      </c>
      <c r="B96" s="6" t="s">
        <v>924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>
      <c r="A98" s="16" t="s">
        <v>925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>
      <c r="A99" s="123" t="s">
        <v>827</v>
      </c>
      <c r="B99" s="40" t="s">
        <v>926</v>
      </c>
      <c r="C99" s="40" t="s">
        <v>927</v>
      </c>
      <c r="D99" s="40" t="s">
        <v>928</v>
      </c>
      <c r="E99" s="40" t="s">
        <v>929</v>
      </c>
      <c r="F99" s="40" t="s">
        <v>930</v>
      </c>
      <c r="G99" s="40" t="s">
        <v>931</v>
      </c>
      <c r="H99" s="40" t="s">
        <v>932</v>
      </c>
      <c r="I99" s="107" t="s">
        <v>933</v>
      </c>
      <c r="J99" s="107" t="s">
        <v>934</v>
      </c>
      <c r="K99" s="2"/>
      <c r="L99" s="2"/>
      <c r="M99" s="2"/>
      <c r="N99" s="2"/>
      <c r="O99" s="2"/>
    </row>
    <row r="100">
      <c r="A100" s="121">
        <v>45747</v>
      </c>
      <c r="B100" s="24">
        <v>45763</v>
      </c>
      <c r="C100" s="18">
        <v>0.97</v>
      </c>
      <c r="D100" s="18">
        <v>1.03</v>
      </c>
      <c r="E100" s="18">
        <v>0.98</v>
      </c>
      <c r="F100" s="18">
        <v>1.03</v>
      </c>
      <c r="G100" s="8">
        <v>6906.15</v>
      </c>
      <c r="H100" s="8">
        <v>6958</v>
      </c>
      <c r="I100" s="71">
        <f>IF(D100&gt;C100,1,0)</f>
        <v>1</v>
      </c>
      <c r="J100" s="7">
        <f>D100-C100</f>
        <v>0.06000000000000005</v>
      </c>
      <c r="K100" s="2"/>
      <c r="L100" s="2"/>
      <c r="M100" s="2"/>
      <c r="N100" s="2"/>
      <c r="O100" s="2"/>
    </row>
    <row r="101">
      <c r="A101" s="121">
        <v>45838</v>
      </c>
      <c r="B101" s="24">
        <v>45855</v>
      </c>
      <c r="C101" s="18">
        <v>1.07</v>
      </c>
      <c r="D101" s="18">
        <v>1.11</v>
      </c>
      <c r="E101" s="18">
        <v>1.07</v>
      </c>
      <c r="F101" s="18">
        <v>1.11</v>
      </c>
      <c r="G101" s="8">
        <v>7054.79</v>
      </c>
      <c r="H101" s="8">
        <v>7004</v>
      </c>
      <c r="I101" s="71">
        <f>IF(D101&gt;C101,1,0)</f>
        <v>1</v>
      </c>
      <c r="J101" s="7">
        <f>D101-C101</f>
        <v>0.040000000000000036</v>
      </c>
      <c r="K101" s="2"/>
      <c r="L101" s="2"/>
      <c r="M101" s="2"/>
      <c r="N101" s="2"/>
      <c r="O101" s="2"/>
    </row>
    <row r="102">
      <c r="A102" s="121">
        <v>45930</v>
      </c>
      <c r="B102" s="24">
        <v>45946</v>
      </c>
      <c r="C102" s="18">
        <v>1.12</v>
      </c>
      <c r="D102" s="18">
        <v>1.22</v>
      </c>
      <c r="E102" s="18">
        <v>1.12</v>
      </c>
      <c r="F102" s="18">
        <v>1.22</v>
      </c>
      <c r="G102" s="8">
        <v>7177.94</v>
      </c>
      <c r="H102" s="8">
        <v>7329</v>
      </c>
      <c r="I102" s="71">
        <f>IF(D102&gt;C102,1,0)</f>
        <v>1</v>
      </c>
      <c r="J102" s="7">
        <f>D102-C102</f>
        <v>0.09999999999999987</v>
      </c>
      <c r="K102" s="2"/>
      <c r="L102" s="2"/>
      <c r="M102" s="2"/>
      <c r="N102" s="2"/>
      <c r="O102" s="2"/>
    </row>
    <row r="103">
      <c r="A103" s="121">
        <v>46022</v>
      </c>
      <c r="B103" s="24">
        <v>46042</v>
      </c>
      <c r="C103" s="18">
        <v>1.19</v>
      </c>
      <c r="D103" s="18">
        <v>1.26</v>
      </c>
      <c r="E103" s="18">
        <v>1.19</v>
      </c>
      <c r="F103" s="18">
        <v>1.26</v>
      </c>
      <c r="G103" s="8">
        <v>7319.94</v>
      </c>
      <c r="H103" s="8">
        <v>7365</v>
      </c>
      <c r="I103" s="71">
        <f>IF(D103&gt;C103,1,0)</f>
        <v>1</v>
      </c>
      <c r="J103" s="7">
        <f>D103-C103</f>
        <v>0.07000000000000006</v>
      </c>
      <c r="K103" s="2"/>
      <c r="L103" s="2"/>
      <c r="M103" s="2"/>
      <c r="N103" s="2"/>
      <c r="O103" s="2"/>
    </row>
    <row r="104">
      <c r="A104" s="121">
        <v>46112</v>
      </c>
      <c r="B104" s="24">
        <v>46128</v>
      </c>
      <c r="C104" s="18">
        <v>1.14</v>
      </c>
      <c r="D104" s="18">
        <v>1.2</v>
      </c>
      <c r="E104" s="18">
        <v>1.14</v>
      </c>
      <c r="F104" s="18">
        <v>1.18</v>
      </c>
      <c r="G104" s="8">
        <v>7286.5</v>
      </c>
      <c r="H104" s="8">
        <v>7288</v>
      </c>
      <c r="I104" s="71">
        <f>IF(D104&gt;C104,1,0)</f>
        <v>1</v>
      </c>
      <c r="J104" s="7">
        <f>D104-C104</f>
        <v>0.06000000000000005</v>
      </c>
      <c r="K104" s="2"/>
      <c r="L104" s="2"/>
      <c r="M104" s="2"/>
      <c r="N104" s="2"/>
      <c r="O104" s="2"/>
    </row>
    <row r="105">
      <c r="A105" s="121">
        <v>46203</v>
      </c>
      <c r="B105" s="24">
        <v>46219</v>
      </c>
      <c r="C105" s="18">
        <v>1.28</v>
      </c>
      <c r="D105" s="18">
        <v>1.37</v>
      </c>
      <c r="E105" s="18">
        <v>1.28</v>
      </c>
      <c r="F105" s="18">
        <v>1.35</v>
      </c>
      <c r="G105" s="8">
        <v>7609.56</v>
      </c>
      <c r="H105" s="8">
        <v>7712</v>
      </c>
      <c r="I105" s="71">
        <f>IF(D105&gt;C105,1,0)</f>
        <v>1</v>
      </c>
      <c r="J105" s="7">
        <f>D105-C105</f>
        <v>0.09000000000000008</v>
      </c>
      <c r="K105" s="2"/>
      <c r="L105" s="2"/>
      <c r="M105" s="2"/>
      <c r="N105" s="2"/>
      <c r="O105" s="2"/>
    </row>
    <row r="106">
      <c r="A106" s="26" t="s">
        <v>935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>
      <c r="A108" s="16" t="s">
        <v>936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>
      <c r="A109" s="6" t="s">
        <v>937</v>
      </c>
      <c r="B109" s="8">
        <v>88930</v>
      </c>
      <c r="C109" s="2"/>
      <c r="D109" s="2"/>
      <c r="E109" s="2"/>
      <c r="F109" s="2"/>
      <c r="G109" s="2"/>
      <c r="H109" s="2"/>
      <c r="I109" s="2"/>
      <c r="J109" s="2"/>
      <c r="K109" s="6" t="s">
        <v>938</v>
      </c>
      <c r="L109" s="2"/>
      <c r="M109" s="2"/>
      <c r="N109" s="2"/>
      <c r="O109" s="2"/>
    </row>
    <row r="110">
      <c r="A110" s="6" t="s">
        <v>939</v>
      </c>
      <c r="B110" s="131" t="str">
        <f>IF(B109&gt;10000,"large",IF(B109&gt;=2000,"mid","small"))</f>
        <v>large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>
      <c r="A111" s="6" t="s">
        <v>940</v>
      </c>
      <c r="B111" s="131" t="str">
        <f>B30</f>
        <v>Y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>
      <c r="A112" s="26" t="s">
        <v>941</v>
      </c>
      <c r="B112" s="88">
        <f>IF(OR(B110="large",B111="Y"),0.78,IF(B110="mid",0.70,0.60))</f>
        <v>0.78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>
      <c r="A113" s="6" t="s">
        <v>942</v>
      </c>
      <c r="B113" s="71">
        <f>SUM(I100:I105)</f>
        <v>6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>
      <c r="A114" s="6" t="s">
        <v>943</v>
      </c>
      <c r="B114" s="71">
        <f>COUNT(D100:D105)</f>
        <v>6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>
      <c r="A115" s="6" t="s">
        <v>944</v>
      </c>
      <c r="B115" s="74">
        <v>8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>
      <c r="A116" s="26" t="s">
        <v>945</v>
      </c>
      <c r="B116" s="12">
        <f>(B115*B112+B113)/(B115+B114)</f>
        <v>0.8742857142857143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>
      <c r="A117" s="26" t="s">
        <v>946</v>
      </c>
      <c r="B117" s="65">
        <v>-0.17</v>
      </c>
      <c r="C117" s="2"/>
      <c r="D117" s="2"/>
      <c r="E117" s="2"/>
      <c r="F117" s="2"/>
      <c r="G117" s="2"/>
      <c r="H117" s="2"/>
      <c r="I117" s="2"/>
      <c r="J117" s="2"/>
      <c r="K117" s="6" t="s">
        <v>947</v>
      </c>
      <c r="L117" s="2"/>
      <c r="M117" s="2"/>
      <c r="N117" s="2"/>
      <c r="O117" s="2"/>
    </row>
    <row r="118">
      <c r="A118" s="66" t="s">
        <v>948</v>
      </c>
      <c r="B118" s="86">
        <f>B116+B117</f>
        <v>0.7042857142857143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>
      <c r="A119" s="16" t="s">
        <v>46</v>
      </c>
      <c r="B119" s="16" t="s">
        <v>949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>
      <c r="A121" s="16" t="s">
        <v>950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>
      <c r="A122" s="6" t="s">
        <v>951</v>
      </c>
      <c r="B122" s="18">
        <v>1.33</v>
      </c>
      <c r="C122" s="8">
        <v>8010</v>
      </c>
      <c r="D122" s="6" t="s">
        <v>768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>
      <c r="A123" s="6" t="s">
        <v>952</v>
      </c>
      <c r="B123" s="18">
        <v>1.32</v>
      </c>
      <c r="C123" s="8">
        <v>7991.9</v>
      </c>
      <c r="D123" s="6" t="s">
        <v>807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>
      <c r="A124" s="6" t="s">
        <v>953</v>
      </c>
      <c r="B124" s="18">
        <v>1.32</v>
      </c>
      <c r="C124" s="8">
        <v>8000</v>
      </c>
      <c r="D124" s="6" t="s">
        <v>764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>
      <c r="A125" s="6" t="s">
        <v>954</v>
      </c>
      <c r="B125" s="18">
        <v>1.36</v>
      </c>
      <c r="C125" s="2"/>
      <c r="D125" s="6" t="s">
        <v>764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>
      <c r="A127" s="16" t="s">
        <v>955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>
      <c r="A128" s="48" t="s">
        <v>956</v>
      </c>
      <c r="B128" s="40" t="s">
        <v>957</v>
      </c>
      <c r="C128" s="40" t="s">
        <v>958</v>
      </c>
      <c r="D128" s="40" t="s">
        <v>959</v>
      </c>
      <c r="E128" s="40" t="s">
        <v>960</v>
      </c>
      <c r="F128" s="40" t="s">
        <v>961</v>
      </c>
      <c r="G128" s="40" t="s">
        <v>962</v>
      </c>
      <c r="H128" s="114" t="s">
        <v>659</v>
      </c>
      <c r="I128" s="2"/>
      <c r="J128" s="2"/>
      <c r="K128" s="2"/>
      <c r="L128" s="2"/>
      <c r="M128" s="2"/>
      <c r="N128" s="2"/>
      <c r="O128" s="2"/>
    </row>
    <row r="129">
      <c r="A129" s="26" t="s">
        <v>963</v>
      </c>
      <c r="B129" s="97" t="s">
        <v>964</v>
      </c>
      <c r="C129" s="97" t="s">
        <v>965</v>
      </c>
      <c r="D129" s="97" t="s">
        <v>966</v>
      </c>
      <c r="E129" s="97" t="s">
        <v>967</v>
      </c>
      <c r="F129" s="97" t="s">
        <v>964</v>
      </c>
      <c r="G129" s="97" t="s">
        <v>965</v>
      </c>
      <c r="H129" s="2"/>
      <c r="I129" s="2"/>
      <c r="J129" s="2"/>
      <c r="K129" s="2"/>
      <c r="L129" s="2"/>
      <c r="M129" s="2"/>
      <c r="N129" s="2"/>
      <c r="O129" s="2"/>
    </row>
    <row r="130">
      <c r="A130" s="6" t="s">
        <v>247</v>
      </c>
      <c r="B130" s="8">
        <v>1709</v>
      </c>
      <c r="C130" s="8">
        <v>3524</v>
      </c>
      <c r="D130" s="8">
        <v>5525</v>
      </c>
      <c r="E130" s="8">
        <v>7570</v>
      </c>
      <c r="F130" s="8">
        <v>1945</v>
      </c>
      <c r="G130" s="8">
        <v>4122</v>
      </c>
      <c r="H130" s="72" t="s">
        <v>968</v>
      </c>
      <c r="I130" s="2"/>
      <c r="J130" s="2"/>
      <c r="K130" s="2"/>
      <c r="L130" s="2"/>
      <c r="M130" s="2"/>
      <c r="N130" s="2"/>
      <c r="O130" s="2"/>
    </row>
    <row r="131">
      <c r="A131" s="6" t="s">
        <v>243</v>
      </c>
      <c r="B131" s="8">
        <v>537</v>
      </c>
      <c r="C131" s="8">
        <v>1038</v>
      </c>
      <c r="D131" s="8">
        <v>1609</v>
      </c>
      <c r="E131" s="8">
        <v>2186</v>
      </c>
      <c r="F131" s="8">
        <v>576</v>
      </c>
      <c r="G131" s="8">
        <v>1114</v>
      </c>
      <c r="H131" s="72" t="s">
        <v>968</v>
      </c>
      <c r="I131" s="2"/>
      <c r="J131" s="2"/>
      <c r="K131" s="2"/>
      <c r="L131" s="2"/>
      <c r="M131" s="2"/>
      <c r="N131" s="2"/>
      <c r="O131" s="2"/>
    </row>
    <row r="132">
      <c r="A132" s="6" t="s">
        <v>555</v>
      </c>
      <c r="B132" s="8">
        <v>92</v>
      </c>
      <c r="C132" s="8">
        <v>185</v>
      </c>
      <c r="D132" s="8">
        <v>276</v>
      </c>
      <c r="E132" s="8">
        <v>377</v>
      </c>
      <c r="F132" s="8">
        <v>94</v>
      </c>
      <c r="G132" s="8">
        <v>189</v>
      </c>
      <c r="H132" s="72" t="s">
        <v>968</v>
      </c>
      <c r="I132" s="2"/>
      <c r="J132" s="2"/>
      <c r="K132" s="2"/>
      <c r="L132" s="2"/>
      <c r="M132" s="2"/>
      <c r="N132" s="2"/>
      <c r="O132" s="2"/>
    </row>
    <row r="133">
      <c r="A133" s="6" t="s">
        <v>557</v>
      </c>
      <c r="B133" s="8">
        <v>123</v>
      </c>
      <c r="C133" s="8">
        <v>247</v>
      </c>
      <c r="D133" s="8">
        <v>372</v>
      </c>
      <c r="E133" s="8">
        <v>498</v>
      </c>
      <c r="F133" s="8">
        <v>110</v>
      </c>
      <c r="G133" s="8">
        <v>224</v>
      </c>
      <c r="H133" s="72" t="s">
        <v>968</v>
      </c>
      <c r="I133" s="2"/>
      <c r="J133" s="2"/>
      <c r="K133" s="2"/>
      <c r="L133" s="2"/>
      <c r="M133" s="2"/>
      <c r="N133" s="2"/>
      <c r="O133" s="2"/>
    </row>
    <row r="134">
      <c r="A134" s="6" t="s">
        <v>558</v>
      </c>
      <c r="B134" s="8">
        <v>-44</v>
      </c>
      <c r="C134" s="8">
        <v>-108</v>
      </c>
      <c r="D134" s="8">
        <v>-186</v>
      </c>
      <c r="E134" s="8">
        <v>-257</v>
      </c>
      <c r="F134" s="8">
        <v>-49</v>
      </c>
      <c r="G134" s="8">
        <v>-74</v>
      </c>
      <c r="H134" s="72" t="s">
        <v>968</v>
      </c>
      <c r="I134" s="2"/>
      <c r="J134" s="2"/>
      <c r="K134" s="2"/>
      <c r="L134" s="2"/>
      <c r="M134" s="2"/>
      <c r="N134" s="2"/>
      <c r="O134" s="2"/>
    </row>
    <row r="135">
      <c r="A135" s="6" t="s">
        <v>561</v>
      </c>
      <c r="B135" s="8">
        <v>-28</v>
      </c>
      <c r="C135" s="8">
        <v>15</v>
      </c>
      <c r="D135" s="8">
        <v>14</v>
      </c>
      <c r="E135" s="8">
        <v>1</v>
      </c>
      <c r="F135" s="8">
        <v>27</v>
      </c>
      <c r="G135" s="8">
        <v>70</v>
      </c>
      <c r="H135" s="72" t="s">
        <v>968</v>
      </c>
      <c r="I135" s="2"/>
      <c r="J135" s="2"/>
      <c r="K135" s="2"/>
      <c r="L135" s="2"/>
      <c r="M135" s="2"/>
      <c r="N135" s="2"/>
      <c r="O135" s="2"/>
    </row>
    <row r="136">
      <c r="A136" s="6" t="s">
        <v>562</v>
      </c>
      <c r="B136" s="8">
        <v>-4185</v>
      </c>
      <c r="C136" s="8">
        <v>-9847</v>
      </c>
      <c r="D136" s="8">
        <v>-15532</v>
      </c>
      <c r="E136" s="8">
        <v>-22116</v>
      </c>
      <c r="F136" s="8">
        <v>-5350</v>
      </c>
      <c r="G136" s="8">
        <v>-11316</v>
      </c>
      <c r="H136" s="72" t="s">
        <v>968</v>
      </c>
      <c r="I136" s="2"/>
      <c r="J136" s="2"/>
      <c r="K136" s="2"/>
      <c r="L136" s="2"/>
      <c r="M136" s="2"/>
      <c r="N136" s="2"/>
      <c r="O136" s="2"/>
    </row>
    <row r="137">
      <c r="A137" s="6" t="s">
        <v>564</v>
      </c>
      <c r="B137" s="8">
        <v>4705</v>
      </c>
      <c r="C137" s="8">
        <v>9839</v>
      </c>
      <c r="D137" s="8">
        <v>15523</v>
      </c>
      <c r="E137" s="8">
        <v>22019</v>
      </c>
      <c r="F137" s="8">
        <v>4937</v>
      </c>
      <c r="G137" s="8">
        <v>10729</v>
      </c>
      <c r="H137" s="72" t="s">
        <v>968</v>
      </c>
      <c r="I137" s="2"/>
      <c r="J137" s="2"/>
      <c r="K137" s="2"/>
      <c r="L137" s="2"/>
      <c r="M137" s="2"/>
      <c r="N137" s="2"/>
      <c r="O137" s="2"/>
    </row>
    <row r="138">
      <c r="A138" s="6" t="s">
        <v>565</v>
      </c>
      <c r="B138" s="8">
        <v>-3217</v>
      </c>
      <c r="C138" s="8">
        <v>-3288</v>
      </c>
      <c r="D138" s="8">
        <v>-2467</v>
      </c>
      <c r="E138" s="8">
        <v>-2308</v>
      </c>
      <c r="F138" s="8">
        <v>-950</v>
      </c>
      <c r="G138" s="8">
        <v>1102</v>
      </c>
      <c r="H138" s="72" t="s">
        <v>968</v>
      </c>
      <c r="I138" s="2"/>
      <c r="J138" s="2"/>
      <c r="K138" s="2"/>
      <c r="L138" s="2"/>
      <c r="M138" s="2"/>
      <c r="N138" s="2"/>
      <c r="O138" s="2"/>
    </row>
    <row r="139">
      <c r="A139" s="6" t="s">
        <v>569</v>
      </c>
      <c r="B139" s="8">
        <v>1011</v>
      </c>
      <c r="C139" s="8">
        <v>3525</v>
      </c>
      <c r="D139" s="8">
        <v>5608</v>
      </c>
      <c r="E139" s="8">
        <v>7118</v>
      </c>
      <c r="F139" s="8">
        <v>3104</v>
      </c>
      <c r="G139" s="8">
        <v>8146</v>
      </c>
      <c r="H139" s="72" t="s">
        <v>968</v>
      </c>
      <c r="I139" s="2"/>
      <c r="J139" s="2"/>
      <c r="K139" s="2"/>
      <c r="L139" s="2"/>
      <c r="M139" s="2"/>
      <c r="N139" s="2"/>
      <c r="O139" s="2"/>
    </row>
    <row r="140">
      <c r="A140" s="6" t="s">
        <v>572</v>
      </c>
      <c r="B140" s="8">
        <v>1387</v>
      </c>
      <c r="C140" s="8">
        <v>3652</v>
      </c>
      <c r="D140" s="8">
        <v>5323</v>
      </c>
      <c r="E140" s="8">
        <v>6940</v>
      </c>
      <c r="F140" s="8">
        <v>1579</v>
      </c>
      <c r="G140" s="8">
        <v>3362</v>
      </c>
      <c r="H140" s="72" t="s">
        <v>968</v>
      </c>
      <c r="I140" s="2"/>
      <c r="J140" s="2"/>
      <c r="K140" s="2"/>
      <c r="L140" s="2"/>
      <c r="M140" s="2"/>
      <c r="N140" s="2"/>
      <c r="O140" s="2"/>
    </row>
    <row r="141">
      <c r="A141" s="6" t="s">
        <v>573</v>
      </c>
      <c r="B141" s="8">
        <v>1340</v>
      </c>
      <c r="C141" s="8">
        <v>2860</v>
      </c>
      <c r="D141" s="8">
        <v>4440</v>
      </c>
      <c r="E141" s="8">
        <v>6981</v>
      </c>
      <c r="F141" s="8">
        <v>2470</v>
      </c>
      <c r="G141" s="8">
        <v>5474</v>
      </c>
      <c r="H141" s="72" t="s">
        <v>968</v>
      </c>
      <c r="I141" s="2"/>
      <c r="J141" s="2"/>
      <c r="K141" s="2"/>
      <c r="L141" s="2"/>
      <c r="M141" s="2"/>
      <c r="N141" s="2"/>
      <c r="O141" s="2"/>
    </row>
    <row r="142">
      <c r="A142" s="6" t="s">
        <v>575</v>
      </c>
      <c r="B142" s="8">
        <v>-644</v>
      </c>
      <c r="C142" s="8">
        <v>-2620</v>
      </c>
      <c r="D142" s="8">
        <v>-3211</v>
      </c>
      <c r="E142" s="8">
        <v>-3956</v>
      </c>
      <c r="F142" s="8">
        <v>-763</v>
      </c>
      <c r="G142" s="8">
        <v>-1059</v>
      </c>
      <c r="H142" s="72" t="s">
        <v>968</v>
      </c>
      <c r="I142" s="2"/>
      <c r="J142" s="2"/>
      <c r="K142" s="2"/>
      <c r="L142" s="2"/>
      <c r="M142" s="2"/>
      <c r="N142" s="2"/>
      <c r="O142" s="2"/>
    </row>
    <row r="143">
      <c r="A143" s="6" t="s">
        <v>969</v>
      </c>
      <c r="B143" s="8">
        <v>-2104</v>
      </c>
      <c r="C143" s="8">
        <v>-9478</v>
      </c>
      <c r="D143" s="8">
        <v>-10690</v>
      </c>
      <c r="E143" s="8">
        <v>-15858</v>
      </c>
      <c r="F143" s="8">
        <v>-7759</v>
      </c>
      <c r="G143" s="8">
        <v>-12216</v>
      </c>
      <c r="H143" s="72" t="s">
        <v>968</v>
      </c>
      <c r="I143" s="2"/>
      <c r="J143" s="2"/>
      <c r="K143" s="2"/>
      <c r="L143" s="2"/>
      <c r="M143" s="2"/>
      <c r="N143" s="2"/>
      <c r="O143" s="2"/>
    </row>
    <row r="144">
      <c r="A144" s="6" t="s">
        <v>579</v>
      </c>
      <c r="B144" s="8">
        <v>-2636</v>
      </c>
      <c r="C144" s="8">
        <v>-7168</v>
      </c>
      <c r="D144" s="8">
        <v>-9676</v>
      </c>
      <c r="E144" s="8">
        <v>-18043</v>
      </c>
      <c r="F144" s="8">
        <v>-8282</v>
      </c>
      <c r="G144" s="8">
        <v>-19309</v>
      </c>
      <c r="H144" s="72" t="s">
        <v>968</v>
      </c>
      <c r="I144" s="2"/>
      <c r="J144" s="2"/>
      <c r="K144" s="2"/>
      <c r="L144" s="2"/>
      <c r="M144" s="2"/>
      <c r="N144" s="2"/>
      <c r="O144" s="2"/>
    </row>
    <row r="145">
      <c r="A145" s="6" t="s">
        <v>580</v>
      </c>
      <c r="B145" s="8">
        <v>766</v>
      </c>
      <c r="C145" s="8">
        <v>6518</v>
      </c>
      <c r="D145" s="8">
        <v>6641</v>
      </c>
      <c r="E145" s="8">
        <v>6797</v>
      </c>
      <c r="F145" s="8">
        <v>144</v>
      </c>
      <c r="G145" s="8">
        <v>432</v>
      </c>
      <c r="H145" s="72" t="s">
        <v>968</v>
      </c>
      <c r="I145" s="2"/>
      <c r="J145" s="2"/>
      <c r="K145" s="2"/>
      <c r="L145" s="2"/>
      <c r="M145" s="2"/>
      <c r="N145" s="2"/>
      <c r="O145" s="2"/>
    </row>
    <row r="146">
      <c r="A146" s="6" t="s">
        <v>583</v>
      </c>
      <c r="B146" s="8">
        <v>-221</v>
      </c>
      <c r="C146" s="8">
        <v>-696</v>
      </c>
      <c r="D146" s="8">
        <v>-1175</v>
      </c>
      <c r="E146" s="8">
        <v>-1532</v>
      </c>
      <c r="F146" s="8">
        <v>-283</v>
      </c>
      <c r="G146" s="8">
        <v>-856</v>
      </c>
      <c r="H146" s="72" t="s">
        <v>968</v>
      </c>
      <c r="I146" s="2"/>
      <c r="J146" s="2"/>
      <c r="K146" s="2"/>
      <c r="L146" s="2"/>
      <c r="M146" s="2"/>
      <c r="N146" s="2"/>
      <c r="O146" s="2"/>
    </row>
    <row r="147">
      <c r="A147" s="6" t="s">
        <v>585</v>
      </c>
      <c r="B147" s="8">
        <v>-813</v>
      </c>
      <c r="C147" s="8">
        <v>922</v>
      </c>
      <c r="D147" s="8">
        <v>1041</v>
      </c>
      <c r="E147" s="8">
        <v>-5988</v>
      </c>
      <c r="F147" s="8">
        <v>5398</v>
      </c>
      <c r="G147" s="8">
        <v>6673</v>
      </c>
      <c r="H147" s="72" t="s">
        <v>968</v>
      </c>
      <c r="I147" s="2"/>
      <c r="J147" s="2"/>
      <c r="K147" s="2"/>
      <c r="L147" s="2"/>
      <c r="M147" s="2"/>
      <c r="N147" s="2"/>
      <c r="O147" s="2"/>
    </row>
    <row r="148">
      <c r="A148" s="6" t="s">
        <v>588</v>
      </c>
      <c r="B148" s="8">
        <v>0</v>
      </c>
      <c r="C148" s="8">
        <v>-35</v>
      </c>
      <c r="D148" s="8">
        <v>-35</v>
      </c>
      <c r="E148" s="8">
        <v>-36</v>
      </c>
      <c r="F148" s="8">
        <v>0</v>
      </c>
      <c r="G148" s="8">
        <v>-246</v>
      </c>
      <c r="H148" s="72" t="s">
        <v>968</v>
      </c>
      <c r="I148" s="2"/>
      <c r="J148" s="2"/>
      <c r="K148" s="2"/>
      <c r="L148" s="2"/>
      <c r="M148" s="2"/>
      <c r="N148" s="2"/>
      <c r="O148" s="2"/>
    </row>
    <row r="149">
      <c r="A149" s="6" t="s">
        <v>565</v>
      </c>
      <c r="B149" s="8">
        <v>-634</v>
      </c>
      <c r="C149" s="8">
        <v>-1398</v>
      </c>
      <c r="D149" s="8">
        <v>-1954</v>
      </c>
      <c r="E149" s="8">
        <v>-2961</v>
      </c>
      <c r="F149" s="8">
        <v>-959</v>
      </c>
      <c r="G149" s="8">
        <v>-2129</v>
      </c>
      <c r="H149" s="72" t="s">
        <v>968</v>
      </c>
      <c r="I149" s="2"/>
      <c r="J149" s="2"/>
      <c r="K149" s="2"/>
      <c r="L149" s="2"/>
      <c r="M149" s="2"/>
      <c r="N149" s="2"/>
      <c r="O149" s="2"/>
    </row>
    <row r="150">
      <c r="A150" s="6" t="s">
        <v>592</v>
      </c>
      <c r="B150" s="8">
        <v>-5998</v>
      </c>
      <c r="C150" s="8">
        <v>-199</v>
      </c>
      <c r="D150" s="8">
        <v>7834</v>
      </c>
      <c r="E150" s="8">
        <v>3330</v>
      </c>
      <c r="F150" s="8">
        <v>6070</v>
      </c>
      <c r="G150" s="8">
        <v>10013</v>
      </c>
      <c r="H150" s="72" t="s">
        <v>968</v>
      </c>
      <c r="I150" s="2"/>
      <c r="J150" s="2"/>
      <c r="K150" s="2"/>
      <c r="L150" s="2"/>
      <c r="M150" s="2"/>
      <c r="N150" s="2"/>
      <c r="O150" s="2"/>
    </row>
    <row r="151">
      <c r="A151" s="6" t="s">
        <v>593</v>
      </c>
      <c r="B151" s="8">
        <v>1640</v>
      </c>
      <c r="C151" s="8">
        <v>-479</v>
      </c>
      <c r="D151" s="8">
        <v>-69</v>
      </c>
      <c r="E151" s="8">
        <v>1644</v>
      </c>
      <c r="F151" s="8">
        <v>697</v>
      </c>
      <c r="G151" s="8">
        <v>19948</v>
      </c>
      <c r="H151" s="72" t="s">
        <v>968</v>
      </c>
      <c r="I151" s="2"/>
      <c r="J151" s="2"/>
      <c r="K151" s="2"/>
      <c r="L151" s="2"/>
      <c r="M151" s="2"/>
      <c r="N151" s="2"/>
      <c r="O151" s="2"/>
    </row>
    <row r="152">
      <c r="A152" s="6" t="s">
        <v>594</v>
      </c>
      <c r="B152" s="8">
        <v>3590</v>
      </c>
      <c r="C152" s="8">
        <v>9327</v>
      </c>
      <c r="D152" s="8">
        <v>10291</v>
      </c>
      <c r="E152" s="8">
        <v>10360</v>
      </c>
      <c r="F152" s="8">
        <v>3289</v>
      </c>
      <c r="G152" s="8">
        <v>7386</v>
      </c>
      <c r="H152" s="72" t="s">
        <v>968</v>
      </c>
      <c r="I152" s="2"/>
      <c r="J152" s="2"/>
      <c r="K152" s="2"/>
      <c r="L152" s="2"/>
      <c r="M152" s="2"/>
      <c r="N152" s="2"/>
      <c r="O152" s="2"/>
    </row>
    <row r="153">
      <c r="A153" s="6" t="s">
        <v>596</v>
      </c>
      <c r="B153" s="8">
        <v>-2101</v>
      </c>
      <c r="C153" s="8">
        <v>-3750</v>
      </c>
      <c r="D153" s="8">
        <v>-6372</v>
      </c>
      <c r="E153" s="8">
        <v>-9052</v>
      </c>
      <c r="F153" s="8">
        <v>-3225</v>
      </c>
      <c r="G153" s="8">
        <v>-9708</v>
      </c>
      <c r="H153" s="72" t="s">
        <v>968</v>
      </c>
      <c r="I153" s="2"/>
      <c r="J153" s="2"/>
      <c r="K153" s="2"/>
      <c r="L153" s="2"/>
      <c r="M153" s="2"/>
      <c r="N153" s="2"/>
      <c r="O153" s="2"/>
    </row>
    <row r="154">
      <c r="A154" s="6" t="s">
        <v>597</v>
      </c>
      <c r="B154" s="8">
        <v>16</v>
      </c>
      <c r="C154" s="8">
        <v>22</v>
      </c>
      <c r="D154" s="8">
        <v>32</v>
      </c>
      <c r="E154" s="8">
        <v>45</v>
      </c>
      <c r="F154" s="8">
        <v>16</v>
      </c>
      <c r="G154" s="8">
        <v>19</v>
      </c>
      <c r="H154" s="72" t="s">
        <v>968</v>
      </c>
      <c r="I154" s="2"/>
      <c r="J154" s="2"/>
      <c r="K154" s="2"/>
      <c r="L154" s="2"/>
      <c r="M154" s="2"/>
      <c r="N154" s="2"/>
      <c r="O154" s="2"/>
    </row>
    <row r="155">
      <c r="A155" s="6" t="s">
        <v>598</v>
      </c>
      <c r="B155" s="8">
        <v>-160</v>
      </c>
      <c r="C155" s="8">
        <v>-266</v>
      </c>
      <c r="D155" s="8">
        <v>-367</v>
      </c>
      <c r="E155" s="8">
        <v>-489</v>
      </c>
      <c r="F155" s="8">
        <v>-276</v>
      </c>
      <c r="G155" s="8">
        <v>-477</v>
      </c>
      <c r="H155" s="72" t="s">
        <v>968</v>
      </c>
      <c r="I155" s="2"/>
      <c r="J155" s="2"/>
      <c r="K155" s="2"/>
      <c r="L155" s="2"/>
      <c r="M155" s="2"/>
      <c r="N155" s="2"/>
      <c r="O155" s="2"/>
    </row>
    <row r="156">
      <c r="A156" s="6" t="s">
        <v>599</v>
      </c>
      <c r="B156" s="8">
        <v>-72</v>
      </c>
      <c r="C156" s="8">
        <v>-168</v>
      </c>
      <c r="D156" s="8">
        <v>-237</v>
      </c>
      <c r="E156" s="8">
        <v>-334</v>
      </c>
      <c r="F156" s="8">
        <v>-68</v>
      </c>
      <c r="G156" s="8">
        <v>-160</v>
      </c>
      <c r="H156" s="72" t="s">
        <v>968</v>
      </c>
      <c r="I156" s="2"/>
      <c r="J156" s="2"/>
      <c r="K156" s="2"/>
      <c r="L156" s="2"/>
      <c r="M156" s="2"/>
      <c r="N156" s="2"/>
      <c r="O156" s="2"/>
    </row>
    <row r="157">
      <c r="A157" s="6" t="s">
        <v>601</v>
      </c>
      <c r="B157" s="8">
        <v>-787</v>
      </c>
      <c r="C157" s="8">
        <v>-1571</v>
      </c>
      <c r="D157" s="8">
        <v>-2355</v>
      </c>
      <c r="E157" s="8">
        <v>-3168</v>
      </c>
      <c r="F157" s="8">
        <v>-816</v>
      </c>
      <c r="G157" s="8">
        <v>-1628</v>
      </c>
      <c r="H157" s="72" t="s">
        <v>968</v>
      </c>
      <c r="I157" s="2"/>
      <c r="J157" s="2"/>
      <c r="K157" s="2"/>
      <c r="L157" s="2"/>
      <c r="M157" s="2"/>
      <c r="N157" s="2"/>
      <c r="O157" s="2"/>
    </row>
    <row r="158">
      <c r="A158" s="6" t="s">
        <v>565</v>
      </c>
      <c r="B158" s="8">
        <v>-24</v>
      </c>
      <c r="C158" s="8">
        <v>-47</v>
      </c>
      <c r="D158" s="8">
        <v>-68</v>
      </c>
      <c r="E158" s="8">
        <v>-86</v>
      </c>
      <c r="F158" s="8">
        <v>-14</v>
      </c>
      <c r="G158" s="8">
        <v>-25</v>
      </c>
      <c r="H158" s="72" t="s">
        <v>968</v>
      </c>
      <c r="I158" s="2"/>
      <c r="J158" s="2"/>
      <c r="K158" s="2"/>
      <c r="L158" s="2"/>
      <c r="M158" s="2"/>
      <c r="N158" s="2"/>
      <c r="O158" s="2"/>
    </row>
    <row r="159">
      <c r="A159" s="6" t="s">
        <v>970</v>
      </c>
      <c r="B159" s="8">
        <v>263</v>
      </c>
      <c r="C159" s="8">
        <v>749</v>
      </c>
      <c r="D159" s="122" t="s">
        <v>37</v>
      </c>
      <c r="E159" s="8">
        <v>706</v>
      </c>
      <c r="F159" s="8">
        <v>-132</v>
      </c>
      <c r="G159" s="8">
        <v>-199</v>
      </c>
      <c r="H159" s="72" t="s">
        <v>968</v>
      </c>
      <c r="I159" s="2" t="s">
        <v>971</v>
      </c>
      <c r="J159" s="2"/>
      <c r="K159" s="2"/>
      <c r="L159" s="2"/>
      <c r="M159" s="2"/>
      <c r="N159" s="2"/>
      <c r="O159" s="2"/>
    </row>
    <row r="160">
      <c r="A160" s="6" t="s">
        <v>607</v>
      </c>
      <c r="B160" s="8">
        <v>56502</v>
      </c>
      <c r="C160" s="8">
        <v>56502</v>
      </c>
      <c r="D160" s="8">
        <v>56502</v>
      </c>
      <c r="E160" s="8">
        <v>56502</v>
      </c>
      <c r="F160" s="8">
        <v>46890</v>
      </c>
      <c r="G160" s="8">
        <v>46890</v>
      </c>
      <c r="H160" s="72" t="s">
        <v>968</v>
      </c>
      <c r="I160" s="2"/>
      <c r="J160" s="2"/>
      <c r="K160" s="2"/>
      <c r="L160" s="2"/>
      <c r="M160" s="2"/>
      <c r="N160" s="2"/>
      <c r="O160" s="2"/>
    </row>
    <row r="161">
      <c r="A161" s="6" t="s">
        <v>972</v>
      </c>
      <c r="B161" s="8">
        <v>-6489</v>
      </c>
      <c r="C161" s="8">
        <v>1305</v>
      </c>
      <c r="D161" s="8">
        <v>10135</v>
      </c>
      <c r="E161" s="8">
        <v>-9612</v>
      </c>
      <c r="F161" s="8">
        <v>1530</v>
      </c>
      <c r="G161" s="8">
        <v>19601</v>
      </c>
      <c r="H161" s="72" t="s">
        <v>968</v>
      </c>
      <c r="I161" s="2"/>
      <c r="J161" s="2"/>
      <c r="K161" s="2"/>
      <c r="L161" s="2"/>
      <c r="M161" s="2"/>
      <c r="N161" s="2"/>
      <c r="O161" s="2"/>
    </row>
    <row r="162">
      <c r="A162" s="6" t="s">
        <v>608</v>
      </c>
      <c r="B162" s="8">
        <v>50013</v>
      </c>
      <c r="C162" s="8">
        <v>57807</v>
      </c>
      <c r="D162" s="8">
        <v>66637</v>
      </c>
      <c r="E162" s="8">
        <v>46890</v>
      </c>
      <c r="F162" s="8">
        <v>48420</v>
      </c>
      <c r="G162" s="8">
        <v>66491</v>
      </c>
      <c r="H162" s="72" t="s">
        <v>968</v>
      </c>
      <c r="I162" s="2"/>
      <c r="J162" s="2"/>
      <c r="K162" s="2"/>
      <c r="L162" s="2"/>
      <c r="M162" s="2"/>
      <c r="N162" s="2"/>
      <c r="O162" s="2"/>
    </row>
    <row r="163">
      <c r="A163" s="26" t="s">
        <v>973</v>
      </c>
      <c r="B163" s="1">
        <f>SUM(B130:B138)+SUM(B139:B149)+SUM(B150:B158)+B159-B161</f>
        <v>0</v>
      </c>
      <c r="C163" s="1">
        <f>SUM(C130:C138)+SUM(C139:C149)+SUM(C150:C158)+C159-C161</f>
        <v>0</v>
      </c>
      <c r="D163" s="1">
        <f>SUM(D130:D138)+SUM(D139:D149)+SUM(D150:D158)+N(D159)-D161</f>
        <v>0</v>
      </c>
      <c r="E163" s="1">
        <f>SUM(E130:E138)+SUM(E139:E149)+SUM(E150:E158)+E159-E161</f>
        <v>0</v>
      </c>
      <c r="F163" s="1">
        <f>SUM(F130:F138)+SUM(F139:F149)+SUM(F150:F158)+F159-F161</f>
        <v>0</v>
      </c>
      <c r="G163" s="1">
        <f>SUM(G130:G138)+SUM(G139:G149)+SUM(G150:G158)+G159-G161</f>
        <v>0</v>
      </c>
      <c r="H163" s="2"/>
      <c r="I163" s="2"/>
      <c r="J163" s="2"/>
      <c r="K163" s="2"/>
      <c r="L163" s="2"/>
      <c r="M163" s="2"/>
      <c r="N163" s="2"/>
      <c r="O163" s="2"/>
    </row>
    <row r="164">
      <c r="A164" s="26" t="s">
        <v>974</v>
      </c>
      <c r="B164" s="1">
        <f>B160+B161-B162</f>
        <v>0</v>
      </c>
      <c r="C164" s="1">
        <f>C160+C161-C162</f>
        <v>0</v>
      </c>
      <c r="D164" s="1">
        <f>D160+D161-D162</f>
        <v>0</v>
      </c>
      <c r="E164" s="1">
        <f>E160+E161-E162</f>
        <v>0</v>
      </c>
      <c r="F164" s="1">
        <f>F160+F161-F162</f>
        <v>0</v>
      </c>
      <c r="G164" s="1">
        <f>G160+G161-G162</f>
        <v>0</v>
      </c>
      <c r="H164" s="2"/>
      <c r="I164" s="2"/>
      <c r="J164" s="2"/>
      <c r="K164" s="2"/>
      <c r="L164" s="2"/>
      <c r="M164" s="2"/>
      <c r="N164" s="2"/>
      <c r="O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</sheetData>
  <legacyDrawing r:id="rId2"/>
</worksheet>
</file>