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CBL" sheetId="3" r:id="rId4"/>
    <sheet name="Segment - Commercial Banking" sheetId="4" r:id="rId5"/>
    <sheet name="Segment - CIB" sheetId="5" r:id="rId6"/>
    <sheet name="Segment - WIM" sheetId="6" r:id="rId7"/>
    <sheet name="Income Statement" sheetId="7" r:id="rId8"/>
    <sheet name="Balance Sheet" sheetId="8" r:id="rId9"/>
    <sheet name="Cash Flow Statement" sheetId="9" r:id="rId10"/>
    <sheet name="Share Count" sheetId="10" r:id="rId11"/>
    <sheet name="Guidance" sheetId="11" r:id="rId12"/>
    <sheet name="Sources" sheetId="12" r:id="rId13"/>
    <sheet name="Inputs" sheetId="13" r:id="rId14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B14" authorId="0">
      <text>
        <t>Organic = (1+Y/Y)/((1+M&amp;A)*(1+FX))-1. WFC does not disclose M&amp;A/scope or FX effects by revenue line, so organic growth is unavailable (not set to zero).</t>
      </text>
    </comment>
    <comment ref="B23" authorId="0">
      <text>
        <t>Organic = (1+Y/Y)/((1+M&amp;A)*(1+FX))-1. WFC does not disclose M&amp;A/scope or FX effects by revenue line, so organic growth is unavailable (not set to zero).</t>
      </text>
    </comment>
    <comment ref="B30" authorId="0">
      <text>
        <t>Organic = (1+Y/Y)/((1+M&amp;A)*(1+FX))-1. WFC does not disclose M&amp;A/scope or FX effects by revenue line, so organic growth is unavailable (not set to zero).</t>
      </text>
    </comment>
    <comment ref="B37" authorId="0">
      <text>
        <t>Organic = (1+Y/Y)/((1+M&amp;A)*(1+FX))-1. WFC does not disclose M&amp;A/scope or FX effects by revenue line, so organic growth is unavailable (not set to zero).</t>
      </text>
    </comment>
    <comment ref="B44" authorId="0">
      <text>
        <t>Organic = (1+Y/Y)/((1+M&amp;A)*(1+FX))-1. WFC does not disclose M&amp;A/scope or FX effects by revenue line, so organic growth is unavailable (not set to zero).</t>
      </text>
    </comment>
    <comment ref="B46" authorId="0">
      <text>
        <t>3Q26E = consolidated revenue less the four segments and reconciling items (residual). Corporate holds treasury, the investment portfolio and venture capital; history ranges from -$232mm to +$559mm.</t>
      </text>
    </comment>
    <comment ref="B51" authorId="0">
      <text>
        <t>Organic = (1+Y/Y)/((1+M&amp;A)*(1+FX))-1. WFC does not disclose M&amp;A/scope or FX effects by revenue line, so organic growth is unavailable (not set to zero).</t>
      </text>
    </comment>
    <comment ref="B53" authorId="0">
      <text>
        <t>3Q26E -$530mm: approx. average of the last four quarters (-$534mm).</t>
      </text>
    </comment>
    <comment ref="B58" authorId="0">
      <text>
        <t>Organic = (1+Y/Y)/((1+M&amp;A)*(1+FX))-1. WFC does not disclose M&amp;A/scope or FX effects by revenue line, so organic growth is unavailable (not set to zero).</t>
      </text>
    </comment>
    <comment ref="B68" authorId="0">
      <text>
        <t>WFC presents no revenue-by-geography table in its quarterly supplements or 2025 Form 10-K segment disclosures; operations are predominantly U.S. (2025 Form 10-K: ~76% of employees U.S.-based). A Geo tab would be a single line, so it is omitted.</t>
      </text>
    </comment>
    <comment ref="B83" authorId="0">
      <text>
        <t>Residual. Below the reported range because 2Q26 Corporate NI ($75mm) included most of the $847mm equity-securities (venture) gains; with venture results guided ~flat, Corporate runs near its ex-gain loss level (treasury funding costs, enterprise expenses).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B15" authorId="0">
      <text>
        <t>Organic = (1+Y/Y)/((1+M&amp;A)*(1+FX))-1. WFC does not disclose M&amp;A/scope or FX effects by revenue line, so organic growth is unavailable (not set to zero).</t>
      </text>
    </comment>
    <comment ref="B21" authorId="0">
      <text>
        <t>Organic = (1+Y/Y)/((1+M&amp;A)*(1+FX))-1. WFC does not disclose M&amp;A/scope or FX effects by revenue line, so organic growth is unavailable (not set to zero).</t>
      </text>
    </comment>
    <comment ref="B27" authorId="0">
      <text>
        <t>Organic = (1+Y/Y)/((1+M&amp;A)*(1+FX))-1. WFC does not disclose M&amp;A/scope or FX effects by revenue line, so organic growth is unavailable (not set to zero).</t>
      </text>
    </comment>
    <comment ref="B33" authorId="0">
      <text>
        <t>Organic = (1+Y/Y)/((1+M&amp;A)*(1+FX))-1. WFC does not disclose M&amp;A/scope or FX effects by revenue line, so organic growth is unavailable (not set to zero).</t>
      </text>
    </comment>
    <comment ref="B40" authorId="0">
      <text>
        <t>Organic = (1+Y/Y)/((1+M&amp;A)*(1+FX))-1. WFC does not disclose M&amp;A/scope or FX effects by revenue line, so organic growth is unavailable (not set to zero).</t>
      </text>
    </comment>
    <comment ref="B46" authorId="0">
      <text>
        <t>Organic = (1+Y/Y)/((1+M&amp;A)*(1+FX))-1. WFC does not disclose M&amp;A/scope or FX effects by revenue line, so organic growth is unavailable (not set to zero).</t>
      </text>
    </comment>
    <comment ref="B52" authorId="0">
      <text>
        <t>Organic = (1+Y/Y)/((1+M&amp;A)*(1+FX))-1. WFC does not disclose M&amp;A/scope or FX effects by revenue line, so organic growth is unavailable (not set to zero).</t>
      </text>
    </comment>
    <comment ref="B58" authorId="0">
      <text>
        <t>Organic = (1+Y/Y)/((1+M&amp;A)*(1+FX))-1. WFC does not disclose M&amp;A/scope or FX effects by revenue line, so organic growth is unavailable (not set to zero).</t>
      </text>
    </comment>
    <comment ref="B64" authorId="0">
      <text>
        <t>Organic = (1+Y/Y)/((1+M&amp;A)*(1+FX))-1. WFC does not disclose M&amp;A/scope or FX effects by revenue line, so organic growth is unavailable (not set to zero).</t>
      </text>
    </comment>
    <comment ref="B72" authorId="0">
      <text>
        <t>Organic = (1+Y/Y)/((1+M&amp;A)*(1+FX))-1. WFC does not disclose M&amp;A/scope or FX effects by revenue line, so organic growth is unavailable (not set to zero).</t>
      </text>
    </comment>
    <comment ref="B78" authorId="0">
      <text>
        <t>Organic = (1+Y/Y)/((1+M&amp;A)*(1+FX))-1. WFC does not disclose M&amp;A/scope or FX effects by revenue line, so organic growth is unavailable (not set to zero).</t>
      </text>
    </comment>
    <comment ref="B84" authorId="0">
      <text>
        <t>Organic = (1+Y/Y)/((1+M&amp;A)*(1+FX))-1. WFC does not disclose M&amp;A/scope or FX effects by revenue line, so organic growth is unavailable (not set to zero).</t>
      </text>
    </comment>
    <comment ref="B90" authorId="0">
      <text>
        <t>Organic = (1+Y/Y)/((1+M&amp;A)*(1+FX))-1. WFC does not disclose M&amp;A/scope or FX effects by revenue line, so organic growth is unavailable (not set to zero).</t>
      </text>
    </comment>
    <comment ref="B91" authorId="0">
      <text>
        <t>3Q26E = segment revenue less the four lending lines (deposit-driven residual; largest line).</t>
      </text>
    </comment>
    <comment ref="B96" authorId="0">
      <text>
        <t>Organic = (1+Y/Y)/((1+M&amp;A)*(1+FX))-1. WFC does not disclose M&amp;A/scope or FX effects by revenue line, so organic growth is unavailable (not set to zero).</t>
      </text>
    </comment>
    <comment ref="B101" authorId="0">
      <text>
        <t>3Q25 step-up reflects the ~$8bn prospective transfer of business customers from Commercial Banking (scope change, not organic).</t>
      </text>
    </comment>
    <comment ref="B131" authorId="0">
      <text>
        <t>3Q26E held at 2Q26 (CFO: banking-book margin stable in 3Q).</t>
      </text>
    </comment>
    <comment ref="B176" authorId="0">
      <text>
        <t>2Q26 +8.4% Y/Y; CFO: card spend up every week Y/Y (2026-09-15).</t>
      </text>
    </comment>
    <comment ref="B185" authorId="0">
      <text>
        <t>Excludes co-branded cards (1Q26 revision applied to history).</t>
      </text>
    </comment>
    <comment ref="B186" authorId="0">
      <text>
        <t>2Q26 +11.5% Y/Y; new-account growth strong.</t>
      </text>
    </comment>
    <comment ref="B192" authorId="0">
      <text>
        <t>3Q26E = average of the last four quarters (rate is seasonal/noisy).</t>
      </text>
    </comment>
    <comment ref="B196" authorId="0">
      <text>
        <t>WFC does not disclose total open card accounts.</t>
      </text>
    </comment>
    <comment ref="B206" authorId="0">
      <text>
        <t>1Q25 opening (Dec-2024) not available on the recast basis in the supplements used.</t>
      </text>
    </comment>
    <comment ref="B209" authorId="0">
      <text>
        <t>FY25 net additions cover 2Q25–4Q25 only (1Q25 opening unavailable). 3Q26E held flat: not a revenue driver in the model and no pre-release data.</t>
      </text>
    </comment>
    <comment ref="B219" authorId="0">
      <text>
        <t>1Q25 opening (Dec-2024) not available on the recast basis in the supplements used.</t>
      </text>
    </comment>
    <comment ref="B222" authorId="0">
      <text>
        <t>FY25 net additions cover 2Q25–4Q25 only (1Q25 opening unavailable). 3Q26E held flat: not a revenue driver in the model and no pre-release data.</t>
      </text>
    </comment>
    <comment ref="B232" authorId="0">
      <text>
        <t>1Q25 opening (Dec-2024) not available on the recast basis in the supplements used.</t>
      </text>
    </comment>
    <comment ref="B235" authorId="0">
      <text>
        <t>FY25 net additions cover 2Q25–4Q25 only (1Q25 opening unavailable). 3Q26E held flat: not a revenue driver in the model and no pre-release data.</t>
      </text>
    </comment>
    <comment ref="B259" authorId="0">
      <text>
        <t>3Q26E closing held flat (placeholder; drives 4Q26 fees, not 3Q26).</t>
      </text>
    </comment>
    <comment ref="B265" authorId="0">
      <text>
        <t>Fees are largely priced on prior quarter-end asset values; 3Q26E held at 2Q26 rate.</t>
      </text>
    </comment>
    <comment ref="B313" authorId="0">
      <text>
        <t>1Q26 capital-allocation methodology change.</t>
      </text>
    </comment>
    <comment ref="B321" authorId="0">
      <text>
        <t>1Q25 opening (Dec-2024) is not shown in the supplements used on the current segment basis; FY25 opening therefore unavailable.</t>
      </text>
    </comment>
    <comment ref="B323" authorId="0">
      <text>
        <t>3Q26E closing = opening x (1 + forecast growth in the average balance); feeds the Balance Sheet loans/deposits tie-out.</t>
      </text>
    </comment>
    <comment ref="B329" authorId="0">
      <text>
        <t>1Q25 opening (Dec-2024) is not shown in the supplements used on the current segment basis; FY25 opening therefore unavailable.</t>
      </text>
    </comment>
    <comment ref="B331" authorId="0">
      <text>
        <t>3Q26E closing = opening x (1 + forecast growth in the average balance); feeds the Balance Sheet loans/deposits tie-out.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B15" authorId="0">
      <text>
        <t>Organic = (1+Y/Y)/((1+M&amp;A)*(1+FX))-1. WFC does not disclose M&amp;A/scope or FX effects by revenue line, so organic growth is unavailable (not set to zero).</t>
      </text>
    </comment>
    <comment ref="B21" authorId="0">
      <text>
        <t>Organic = (1+Y/Y)/((1+M&amp;A)*(1+FX))-1. WFC does not disclose M&amp;A/scope or FX effects by revenue line, so organic growth is unavailable (not set to zero).</t>
      </text>
    </comment>
    <comment ref="B27" authorId="0">
      <text>
        <t>Organic = (1+Y/Y)/((1+M&amp;A)*(1+FX))-1. WFC does not disclose M&amp;A/scope or FX effects by revenue line, so organic growth is unavailable (not set to zero).</t>
      </text>
    </comment>
    <comment ref="B28" authorId="0">
      <text>
        <t>Rail car leasing business sold in 1Q26 (scope reduction, impact not quantified by line).</t>
      </text>
    </comment>
    <comment ref="B33" authorId="0">
      <text>
        <t>Organic = (1+Y/Y)/((1+M&amp;A)*(1+FX))-1. WFC does not disclose M&amp;A/scope or FX effects by revenue line, so organic growth is unavailable (not set to zero).</t>
      </text>
    </comment>
    <comment ref="B39" authorId="0">
      <text>
        <t>Organic = (1+Y/Y)/((1+M&amp;A)*(1+FX))-1. WFC does not disclose M&amp;A/scope or FX effects by revenue line, so organic growth is unavailable (not set to zero).</t>
      </text>
    </comment>
    <comment ref="B45" authorId="0">
      <text>
        <t>Organic = (1+Y/Y)/((1+M&amp;A)*(1+FX))-1. WFC does not disclose M&amp;A/scope or FX effects by revenue line, so organic growth is unavailable (not set to zero).</t>
      </text>
    </comment>
    <comment ref="B51" authorId="0">
      <text>
        <t>Organic = (1+Y/Y)/((1+M&amp;A)*(1+FX))-1. WFC does not disclose M&amp;A/scope or FX effects by revenue line, so organic growth is unavailable (not set to zero).</t>
      </text>
    </comment>
    <comment ref="B59" authorId="0">
      <text>
        <t>Organic = (1+Y/Y)/((1+M&amp;A)*(1+FX))-1. WFC does not disclose M&amp;A/scope or FX effects by revenue line, so organic growth is unavailable (not set to zero).</t>
      </text>
    </comment>
    <comment ref="B65" authorId="0">
      <text>
        <t>Organic = (1+Y/Y)/((1+M&amp;A)*(1+FX))-1. WFC does not disclose M&amp;A/scope or FX effects by revenue line, so organic growth is unavailable (not set to zero).</t>
      </text>
    </comment>
    <comment ref="B66" authorId="0">
      <text>
        <t>3Q26E = segment revenue less lending and treasury management (residual).</t>
      </text>
    </comment>
    <comment ref="B71" authorId="0">
      <text>
        <t>Organic = (1+Y/Y)/((1+M&amp;A)*(1+FX))-1. WFC does not disclose M&amp;A/scope or FX effects by revenue line, so organic growth is unavailable (not set to zero).</t>
      </text>
    </comment>
    <comment ref="B164" authorId="0">
      <text>
        <t>1Q25 opening (Dec-2024) is not shown in the supplements used on the current segment basis; FY25 opening therefore unavailable.</t>
      </text>
    </comment>
    <comment ref="B166" authorId="0">
      <text>
        <t>3Q26E closing = opening x (1 + forecast growth in the average balance); feeds the Balance Sheet loans/deposits tie-out.</t>
      </text>
    </comment>
    <comment ref="B172" authorId="0">
      <text>
        <t>1Q25 opening (Dec-2024) is not shown in the supplements used on the current segment basis; FY25 opening therefore unavailable.</t>
      </text>
    </comment>
    <comment ref="B174" authorId="0">
      <text>
        <t>3Q26E closing = opening x (1 + forecast growth in the average balance); feeds the Balance Sheet loans/deposits tie-out.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B10" authorId="0">
      <text>
        <t>3Q26E = banking-book NII (2Q26 CIB NII less Markets NII) grown with CIB average loans, plus forecast Markets NII from the Income Statement.</t>
      </text>
    </comment>
    <comment ref="B15" authorId="0">
      <text>
        <t>Organic = (1+Y/Y)/((1+M&amp;A)*(1+FX))-1. WFC does not disclose M&amp;A/scope or FX effects by revenue line, so organic growth is unavailable (not set to zero).</t>
      </text>
    </comment>
    <comment ref="B21" authorId="0">
      <text>
        <t>Organic = (1+Y/Y)/((1+M&amp;A)*(1+FX))-1. WFC does not disclose M&amp;A/scope or FX effects by revenue line, so organic growth is unavailable (not set to zero).</t>
      </text>
    </comment>
    <comment ref="B27" authorId="0">
      <text>
        <t>Organic = (1+Y/Y)/((1+M&amp;A)*(1+FX))-1. WFC does not disclose M&amp;A/scope or FX effects by revenue line, so organic growth is unavailable (not set to zero).</t>
      </text>
    </comment>
    <comment ref="B28" authorId="0">
      <text>
        <t>3Q26E = 3Q25 x (1 + mid-single-digit guidance midpoint).</t>
      </text>
    </comment>
    <comment ref="B33" authorId="0">
      <text>
        <t>Organic = (1+Y/Y)/((1+M&amp;A)*(1+FX))-1. WFC does not disclose M&amp;A/scope or FX effects by revenue line, so organic growth is unavailable (not set to zero).</t>
      </text>
    </comment>
    <comment ref="B34" authorId="0">
      <text>
        <t>3Q26E = Markets revenue less Markets NII less other (non-trading) Markets revenue.</t>
      </text>
    </comment>
    <comment ref="B39" authorId="0">
      <text>
        <t>Organic = (1+Y/Y)/((1+M&amp;A)*(1+FX))-1. WFC does not disclose M&amp;A/scope or FX effects by revenue line, so organic growth is unavailable (not set to zero).</t>
      </text>
    </comment>
    <comment ref="B40" authorId="0">
      <text>
        <t>3Q26E = line-of-business revenue build less the other income-statement lines (residual).</t>
      </text>
    </comment>
    <comment ref="B45" authorId="0">
      <text>
        <t>Organic = (1+Y/Y)/((1+M&amp;A)*(1+FX))-1. WFC does not disclose M&amp;A/scope or FX effects by revenue line, so organic growth is unavailable (not set to zero).</t>
      </text>
    </comment>
    <comment ref="B51" authorId="0">
      <text>
        <t>Organic = (1+Y/Y)/((1+M&amp;A)*(1+FX))-1. WFC does not disclose M&amp;A/scope or FX effects by revenue line, so organic growth is unavailable (not set to zero).</t>
      </text>
    </comment>
    <comment ref="B57" authorId="0">
      <text>
        <t>Organic = (1+Y/Y)/((1+M&amp;A)*(1+FX))-1. WFC does not disclose M&amp;A/scope or FX effects by revenue line, so organic growth is unavailable (not set to zero).</t>
      </text>
    </comment>
    <comment ref="B65" authorId="0">
      <text>
        <t>Organic = (1+Y/Y)/((1+M&amp;A)*(1+FX))-1. WFC does not disclose M&amp;A/scope or FX effects by revenue line, so organic growth is unavailable (not set to zero).</t>
      </text>
    </comment>
    <comment ref="B71" authorId="0">
      <text>
        <t>Organic = (1+Y/Y)/((1+M&amp;A)*(1+FX))-1. WFC does not disclose M&amp;A/scope or FX effects by revenue line, so organic growth is unavailable (not set to zero).</t>
      </text>
    </comment>
    <comment ref="B77" authorId="0">
      <text>
        <t>Organic = (1+Y/Y)/((1+M&amp;A)*(1+FX))-1. WFC does not disclose M&amp;A/scope or FX effects by revenue line, so organic growth is unavailable (not set to zero).</t>
      </text>
    </comment>
    <comment ref="B83" authorId="0">
      <text>
        <t>Organic = (1+Y/Y)/((1+M&amp;A)*(1+FX))-1. WFC does not disclose M&amp;A/scope or FX effects by revenue line, so organic growth is unavailable (not set to zero).</t>
      </text>
    </comment>
    <comment ref="B89" authorId="0">
      <text>
        <t>Organic = (1+Y/Y)/((1+M&amp;A)*(1+FX))-1. WFC does not disclose M&amp;A/scope or FX effects by revenue line, so organic growth is unavailable (not set to zero).</t>
      </text>
    </comment>
    <comment ref="B96" authorId="0">
      <text>
        <t>Organic = (1+Y/Y)/((1+M&amp;A)*(1+FX))-1. WFC does not disclose M&amp;A/scope or FX effects by revenue line, so organic growth is unavailable (not set to zero).</t>
      </text>
    </comment>
    <comment ref="B103" authorId="0">
      <text>
        <t>Organic = (1+Y/Y)/((1+M&amp;A)*(1+FX))-1. WFC does not disclose M&amp;A/scope or FX effects by revenue line, so organic growth is unavailable (not set to zero).</t>
      </text>
    </comment>
    <comment ref="B104" authorId="0">
      <text>
        <t>Equities +64% Y/Y in 2Q26 (prime brokerage onboarding); 3Q26E +15% keeps total Markets at the guided mid-single-digit Y/Y.</t>
      </text>
    </comment>
    <comment ref="B110" authorId="0">
      <text>
        <t>Organic = (1+Y/Y)/((1+M&amp;A)*(1+FX))-1. WFC does not disclose M&amp;A/scope or FX effects by revenue line, so organic growth is unavailable (not set to zero).</t>
      </text>
    </comment>
    <comment ref="B116" authorId="0">
      <text>
        <t>Organic = (1+Y/Y)/((1+M&amp;A)*(1+FX))-1. WFC does not disclose M&amp;A/scope or FX effects by revenue line, so organic growth is unavailable (not set to zero).</t>
      </text>
    </comment>
    <comment ref="B123" authorId="0">
      <text>
        <t>Organic = (1+Y/Y)/((1+M&amp;A)*(1+FX))-1. WFC does not disclose M&amp;A/scope or FX effects by revenue line, so organic growth is unavailable (not set to zero).</t>
      </text>
    </comment>
    <comment ref="B126" authorId="0">
      <text>
        <t>3Q26E = average of last four quarters.</t>
      </text>
    </comment>
    <comment ref="B222" authorId="0">
      <text>
        <t>1Q25 opening (Dec-2024) is not shown in the supplements used on the current segment basis; FY25 opening therefore unavailable.</t>
      </text>
    </comment>
    <comment ref="B224" authorId="0">
      <text>
        <t>3Q26E closing = opening x (1 + forecast growth in the average balance); feeds the Balance Sheet loans/deposits tie-out.</t>
      </text>
    </comment>
    <comment ref="B230" authorId="0">
      <text>
        <t>1Q25 opening (Dec-2024) is not shown in the supplements used on the current segment basis; FY25 opening therefore unavailable.</t>
      </text>
    </comment>
    <comment ref="B232" authorId="0">
      <text>
        <t>3Q26E closing = opening x (1 + forecast growth in the average balance); feeds the Balance Sheet loans/deposits tie-out.</t>
      </text>
    </comment>
  </commentList>
</comments>
</file>

<file path=xl/comments5.xml><?xml version="1.0" encoding="utf-8"?>
<comments xmlns="http://schemas.openxmlformats.org/spreadsheetml/2006/main">
  <authors>
    <author>Shortcut</author>
  </authors>
  <commentList>
    <comment ref="B15" authorId="0">
      <text>
        <t>Organic = (1+Y/Y)/((1+M&amp;A)*(1+FX))-1. WFC does not disclose M&amp;A/scope or FX effects by revenue line, so organic growth is unavailable (not set to zero).</t>
      </text>
    </comment>
    <comment ref="B16" authorId="0">
      <text>
        <t>Advisory fees are priced mostly on prior quarter-end advisory assets: 3Q26E uses 30-Jun-26 advisory assets ($1,225bn, +9.5% vs 31-Mar-26).</t>
      </text>
    </comment>
    <comment ref="B21" authorId="0">
      <text>
        <t>Organic = (1+Y/Y)/((1+M&amp;A)*(1+FX))-1. WFC does not disclose M&amp;A/scope or FX effects by revenue line, so organic growth is unavailable (not set to zero).</t>
      </text>
    </comment>
    <comment ref="B27" authorId="0">
      <text>
        <t>Organic = (1+Y/Y)/((1+M&amp;A)*(1+FX))-1. WFC does not disclose M&amp;A/scope or FX effects by revenue line, so organic growth is unavailable (not set to zero).</t>
      </text>
    </comment>
    <comment ref="B34" authorId="0">
      <text>
        <t>Organic = (1+Y/Y)/((1+M&amp;A)*(1+FX))-1. WFC does not disclose M&amp;A/scope or FX effects by revenue line, so organic growth is unavailable (not set to zero).</t>
      </text>
    </comment>
    <comment ref="B40" authorId="0">
      <text>
        <t>Organic = (1+Y/Y)/((1+M&amp;A)*(1+FX))-1. WFC does not disclose M&amp;A/scope or FX effects by revenue line, so organic growth is unavailable (not set to zero).</t>
      </text>
    </comment>
    <comment ref="B46" authorId="0">
      <text>
        <t>Organic = (1+Y/Y)/((1+M&amp;A)*(1+FX))-1. WFC does not disclose M&amp;A/scope or FX effects by revenue line, so organic growth is unavailable (not set to zero).</t>
      </text>
    </comment>
    <comment ref="B65" authorId="0">
      <text>
        <t>Dec-2024 opening not available on the 1Q26 recast basis.</t>
      </text>
    </comment>
    <comment ref="B68" authorId="0">
      <text>
        <t>3Q26E closing advisory assets not forecast (affects 4Q26 fees, not 3Q26); held flat as a placeholder assumption.</t>
      </text>
    </comment>
    <comment ref="B78" authorId="0">
      <text>
        <t>3Q26E = average of 1Q26 and 2Q26 realized rates (slow fee-rate compression).</t>
      </text>
    </comment>
    <comment ref="B112" authorId="0">
      <text>
        <t>3Q26E = 2Q26 plus revenue-related payout on higher advisory and brokerage revenue.</t>
      </text>
    </comment>
    <comment ref="B133" authorId="0">
      <text>
        <t>1Q25 opening (Dec-2024) is not shown in the supplements used on the current segment basis; FY25 opening therefore unavailable.</t>
      </text>
    </comment>
    <comment ref="B135" authorId="0">
      <text>
        <t>3Q26E closing = opening x (1 + forecast growth in the average balance); feeds the Balance Sheet loans/deposits tie-out.</t>
      </text>
    </comment>
    <comment ref="B141" authorId="0">
      <text>
        <t>1Q25 opening (Dec-2024) is not shown in the supplements used on the current segment basis; FY25 opening therefore unavailable.</t>
      </text>
    </comment>
    <comment ref="B143" authorId="0">
      <text>
        <t>3Q26E closing = opening x (1 + forecast growth in the average balance); feeds the Balance Sheet loans/deposits tie-out.</t>
      </text>
    </comment>
  </commentList>
</comments>
</file>

<file path=xl/comments6.xml><?xml version="1.0" encoding="utf-8"?>
<comments xmlns="http://schemas.openxmlformats.org/spreadsheetml/2006/main">
  <authors>
    <author>Shortcut</author>
  </authors>
  <commentList>
    <comment ref="B10" authorId="0">
      <text>
        <t>3Q26E: +2.25% Q/Q. 2Q26 period-end assets ($2,282bn) were 2.4% above the 2Q26 average; CFO (2026-09-15) said loan growth slows from 1H pace and Markets balance sheet is being used more efficiently.</t>
      </text>
    </comment>
    <comment ref="B17" authorId="0">
      <text>
        <t>3Q26E held at the 2Q26 level ($75mm).</t>
      </text>
    </comment>
    <comment ref="B24" authorId="0">
      <text>
        <t>3Q26E held at 2Q26 (4.58%): CFO cited a "grind up" in asset yields offset by Markets balance-sheet netting; interest expense is the residual of the NIM-based NII build.</t>
      </text>
    </comment>
    <comment ref="B32" authorId="0">
      <text>
        <t>Organic = (1+Y/Y)/((1+M&amp;A)*(1+FX))-1. WFC does not disclose M&amp;A/scope or FX effects by revenue line, so organic growth is unavailable (not set to zero).</t>
      </text>
    </comment>
    <comment ref="B33" authorId="0">
      <text>
        <t>3Q26E grows with average earning assets.</t>
      </text>
    </comment>
    <comment ref="B36" authorId="0">
      <text>
        <t>3Q26E = interest expense (NII residual) / average interest-bearing liabilities, annualized: a sanity check on the implied funding cost.</t>
      </text>
    </comment>
    <comment ref="B39" authorId="0">
      <text>
        <t>3Q26E = interest income less net interest income from the NIM x earning-assets build.</t>
      </text>
    </comment>
    <comment ref="B47" authorId="0">
      <text>
        <t>Organic = (1+Y/Y)/((1+M&amp;A)*(1+FX))-1. WFC does not disclose M&amp;A/scope or FX effects by revenue line, so organic growth is unavailable (not set to zero).</t>
      </text>
    </comment>
    <comment ref="B48" authorId="0">
      <text>
        <t>3Q26E = half of the 2H26 remainder of the ~$2bn FY26 Markets NII guidance (2026-09-15).</t>
      </text>
    </comment>
    <comment ref="B61" authorId="0">
      <text>
        <t>Organic = (1+Y/Y)/((1+M&amp;A)*(1+FX))-1. WFC does not disclose M&amp;A/scope or FX effects by revenue line, so organic growth is unavailable (not set to zero).</t>
      </text>
    </comment>
    <comment ref="B68" authorId="0">
      <text>
        <t>Organic = (1+Y/Y)/((1+M&amp;A)*(1+FX))-1. WFC does not disclose M&amp;A/scope or FX effects by revenue line, so organic growth is unavailable (not set to zero).</t>
      </text>
    </comment>
    <comment ref="B75" authorId="0">
      <text>
        <t>Organic = (1+Y/Y)/((1+M&amp;A)*(1+FX))-1. WFC does not disclose M&amp;A/scope or FX effects by revenue line, so organic growth is unavailable (not set to zero).</t>
      </text>
    </comment>
    <comment ref="B82" authorId="0">
      <text>
        <t>Organic = (1+Y/Y)/((1+M&amp;A)*(1+FX))-1. WFC does not disclose M&amp;A/scope or FX effects by revenue line, so organic growth is unavailable (not set to zero).</t>
      </text>
    </comment>
    <comment ref="B89" authorId="0">
      <text>
        <t>Organic = (1+Y/Y)/((1+M&amp;A)*(1+FX))-1. WFC does not disclose M&amp;A/scope or FX effects by revenue line, so organic growth is unavailable (not set to zero).</t>
      </text>
    </comment>
    <comment ref="B96" authorId="0">
      <text>
        <t>Organic = (1+Y/Y)/((1+M&amp;A)*(1+FX))-1. WFC does not disclose M&amp;A/scope or FX effects by revenue line, so organic growth is unavailable (not set to zero).</t>
      </text>
    </comment>
    <comment ref="B103" authorId="0">
      <text>
        <t>Organic = (1+Y/Y)/((1+M&amp;A)*(1+FX))-1. WFC does not disclose M&amp;A/scope or FX effects by revenue line, so organic growth is unavailable (not set to zero).</t>
      </text>
    </comment>
    <comment ref="B110" authorId="0">
      <text>
        <t>Organic = (1+Y/Y)/((1+M&amp;A)*(1+FX))-1. WFC does not disclose M&amp;A/scope or FX effects by revenue line, so organic growth is unavailable (not set to zero).</t>
      </text>
    </comment>
    <comment ref="B112" authorId="0">
      <text>
        <t>3Q26E: no announced portfolio repositioning before the cutoff; assumption, not evidence of zero.</t>
      </text>
    </comment>
    <comment ref="B117" authorId="0">
      <text>
        <t>Organic = (1+Y/Y)/((1+M&amp;A)*(1+FX))-1. WFC does not disclose M&amp;A/scope or FX effects by revenue line, so organic growth is unavailable (not set to zero).</t>
      </text>
    </comment>
    <comment ref="B118" authorId="0">
      <text>
        <t>3Q26E $100mm: CFO (2026-09-15) said venture portfolio results this quarter are "probably closer to flat" after ~$850mm of 1H26 gains.</t>
      </text>
    </comment>
    <comment ref="B123" authorId="0">
      <text>
        <t>Organic = (1+Y/Y)/((1+M&amp;A)*(1+FX))-1. WFC does not disclose M&amp;A/scope or FX effects by revenue line, so organic growth is unavailable (not set to zero).</t>
      </text>
    </comment>
    <comment ref="B124" authorId="0">
      <text>
        <t>3Q26E $400mm: between 1Q26 ($489mm) and 2Q26 ($377mm).</t>
      </text>
    </comment>
    <comment ref="B129" authorId="0">
      <text>
        <t>Organic = (1+Y/Y)/((1+M&amp;A)*(1+FX))-1. WFC does not disclose M&amp;A/scope or FX effects by revenue line, so organic growth is unavailable (not set to zero).</t>
      </text>
    </comment>
    <comment ref="B135" authorId="0">
      <text>
        <t>Organic = (1+Y/Y)/((1+M&amp;A)*(1+FX))-1. WFC does not disclose M&amp;A/scope or FX effects by revenue line, so organic growth is unavailable (not set to zero).</t>
      </text>
    </comment>
    <comment ref="B141" authorId="0">
      <text>
        <t>Organic = (1+Y/Y)/((1+M&amp;A)*(1+FX))-1. WFC does not disclose M&amp;A/scope or FX effects by revenue line, so organic growth is unavailable (not set to zero).</t>
      </text>
    </comment>
    <comment ref="B146" authorId="0">
      <text>
        <t>3Q26E +1.5%: 2Q26 period-end loans only 0.5% above the 2Q26 average; CFO said growth slows from the 12% 1H pace.</t>
      </text>
    </comment>
    <comment ref="B152" authorId="0">
      <text>
        <t>3Q26E 0.375%: consistent with the newer Zacks NCO estimate of $985.6mm (2026-10-08) on forecast average loans; CFO saw no credit cracks (2026-09-15).</t>
      </text>
    </comment>
    <comment ref="B155" authorId="0">
      <text>
        <t>3Q26E +$130mm: reserve build for card/auto/C&amp;I growth (~1.4% coverage on ~$15bn loan growth) partly offset by continued CRE releases.</t>
      </text>
    </comment>
    <comment ref="B166" authorId="0">
      <text>
        <t>Revenue-related (advisor payout) compensation; CFO flagged higher wealth commissions offset elsewhere (2026-09-15).</t>
      </text>
    </comment>
    <comment ref="B190" authorId="0">
      <text>
        <t>Severance disclosed as a notable item in 3Q25 ($296mm) and 4Q25 ($612mm); none disclosed in other quarters. 3Q26E: none announced before cutoff.</t>
      </text>
    </comment>
    <comment ref="B203" authorId="0">
      <text>
        <t>Disclosed discrete tax benefits from resolution of prior-period matters. 3Q26E: none assumed.</t>
      </text>
    </comment>
    <comment ref="B206" authorId="0">
      <text>
        <t>3Q26E 19.0%: 3Q25 18.9%; 2Q26 ex-discrete 19.1%; CapIQ consensus ETR 18.64%.</t>
      </text>
    </comment>
    <comment ref="B214" authorId="0">
      <text>
        <t>2Q26 NCI ($238mm) tied to venture gains; 3Q26E $30mm with venture ~flat.</t>
      </text>
    </comment>
    <comment ref="B248" authorId="0">
      <text>
        <t>1Q25 $263mm gain on sale of non-agency commercial mortgage servicing; 2Q25 $253mm gain on acquiring the rest of the merchant services JV (both issuer notable items).</t>
      </text>
    </comment>
    <comment ref="B249" authorId="0">
      <text>
        <t>CapIQ normalized EPS excludes securities repositioning losses (1Q25 $147mm); gains are left in.</t>
      </text>
    </comment>
    <comment ref="B250" authorId="0">
      <text>
        <t>24.7% = 4Q25 disclosed tax effect ($612mm pre-tax severance -&gt; $461mm after tax).</t>
      </text>
    </comment>
  </commentList>
</comments>
</file>

<file path=xl/comments7.xml><?xml version="1.0" encoding="utf-8"?>
<comments xmlns="http://schemas.openxmlformats.org/spreadsheetml/2006/main">
  <authors>
    <author>Shortcut</author>
  </authors>
  <commentList>
    <comment ref="B12" authorId="0">
      <text>
        <t>3Q26E balancing item: liquidity absorbs the difference between forecast funding and forecast earning assets.</t>
      </text>
    </comment>
    <comment ref="B31" authorId="0">
      <text>
        <t>3Q26E = sum of segment closing loans (segment ladders) plus Corporate/other loans held at the 2Q26 level.</t>
      </text>
    </comment>
    <comment ref="B34" authorId="0">
      <text>
        <t>3Q26E: allowance increases by the forecast change in ACL (unfunded-commitment split not forecast).</t>
      </text>
    </comment>
    <comment ref="B61" authorId="0">
      <text>
        <t>3Q26E = segment closing deposits plus Corporate deposits (held at 2Q26) less noninterest-bearing deposits.</t>
      </text>
    </comment>
    <comment ref="B100" authorId="0">
      <text>
        <t>3Q26E held flat (rate moves not forecast).</t>
      </text>
    </comment>
    <comment ref="B115" authorId="0">
      <text>
        <t>As reported in the consolidated statement of cash flows (XBRL). 3Q26E moves with cash and due plus interest-earning deposits.</t>
      </text>
    </comment>
    <comment ref="B131" authorId="0">
      <text>
        <t>3Q26E +2.0%: 2Q26 period-end deposits ($1,501bn) were 2.4% above the 2Q26 average; CFO (2026-09-15) said deposit growth is running ahead of the mid-single-digit target, led by interest-bearing commercial deposits.</t>
      </text>
    </comment>
  </commentList>
</comments>
</file>

<file path=xl/comments8.xml><?xml version="1.0" encoding="utf-8"?>
<comments xmlns="http://schemas.openxmlformats.org/spreadsheetml/2006/main">
  <authors>
    <author>Shortcut</author>
  </authors>
  <commentList>
    <comment ref="B10" authorId="0">
      <text>
        <t>3Q26E: allowance build (non-cash) plus changes in trading assets/liabilities and other assets/liabilities (held flat).</t>
      </text>
    </comment>
    <comment ref="B15" authorId="0">
      <text>
        <t>3Q26E = minus the forecast change in fed funds sold/reverse repo, securities, gross loans, premises, goodwill and equity securities.</t>
      </text>
    </comment>
    <comment ref="B18" authorId="0">
      <text>
        <t>WFC does not present purchases of premises and equipment as a separate line in its consolidated statement of cash flows; capex is unavailable rather than zero.</t>
      </text>
    </comment>
    <comment ref="B26" authorId="0">
      <text>
        <t>WFC does not define or report free cash flow; for a bank, operating cash flow is dominated by trading and other balance-sheet movements.</t>
      </text>
    </comment>
  </commentList>
</comments>
</file>

<file path=xl/comments9.xml><?xml version="1.0" encoding="utf-8"?>
<comments xmlns="http://schemas.openxmlformats.org/spreadsheetml/2006/main">
  <authors>
    <author>Shortcut</author>
  </authors>
  <commentList>
    <comment ref="B13" authorId="0">
      <text>
        <t>3Q26E 3.0mm: 2Q-4Q issuance has run 1.6-3.1mm; 1Q is seasonally higher (vesting).</t>
      </text>
    </comment>
    <comment ref="B22" authorId="0">
      <text>
        <t>3Q26E $3.5bn: within the $3-6bn quarterly range of the last 2.5 years; CET1 10.3% vs 10-10.5% target; RWAs growing (2026-09-15).</t>
      </text>
    </comment>
    <comment ref="B25" authorId="0">
      <text>
        <t>3Q26E $86: approximate average WFC close Jul-Sep 2026 (range ~$80-90).</t>
      </text>
    </comment>
    <comment ref="B36" authorId="0">
      <text>
        <t>3Q26E -3.0mm, in line with 2Q-4Q history (-2.4 to -8.4mm).</t>
      </text>
    </comment>
    <comment ref="B39" authorId="0">
      <text>
        <t>3Q26E 31.0mm vs 30.6mm in 2Q26.</t>
      </text>
    </comment>
  </commentList>
</comments>
</file>

<file path=xl/comments10.xml><?xml version="1.0" encoding="utf-8"?>
<comments xmlns="http://schemas.openxmlformats.org/spreadsheetml/2006/main">
  <authors>
    <author>Shortcut</author>
  </authors>
  <commentList>
    <comment ref="B11" authorId="0">
      <text>
        <t>FY25 actual includes $908mm of 2H25 severance not in the January 2025 outlook.</t>
      </text>
    </comment>
    <comment ref="B17" authorId="0">
      <text>
        <t>Per the Barclays host recap of July guidance (3Q down 3-4bp, stabilizing in 4Q).</t>
      </text>
    </comment>
    <comment ref="B22" authorId="0">
      <text>
        <t>"Mid-single digits" translated to a 3%-7% range; midpoint 5% used in the model.</t>
      </text>
    </comment>
    <comment ref="B42" authorId="0">
      <text>
        <t>Negative: the model phases more of the 2H26 NII step-up into 4Q26 than a straight half-split.</t>
      </text>
    </comment>
  </commentList>
</comments>
</file>

<file path=xl/comments11.xml><?xml version="1.0" encoding="utf-8"?>
<comments xmlns="http://schemas.openxmlformats.org/spreadsheetml/2006/main">
  <authors>
    <author>Shortcut</author>
  </authors>
  <commentList>
    <comment ref="B124" authorId="0">
      <text>
        <t>Starting p 80.3% (5 of 6 historical beats, large/S&amp;P cohort). Lowered to 65% because the bottom-up model ($1.85) lands only ~$0.02 above the frozen $1.83 consensus (strict beat needs &gt;= $1.84), venture gains guided ~flat after $847mm in 2Q26, and seasonal markets decline; partly offset by advisory-fee repricing on +9.5% advisory assets and better NIM guidance (2026-09-15).</t>
      </text>
    </comment>
  </commentList>
</comments>
</file>

<file path=xl/sharedStrings.xml><?xml version="1.0" encoding="utf-8"?>
<sst xmlns="http://schemas.openxmlformats.org/spreadsheetml/2006/main" count="3079" uniqueCount="816">
  <si>
    <t>Wells Fargo &amp; Company (NYSE: WFC)</t>
  </si>
  <si>
    <t>Company Model — built by Shortcut</t>
  </si>
  <si>
    <t>$ millions, except per share</t>
  </si>
  <si>
    <t>Source</t>
  </si>
  <si>
    <t>Company</t>
  </si>
  <si>
    <t>Wells Fargo &amp; Company</t>
  </si>
  <si>
    <t>Ticker / exchange</t>
  </si>
  <si>
    <t>WFC / NYSE</t>
  </si>
  <si>
    <t>Fiscal year end</t>
  </si>
  <si>
    <t>Calendar year (FYE Dec-31)</t>
  </si>
  <si>
    <t>Reporting currency</t>
  </si>
  <si>
    <t>USD</t>
  </si>
  <si>
    <t>Forecast period</t>
  </si>
  <si>
    <t>3Q26E = FQ3 2026, quarter ended 2026-09-30 (calendar quarter; Sep-30 is the issuer quarter end, not shorthand)</t>
  </si>
  <si>
    <t>EPS basis</t>
  </si>
  <si>
    <t>Normalized diluted EPS per common share, USD (CapIQ basis: GAAP excluding issuer notable items)</t>
  </si>
  <si>
    <t>Information cutoff</t>
  </si>
  <si>
    <t>2026-10-11 22:24 UTC</t>
  </si>
  <si>
    <t>Expected report date</t>
  </si>
  <si>
    <t>2026-10-13, ~7:00 a.m. ET (confirmed by WFC newsroom, 2026-10-05)</t>
  </si>
  <si>
    <t>Author</t>
  </si>
  <si>
    <t>Shortcut (model built with Shortcut tools)</t>
  </si>
  <si>
    <t>Market cap, $ mm (2026-10-09)</t>
  </si>
  <si>
    <t>Size bucket / S&amp;P 500</t>
  </si>
  <si>
    <t>Headline: 3Q26E</t>
  </si>
  <si>
    <t>Shortcut est.</t>
  </si>
  <si>
    <t>Consensus (CapIQ)</t>
  </si>
  <si>
    <t>Variance</t>
  </si>
  <si>
    <t>Guidance-implied</t>
  </si>
  <si>
    <t>Est. less guide</t>
  </si>
  <si>
    <t xml:space="preserve">  Total revenue ($ mm)</t>
  </si>
  <si>
    <t xml:space="preserve">    Variance vs consensus (%)</t>
  </si>
  <si>
    <t xml:space="preserve">  Net income to common, normalized ($ mm)</t>
  </si>
  <si>
    <t>n/m</t>
  </si>
  <si>
    <t>Variances withheld: CapIQ NI consensus basis (to common vs pre-preferred) unverified</t>
  </si>
  <si>
    <t xml:space="preserve">  Normalized diluted EPS (consensus basis)</t>
  </si>
  <si>
    <t xml:space="preserve">  GAAP diluted EPS</t>
  </si>
  <si>
    <t>P(beat consensus EPS)</t>
  </si>
  <si>
    <t>Confidence</t>
  </si>
  <si>
    <t>Historical arithmetic ties (calc. vs entered/reported memo values)</t>
  </si>
  <si>
    <t>Only IS 142/240 and CF 31/35 tie to separately sourced data; excl. row 33 &amp; IS 263</t>
  </si>
  <si>
    <t>3Q26E plugs / link identities</t>
  </si>
  <si>
    <t>Probability method (playbook v2)</t>
  </si>
  <si>
    <t xml:space="preserve">  Cohort prior (large / S&amp;P 500)</t>
  </si>
  <si>
    <t xml:space="preserve">  Historical strict beats b / valid pairs n</t>
  </si>
  <si>
    <t xml:space="preserve">  Starting p = (8 × prior + b) / (8 + n)</t>
  </si>
  <si>
    <t xml:space="preserve">  Final p after quarter-specific evidence</t>
  </si>
  <si>
    <t>Newer consensus snapshots (recorded separately; not the scoring baseline)</t>
  </si>
  <si>
    <t xml:space="preserve">  Zacks EPS (via Yahoo, 2026-10-08)</t>
  </si>
  <si>
    <t>S17</t>
  </si>
  <si>
    <t xml:space="preserve">  Zacks revenue, $ mm (2026-10-08)</t>
  </si>
  <si>
    <t xml:space="preserve">  Zacks NII, $ mm (2026-10-08)</t>
  </si>
  <si>
    <t xml:space="preserve">  MarketBeat EPS (2026-10-11)</t>
  </si>
  <si>
    <t>S24</t>
  </si>
  <si>
    <t xml:space="preserve">  MarketBeat revenue, $ mm (2026-10-11)</t>
  </si>
  <si>
    <t xml:space="preserve">  Other consensus cited by el-fondo EPS (2026-10-10)</t>
  </si>
  <si>
    <t xml:space="preserve">  Other consensus cited by el-fondo revenue, $ mm (2026-10-10)</t>
  </si>
  <si>
    <t xml:space="preserve">  FactSet provision estimate via MarketWatch, $ mm (2026-10-11)</t>
  </si>
  <si>
    <t>S18</t>
  </si>
  <si>
    <t>Identity: EPS = net income to common / diluted shares (3Q26E; not independent)</t>
  </si>
  <si>
    <t>Identity: Cover EPS links to Income Statement J259 (not independent)</t>
  </si>
  <si>
    <t>Revenue summary — consolidated and by reportable segment</t>
  </si>
  <si>
    <t>Period</t>
  </si>
  <si>
    <t>1Q25A</t>
  </si>
  <si>
    <t>2Q25A</t>
  </si>
  <si>
    <t>3Q25A</t>
  </si>
  <si>
    <t>4Q25A</t>
  </si>
  <si>
    <t>FY25A</t>
  </si>
  <si>
    <t>1Q26A</t>
  </si>
  <si>
    <t>2Q26A</t>
  </si>
  <si>
    <t>3Q26E</t>
  </si>
  <si>
    <t>Period end</t>
  </si>
  <si>
    <t>Days in period</t>
  </si>
  <si>
    <t>Consolidated revenue (Income Statement)</t>
  </si>
  <si>
    <t>Total revenue</t>
  </si>
  <si>
    <t xml:space="preserve">  % Y/Y (total)</t>
  </si>
  <si>
    <t xml:space="preserve">  % Q/Q</t>
  </si>
  <si>
    <t xml:space="preserve">  M&amp;A / scope impact</t>
  </si>
  <si>
    <t>Not disclosed</t>
  </si>
  <si>
    <t xml:space="preserve">  FX impact</t>
  </si>
  <si>
    <t xml:space="preserve">  Organic growth</t>
  </si>
  <si>
    <t>Unavailable</t>
  </si>
  <si>
    <t>Revenue by reportable segment</t>
  </si>
  <si>
    <t xml:space="preserve">  Consumer Banking and Lending</t>
  </si>
  <si>
    <t xml:space="preserve">    % Y/Y (total)</t>
  </si>
  <si>
    <t xml:space="preserve">    % Q/Q</t>
  </si>
  <si>
    <t xml:space="preserve">    M&amp;A / scope impact</t>
  </si>
  <si>
    <t xml:space="preserve">    FX impact</t>
  </si>
  <si>
    <t xml:space="preserve">    Organic growth</t>
  </si>
  <si>
    <t xml:space="preserve">    % of total revenue</t>
  </si>
  <si>
    <t xml:space="preserve">  Commercial Banking</t>
  </si>
  <si>
    <t xml:space="preserve">  Corporate and Investment Banking</t>
  </si>
  <si>
    <t xml:space="preserve">  Wealth and Investment Management</t>
  </si>
  <si>
    <t xml:space="preserve">  [3Q26E residual] Corporate (not a reportable segment)</t>
  </si>
  <si>
    <t>S3/S6</t>
  </si>
  <si>
    <t xml:space="preserve">  Reconciling items (taxable-equivalent eliminations)</t>
  </si>
  <si>
    <t>Sum of segments, Corporate and reconciling items</t>
  </si>
  <si>
    <t xml:space="preserve">  [3Q26E identity] Check: segments sum less total revenue = 0</t>
  </si>
  <si>
    <t>Revenue mix</t>
  </si>
  <si>
    <t xml:space="preserve">  Net interest income</t>
  </si>
  <si>
    <t xml:space="preserve">  Noninterest income</t>
  </si>
  <si>
    <t>Geography: effectively all U.S. — Geo tab omitted (see Sources)</t>
  </si>
  <si>
    <t>Segment net income</t>
  </si>
  <si>
    <t xml:space="preserve">  Corporate (3Q26E residual)</t>
  </si>
  <si>
    <t>Sum of segment net income</t>
  </si>
  <si>
    <t xml:space="preserve">  [3Q26E identity] Check: sum less Wells Fargo net income = 0</t>
  </si>
  <si>
    <t>Memo: segment-to-consolidated reconciliation (Corporate / other = consolidated less sum of four segments)</t>
  </si>
  <si>
    <t xml:space="preserve">  Provision — consolidated</t>
  </si>
  <si>
    <t xml:space="preserve">  Provision — sum of segments</t>
  </si>
  <si>
    <t xml:space="preserve">  Provision — Corp./other implied</t>
  </si>
  <si>
    <t xml:space="preserve">  NCOs — consolidated</t>
  </si>
  <si>
    <t xml:space="preserve">  NCOs — sum of segments</t>
  </si>
  <si>
    <t xml:space="preserve">  NCOs — Corp./other implied</t>
  </si>
  <si>
    <t xml:space="preserve">  Avg deposits — consolidated</t>
  </si>
  <si>
    <t xml:space="preserve">  Avg deposits — sum of segments</t>
  </si>
  <si>
    <t xml:space="preserve">  Avg deposits — Corp./other implied</t>
  </si>
  <si>
    <t xml:space="preserve">    % Q/Q — consolidated</t>
  </si>
  <si>
    <t xml:space="preserve">    % Q/Q — sum of segments</t>
  </si>
  <si>
    <t>Segment — Consumer Banking and Lending (CBL)</t>
  </si>
  <si>
    <t>Income statement (segment basis; 1Q26 WIM→CSBB recast applied to all periods; 3Q25 CB→CSBB transfer prospective)</t>
  </si>
  <si>
    <t xml:space="preserve">  Days in period</t>
  </si>
  <si>
    <t xml:space="preserve">  Deposit-related fees</t>
  </si>
  <si>
    <t xml:space="preserve">  Investment advisory and other asset-based fees</t>
  </si>
  <si>
    <t xml:space="preserve">  Commissions and brokerage services fees</t>
  </si>
  <si>
    <t xml:space="preserve">    Growth Q/Q (3Q26E assumption)</t>
  </si>
  <si>
    <t xml:space="preserve">  Card fees</t>
  </si>
  <si>
    <t xml:space="preserve">  Mortgage banking</t>
  </si>
  <si>
    <t xml:space="preserve">  Other noninterest income</t>
  </si>
  <si>
    <t>Total noninterest income</t>
  </si>
  <si>
    <t>Revenue by line of business</t>
  </si>
  <si>
    <t xml:space="preserve">  Credit Card</t>
  </si>
  <si>
    <t xml:space="preserve">  Home Lending</t>
  </si>
  <si>
    <t xml:space="preserve">  Auto</t>
  </si>
  <si>
    <t xml:space="preserve">  Personal Lending</t>
  </si>
  <si>
    <t xml:space="preserve">  [3Q26E residual] Consumer, Small and Business Banking</t>
  </si>
  <si>
    <t>Total revenue by line of business</t>
  </si>
  <si>
    <t xml:space="preserve">  [3Q26E identity] Check: lines of business less total revenue = 0</t>
  </si>
  <si>
    <t>Balance drivers (average balances) — 3Q25 prospective ~$8bn loan / ~$6bn deposit transfer from CB to CSBB (S3/S6): 1Q25–2Q25 not like-for-like</t>
  </si>
  <si>
    <t xml:space="preserve">  Avg loans — Consumer, Small and Business Banking</t>
  </si>
  <si>
    <t xml:space="preserve">    Y/Y change</t>
  </si>
  <si>
    <t xml:space="preserve">    Q/Q change</t>
  </si>
  <si>
    <t xml:space="preserve">  Avg loans — Credit Card</t>
  </si>
  <si>
    <t xml:space="preserve">  Avg loans — Home Lending</t>
  </si>
  <si>
    <t xml:space="preserve">  Avg loans — Auto</t>
  </si>
  <si>
    <t xml:space="preserve">  Avg loans — Personal Lending</t>
  </si>
  <si>
    <t>Total average loans</t>
  </si>
  <si>
    <t xml:space="preserve">  Y/Y change</t>
  </si>
  <si>
    <t xml:space="preserve">  Q/Q change</t>
  </si>
  <si>
    <t xml:space="preserve">  Average deposits</t>
  </si>
  <si>
    <t xml:space="preserve">  Average loans + deposits (NII base)</t>
  </si>
  <si>
    <t xml:space="preserve">  NII / (avg loans + deposits), annualized</t>
  </si>
  <si>
    <t xml:space="preserve">    Y/Y change (bps)</t>
  </si>
  <si>
    <t xml:space="preserve">    Q/Q change (bps)</t>
  </si>
  <si>
    <t xml:space="preserve">  Deposit fees / avg deposits, annualized</t>
  </si>
  <si>
    <t xml:space="preserve">  Deposit spread (reported)</t>
  </si>
  <si>
    <t xml:space="preserve">  Credit Card revenue / avg card loans, annualized</t>
  </si>
  <si>
    <t xml:space="preserve">  Home Lending revenue / avg loans, annualized</t>
  </si>
  <si>
    <t xml:space="preserve">  Auto revenue / avg loans, annualized</t>
  </si>
  <si>
    <t xml:space="preserve">  Personal Lending revenue / avg loans, annualized</t>
  </si>
  <si>
    <t>Period-end balances — 3Q25 prospective CB→CSBB transfer (S3/S6): 1Q25–2Q25 not like-for-like</t>
  </si>
  <si>
    <t xml:space="preserve">  Period-end loans — CSBB</t>
  </si>
  <si>
    <t xml:space="preserve">  Period-end loans — Credit Card</t>
  </si>
  <si>
    <t xml:space="preserve">  Period-end loans — Home Lending</t>
  </si>
  <si>
    <t xml:space="preserve">  Period-end loans — Auto</t>
  </si>
  <si>
    <t xml:space="preserve">  Period-end loans — Personal Lending</t>
  </si>
  <si>
    <t>Total period-end loans</t>
  </si>
  <si>
    <t xml:space="preserve">  Period-end deposits</t>
  </si>
  <si>
    <t>Card and payments activity</t>
  </si>
  <si>
    <t xml:space="preserve">  Debit card purchase volume ($ bn)</t>
  </si>
  <si>
    <t xml:space="preserve">    Debit volume Y/Y (3Q26E assumption)</t>
  </si>
  <si>
    <t xml:space="preserve">  Debit card purchase transactions (mm)</t>
  </si>
  <si>
    <t xml:space="preserve">  Average debit ticket ($ per transaction)</t>
  </si>
  <si>
    <t xml:space="preserve">  Credit card purchase volume ($ bn)</t>
  </si>
  <si>
    <t xml:space="preserve">    Credit volume Y/Y (3Q26E assumption)</t>
  </si>
  <si>
    <t>Total debit + credit purchase volume ($ bn)</t>
  </si>
  <si>
    <t xml:space="preserve">  Card fees / purchase volume</t>
  </si>
  <si>
    <t>Credit card accounts ladder (# thousands)</t>
  </si>
  <si>
    <t xml:space="preserve">  Opening accounts</t>
  </si>
  <si>
    <t xml:space="preserve">  Gross additions: new accounts</t>
  </si>
  <si>
    <t xml:space="preserve">  Terminations / churn</t>
  </si>
  <si>
    <t xml:space="preserve">  Net additions</t>
  </si>
  <si>
    <t xml:space="preserve">  Closing accounts</t>
  </si>
  <si>
    <t xml:space="preserve">  Average accounts</t>
  </si>
  <si>
    <t xml:space="preserve">  Churn %</t>
  </si>
  <si>
    <t>Digital active customers ladder (mm)</t>
  </si>
  <si>
    <t xml:space="preserve">  Opening digital actives</t>
  </si>
  <si>
    <t xml:space="preserve">  Gross additions</t>
  </si>
  <si>
    <t xml:space="preserve">  Attrition / churn</t>
  </si>
  <si>
    <t xml:space="preserve">  Net additions (derived; 3Q26E assumption = 0)</t>
  </si>
  <si>
    <t xml:space="preserve">  Closing digital actives</t>
  </si>
  <si>
    <t xml:space="preserve">  Average digital actives (simple)</t>
  </si>
  <si>
    <t xml:space="preserve">  CBL revenue per avg digital active ($, annualized)</t>
  </si>
  <si>
    <t>Mobile active customers ladder (mm)</t>
  </si>
  <si>
    <t xml:space="preserve">  Opening mobile actives</t>
  </si>
  <si>
    <t xml:space="preserve">  Closing mobile actives</t>
  </si>
  <si>
    <t xml:space="preserve">  Average mobile actives (simple)</t>
  </si>
  <si>
    <t xml:space="preserve">  Mobile actives as % of digital actives</t>
  </si>
  <si>
    <t>Retail branch ladder (#)</t>
  </si>
  <si>
    <t xml:space="preserve">  Opening branches</t>
  </si>
  <si>
    <t xml:space="preserve">  Closing branches</t>
  </si>
  <si>
    <t xml:space="preserve">  Average branches (simple)</t>
  </si>
  <si>
    <t>Home lending and auto activity</t>
  </si>
  <si>
    <t xml:space="preserve">  Mortgage loan originations ($ bn)</t>
  </si>
  <si>
    <t xml:space="preserve">  % of originations held for sale</t>
  </si>
  <si>
    <t xml:space="preserve">  Third-party mortgage loans serviced ($ bn, period-end)</t>
  </si>
  <si>
    <t xml:space="preserve">  CBL mortgage banking / serviced balance (quarterly)</t>
  </si>
  <si>
    <t xml:space="preserve">  Auto loan originations ($ bn)</t>
  </si>
  <si>
    <t xml:space="preserve">  Client assets in advisory &amp; brokerage ($ bn, period-end)</t>
  </si>
  <si>
    <t xml:space="preserve">  Client assets at beginning of period ($ bn)</t>
  </si>
  <si>
    <t xml:space="preserve">  Advisory fees / beginning client assets (quarterly)</t>
  </si>
  <si>
    <t>Credit quality</t>
  </si>
  <si>
    <t xml:space="preserve">  Credit card 30+ day delinquency</t>
  </si>
  <si>
    <t xml:space="preserve">  Credit card 90+ day delinquency</t>
  </si>
  <si>
    <t xml:space="preserve">  Auto 30+ day delinquency</t>
  </si>
  <si>
    <t xml:space="preserve">  Home lending 30+ day delinquency</t>
  </si>
  <si>
    <t>Segment profit</t>
  </si>
  <si>
    <t xml:space="preserve">  Net charge-offs</t>
  </si>
  <si>
    <t xml:space="preserve">  NCO rate (annualized)</t>
  </si>
  <si>
    <t xml:space="preserve">  Change in allowance for credit losses</t>
  </si>
  <si>
    <t>Provision for credit losses</t>
  </si>
  <si>
    <t xml:space="preserve">  Noninterest expense</t>
  </si>
  <si>
    <t>Income before income tax expense</t>
  </si>
  <si>
    <t xml:space="preserve">  Income tax expense</t>
  </si>
  <si>
    <t xml:space="preserve">  Segment tax rate</t>
  </si>
  <si>
    <t xml:space="preserve">  Memo: reported segment net income</t>
  </si>
  <si>
    <t xml:space="preserve">  Check: calculated less reported = 0</t>
  </si>
  <si>
    <t xml:space="preserve">  Efficiency ratio</t>
  </si>
  <si>
    <t xml:space="preserve">  Pre-tax margin</t>
  </si>
  <si>
    <t xml:space="preserve">  Allocated capital (average)</t>
  </si>
  <si>
    <t xml:space="preserve">  Return on allocated capital (reported)</t>
  </si>
  <si>
    <t>Loans ladder ($ mm)</t>
  </si>
  <si>
    <t xml:space="preserve">  Opening loans (prior period-end)</t>
  </si>
  <si>
    <t xml:space="preserve">  Net change in balance (derived)</t>
  </si>
  <si>
    <t>Closing loans (period-end)</t>
  </si>
  <si>
    <t xml:space="preserve">  Average loans</t>
  </si>
  <si>
    <t xml:space="preserve">  Closing less average (derived)</t>
  </si>
  <si>
    <t>Deposits ladder ($ mm)</t>
  </si>
  <si>
    <t xml:space="preserve">  Opening deposits (prior period-end)</t>
  </si>
  <si>
    <t>Closing deposits (period-end)</t>
  </si>
  <si>
    <t>Segment — Commercial Banking (CB)</t>
  </si>
  <si>
    <t>Income statement (3Q25: ~$8bn loans / ~$6bn deposits transferred prospectively to CSBB; 1Q25–2Q25 not like-for-like, S3/S6)</t>
  </si>
  <si>
    <t xml:space="preserve">  Lending-related fees</t>
  </si>
  <si>
    <t xml:space="preserve">  Lease income</t>
  </si>
  <si>
    <t>Revenue by product</t>
  </si>
  <si>
    <t xml:space="preserve">  Lending and leasing</t>
  </si>
  <si>
    <t xml:space="preserve">  Treasury management and payments</t>
  </si>
  <si>
    <t xml:space="preserve">  [3Q26E residual] Other</t>
  </si>
  <si>
    <t>Total revenue by product</t>
  </si>
  <si>
    <t xml:space="preserve">  [3Q26E identity] Check: products less total revenue = 0</t>
  </si>
  <si>
    <t>Balance drivers (average balances) — 3Q25 prospective transfer to CSBB (S3/S6): 1Q25–2Q25 not like-for-like</t>
  </si>
  <si>
    <t xml:space="preserve">  Avg loans — Commercial and industrial</t>
  </si>
  <si>
    <t xml:space="preserve">  Avg loans — Commercial real estate</t>
  </si>
  <si>
    <t xml:space="preserve">  Avg loans — Lease financing and other</t>
  </si>
  <si>
    <t xml:space="preserve">  Lending fees / avg loans, annualized</t>
  </si>
  <si>
    <t xml:space="preserve">  Lending &amp; leasing revenue / avg loans, annualized</t>
  </si>
  <si>
    <t xml:space="preserve">  Treasury mgmt revenue / avg deposits, annualized</t>
  </si>
  <si>
    <t>Period-end balances — 3Q25 prospective transfer to CSBB (S3/S6): 1Q25–2Q25 not like-for-like</t>
  </si>
  <si>
    <t xml:space="preserve">  Period-end loans — C&amp;I</t>
  </si>
  <si>
    <t xml:space="preserve">  Period-end loans — CRE</t>
  </si>
  <si>
    <t xml:space="preserve">  Period-end loans — Lease financing and other</t>
  </si>
  <si>
    <t xml:space="preserve">  Less: noncontrolling interests</t>
  </si>
  <si>
    <t>Segment — Corporate and Investment Banking (CIB)</t>
  </si>
  <si>
    <t>Income statement</t>
  </si>
  <si>
    <t xml:space="preserve">  Investment banking fees</t>
  </si>
  <si>
    <t xml:space="preserve">  Net gains from trading activities</t>
  </si>
  <si>
    <t xml:space="preserve">  [3Q26E residual] Other noninterest income</t>
  </si>
  <si>
    <t xml:space="preserve">  Banking — Lending</t>
  </si>
  <si>
    <t xml:space="preserve">  Banking — Treasury Management and Payments</t>
  </si>
  <si>
    <t xml:space="preserve">  Banking — Investment Banking</t>
  </si>
  <si>
    <t>Total Banking</t>
  </si>
  <si>
    <t xml:space="preserve">  Commercial Real Estate</t>
  </si>
  <si>
    <t xml:space="preserve">  Markets — FICC</t>
  </si>
  <si>
    <t xml:space="preserve">    FICC Y/Y (3Q26E assumption)</t>
  </si>
  <si>
    <t xml:space="preserve">  Markets — Equities</t>
  </si>
  <si>
    <t xml:space="preserve">    Equities Y/Y (3Q26E assumption)</t>
  </si>
  <si>
    <t xml:space="preserve">  Markets — Credit adjustment (CVA/DVA/FVA) and other</t>
  </si>
  <si>
    <t>Total Markets</t>
  </si>
  <si>
    <t xml:space="preserve">  Memo: Markets Y/Y vs guidance midpoint (difference)</t>
  </si>
  <si>
    <t xml:space="preserve">  Other</t>
  </si>
  <si>
    <t xml:space="preserve">  Markets revenue other than NII and trading (derived)</t>
  </si>
  <si>
    <t>Balance drivers (average balances)</t>
  </si>
  <si>
    <t xml:space="preserve">  Avg loans — Banking</t>
  </si>
  <si>
    <t xml:space="preserve">  Avg loans — Commercial Real Estate</t>
  </si>
  <si>
    <t xml:space="preserve">  Avg loans — Markets</t>
  </si>
  <si>
    <t xml:space="preserve">    Total average loan growth Q/Q</t>
  </si>
  <si>
    <t xml:space="preserve">  of which: Commercial and industrial</t>
  </si>
  <si>
    <t xml:space="preserve">  of which: Commercial real estate</t>
  </si>
  <si>
    <t xml:space="preserve">  Banking lending revenue / avg Banking loans, annualized</t>
  </si>
  <si>
    <t>Trading-related assets (average)</t>
  </si>
  <si>
    <t xml:space="preserve">  Trading assets excl. derivatives</t>
  </si>
  <si>
    <t xml:space="preserve">  Derivative assets</t>
  </si>
  <si>
    <t xml:space="preserve">  Securities borrowed / reverse repurchase</t>
  </si>
  <si>
    <t>Total trading-related assets</t>
  </si>
  <si>
    <t xml:space="preserve">  Markets revenue / trading-related assets, annualized</t>
  </si>
  <si>
    <t xml:space="preserve">  Total segment assets (average)</t>
  </si>
  <si>
    <t>Period-end balances</t>
  </si>
  <si>
    <t xml:space="preserve">    Growth Q/Q (3Q26E assumption; lower seasonal markets comp)</t>
  </si>
  <si>
    <t>Segment — Wealth and Investment Management (WIM)</t>
  </si>
  <si>
    <t>Income statement (1Q26 recast applied to all periods)</t>
  </si>
  <si>
    <t>Client assets ($ bn, period-end)</t>
  </si>
  <si>
    <t xml:space="preserve">  Advisory assets</t>
  </si>
  <si>
    <t xml:space="preserve">  Other brokerage assets and deposits</t>
  </si>
  <si>
    <t>Total Company-wide client assets</t>
  </si>
  <si>
    <t xml:space="preserve">  Total WIM client assets</t>
  </si>
  <si>
    <t xml:space="preserve">  Advisory share of Company-wide client assets</t>
  </si>
  <si>
    <t>Advisory assets ladder ($ bn)</t>
  </si>
  <si>
    <t xml:space="preserve">  Opening advisory assets</t>
  </si>
  <si>
    <t xml:space="preserve">  Net flows</t>
  </si>
  <si>
    <t xml:space="preserve">  Market impact</t>
  </si>
  <si>
    <t xml:space="preserve">  Net change (flows + market, derived; 3Q26E assumption = 0)</t>
  </si>
  <si>
    <t xml:space="preserve">  Closing advisory assets</t>
  </si>
  <si>
    <t xml:space="preserve">  Average advisory assets (simple)</t>
  </si>
  <si>
    <t xml:space="preserve">  Advisory assets at beginning of period ($ bn)</t>
  </si>
  <si>
    <t xml:space="preserve">  Advisory fees / beginning advisory assets (quarterly)</t>
  </si>
  <si>
    <t xml:space="preserve">  Period-end loans</t>
  </si>
  <si>
    <t>Income Statement (consolidated, as reported) with forecast drivers</t>
  </si>
  <si>
    <t>Net interest income build</t>
  </si>
  <si>
    <t xml:space="preserve">  Average interest-earning assets</t>
  </si>
  <si>
    <t>S3/S8</t>
  </si>
  <si>
    <t xml:space="preserve">    Avg earning-asset growth Q/Q (3Q26E assumption)</t>
  </si>
  <si>
    <t>S14</t>
  </si>
  <si>
    <t xml:space="preserve">  Net interest margin, taxable-equivalent (reported)</t>
  </si>
  <si>
    <t xml:space="preserve">    NIM change Q/Q (bps); 3Q26E = guidance midpoint</t>
  </si>
  <si>
    <t xml:space="preserve">  Taxable-equivalent adjustment</t>
  </si>
  <si>
    <t xml:space="preserve">  Net interest income, taxable-equivalent</t>
  </si>
  <si>
    <t xml:space="preserve">    Implied NIM check (TE NII / avg IEA, annualized)</t>
  </si>
  <si>
    <t xml:space="preserve">  Yield on interest-earning assets (TE, reported)</t>
  </si>
  <si>
    <t xml:space="preserve">  Interest income</t>
  </si>
  <si>
    <t xml:space="preserve">  Average interest-bearing liabilities</t>
  </si>
  <si>
    <t xml:space="preserve">  Cost of interest-bearing liabilities (reported; 3Q26E implied)</t>
  </si>
  <si>
    <t xml:space="preserve">  Interest expense</t>
  </si>
  <si>
    <t>Net interest income</t>
  </si>
  <si>
    <t xml:space="preserve">  Memo: Markets net interest income (CIB)</t>
  </si>
  <si>
    <t xml:space="preserve">  Net interest income excluding Markets (non-GAAP)</t>
  </si>
  <si>
    <t>S3</t>
  </si>
  <si>
    <t>Noninterest income</t>
  </si>
  <si>
    <t xml:space="preserve">    Deposit fees outside CBL/CB/CIB (derived; 3Q26E input)</t>
  </si>
  <si>
    <t xml:space="preserve">    Lending fees outside CB/CIB (derived; 3Q26E input)</t>
  </si>
  <si>
    <t xml:space="preserve">    Advisory fees outside CBL/WIM (derived; 3Q26E input)</t>
  </si>
  <si>
    <t xml:space="preserve">    Commissions outside CBL/WIM (derived; 3Q26E input)</t>
  </si>
  <si>
    <t xml:space="preserve">    IB fees outside CIB (derived; 3Q26E = year-ago level)</t>
  </si>
  <si>
    <t xml:space="preserve">    Card fees outside CBL (derived; 3Q26E input)</t>
  </si>
  <si>
    <t xml:space="preserve">    Mortgage banking outside CBL (derived; 3Q26E input)</t>
  </si>
  <si>
    <t xml:space="preserve">    Trading outside CIB (derived; 3Q26E input)</t>
  </si>
  <si>
    <t xml:space="preserve">  Net gains (losses) from debt securities</t>
  </si>
  <si>
    <t xml:space="preserve">  Net gains (losses) from equity securities</t>
  </si>
  <si>
    <t xml:space="preserve">  Check: revenue less CapIQ reported revenue (S2) = 0</t>
  </si>
  <si>
    <t xml:space="preserve">    Average loan growth Q/Q (3Q26E assumption)</t>
  </si>
  <si>
    <t xml:space="preserve">  Net charge-off rate (annualized, % of avg loans)</t>
  </si>
  <si>
    <t xml:space="preserve">  Change in the allowance for credit losses</t>
  </si>
  <si>
    <t>Noninterest expense</t>
  </si>
  <si>
    <t xml:space="preserve">  Personnel</t>
  </si>
  <si>
    <t xml:space="preserve">    Incremental comp on advisory + brokerage revenue (3Q26E assumption)</t>
  </si>
  <si>
    <t xml:space="preserve">  Technology, telecommunications and equipment</t>
  </si>
  <si>
    <t xml:space="preserve">  Occupancy</t>
  </si>
  <si>
    <t xml:space="preserve">  Professional and outside services</t>
  </si>
  <si>
    <t xml:space="preserve">    Growth Y/Y (3Q26E assumption; seasonal 3Q step-up)</t>
  </si>
  <si>
    <t xml:space="preserve">  Advertising and promotion</t>
  </si>
  <si>
    <t xml:space="preserve">  Other noninterest expense</t>
  </si>
  <si>
    <t>Total noninterest expense</t>
  </si>
  <si>
    <t xml:space="preserve">  Memo: severance expense (notable item)</t>
  </si>
  <si>
    <t>S9/S10</t>
  </si>
  <si>
    <t xml:space="preserve">  Noninterest expense excluding severance</t>
  </si>
  <si>
    <t>Earnings</t>
  </si>
  <si>
    <t xml:space="preserve">  Discrete tax benefits (notable item)</t>
  </si>
  <si>
    <t>S12/S7/S4</t>
  </si>
  <si>
    <t xml:space="preserve">  Effective tax rate excluding discrete benefits</t>
  </si>
  <si>
    <t xml:space="preserve">  Effective tax rate (reported)</t>
  </si>
  <si>
    <t>Net income before noncontrolling interests</t>
  </si>
  <si>
    <t xml:space="preserve">  Less: net income (loss) from noncontrolling interests</t>
  </si>
  <si>
    <t>Wells Fargo net income</t>
  </si>
  <si>
    <t xml:space="preserve">  Memo: reported Wells Fargo net income</t>
  </si>
  <si>
    <t xml:space="preserve">  Less: preferred stock dividends and other</t>
  </si>
  <si>
    <t>Net income applicable to common stock (GAAP)</t>
  </si>
  <si>
    <t xml:space="preserve">  Net margin (WFC net income / revenue)</t>
  </si>
  <si>
    <t>Per share</t>
  </si>
  <si>
    <t xml:space="preserve">  Weighted average basic shares (mm)</t>
  </si>
  <si>
    <t xml:space="preserve">  Weighted average diluted shares (mm)</t>
  </si>
  <si>
    <t xml:space="preserve">  Basic EPS (GAAP)</t>
  </si>
  <si>
    <t>Diluted EPS (GAAP)</t>
  </si>
  <si>
    <t xml:space="preserve">  Memo: reported diluted EPS</t>
  </si>
  <si>
    <t xml:space="preserve">  Check: ROUND(calculated,2) less reported = 0</t>
  </si>
  <si>
    <t xml:space="preserve">  Dividends declared per common share</t>
  </si>
  <si>
    <t>S3/S5</t>
  </si>
  <si>
    <t>GAAP to normalized (consensus basis) bridge</t>
  </si>
  <si>
    <t xml:space="preserve">  GAAP net income applicable to common</t>
  </si>
  <si>
    <t xml:space="preserve">  Add: severance expense (pre-tax)</t>
  </si>
  <si>
    <t xml:space="preserve">  Less: gains on business sale / JV remeasurement (pre-tax)</t>
  </si>
  <si>
    <t>S12/S11</t>
  </si>
  <si>
    <t xml:space="preserve">  Add: losses on debt securities repositioning (pre-tax)</t>
  </si>
  <si>
    <t xml:space="preserve">    Tax rate applied to pre-tax notable items</t>
  </si>
  <si>
    <t>S9</t>
  </si>
  <si>
    <t xml:space="preserve">  Tax effect of pre-tax notable items</t>
  </si>
  <si>
    <t xml:space="preserve">  Less: discrete tax benefits</t>
  </si>
  <si>
    <t>Total adjustments, after tax</t>
  </si>
  <si>
    <t>Normalized net income applicable to common</t>
  </si>
  <si>
    <t xml:space="preserve">  Adjustments per diluted share</t>
  </si>
  <si>
    <t>Normalized diluted EPS (consensus basis)</t>
  </si>
  <si>
    <t xml:space="preserve">  Memo: CapIQ normalized EPS actual (S2)</t>
  </si>
  <si>
    <t xml:space="preserve">  [1Q25 method diff.] ROUND(model,2) less CapIQ: 1Q25 −$0.01 unresolved CapIQ normalization difference; no 3Q26E adjustment</t>
  </si>
  <si>
    <t xml:space="preserve">  Memo: CapIQ normalized EPS consensus (S1/S2)</t>
  </si>
  <si>
    <t xml:space="preserve">  Surprise vs consensus ($/share); 3Q26E = estimate less consensus</t>
  </si>
  <si>
    <t>Balance Sheet (period-end, as reported)</t>
  </si>
  <si>
    <t>Assets</t>
  </si>
  <si>
    <t xml:space="preserve">  Cash and due from banks</t>
  </si>
  <si>
    <t xml:space="preserve">  [3Q26E plug] Interest-earning deposits with banks</t>
  </si>
  <si>
    <t xml:space="preserve">  Fed funds sold &amp; securities borrowed / reverse repos</t>
  </si>
  <si>
    <t xml:space="preserve">  Trading assets</t>
  </si>
  <si>
    <t xml:space="preserve">  Available-for-sale debt securities</t>
  </si>
  <si>
    <t xml:space="preserve">  Held-to-maturity debt securities</t>
  </si>
  <si>
    <t xml:space="preserve">  Loans</t>
  </si>
  <si>
    <t xml:space="preserve">  Allowance for loan losses (3Q26E approx.: rolled by total ACL change, IS J155; loan vs unfunded-commitment split not disclosed)</t>
  </si>
  <si>
    <t>Net loans</t>
  </si>
  <si>
    <t xml:space="preserve">  Premises and equipment, net</t>
  </si>
  <si>
    <t xml:space="preserve">  Goodwill</t>
  </si>
  <si>
    <t xml:space="preserve">  Equity securities</t>
  </si>
  <si>
    <t xml:space="preserve">  Other assets</t>
  </si>
  <si>
    <t>Total assets</t>
  </si>
  <si>
    <t xml:space="preserve">  Memo: reported total assets</t>
  </si>
  <si>
    <t>Liabilities</t>
  </si>
  <si>
    <t xml:space="preserve">  Noninterest-bearing deposits</t>
  </si>
  <si>
    <t xml:space="preserve">  Interest-bearing deposits</t>
  </si>
  <si>
    <t>Total deposits</t>
  </si>
  <si>
    <t xml:space="preserve">  Noninterest-bearing share of deposits</t>
  </si>
  <si>
    <t xml:space="preserve">  Fed funds purchased &amp; repurchase agreements</t>
  </si>
  <si>
    <t xml:space="preserve">  Short-term borrowings</t>
  </si>
  <si>
    <t xml:space="preserve">  Trading liabilities</t>
  </si>
  <si>
    <t xml:space="preserve">  Accrued expenses and other liabilities</t>
  </si>
  <si>
    <t xml:space="preserve">  Long-term debt</t>
  </si>
  <si>
    <t>Total liabilities</t>
  </si>
  <si>
    <t>Equity</t>
  </si>
  <si>
    <t xml:space="preserve">  Preferred stock</t>
  </si>
  <si>
    <t xml:space="preserve">  Common stock</t>
  </si>
  <si>
    <t xml:space="preserve">  Additional paid-in capital</t>
  </si>
  <si>
    <t xml:space="preserve">  [3Q26E approx.] Retained earnings (dividends = DPS × basic weighted shares)</t>
  </si>
  <si>
    <t xml:space="preserve">  Accumulated other comprehensive loss</t>
  </si>
  <si>
    <t xml:space="preserve">  [3Q26E simplified] Treasury stock (buyback only; 3mm plan issuance not reissued)</t>
  </si>
  <si>
    <t>Total Wells Fargo stockholders' equity</t>
  </si>
  <si>
    <t xml:space="preserve">  Noncontrolling interests</t>
  </si>
  <si>
    <t>Total equity</t>
  </si>
  <si>
    <t>Total liabilities and equity</t>
  </si>
  <si>
    <t xml:space="preserve">  [3Q26E identity] Check: assets − liabilities − equity = 0</t>
  </si>
  <si>
    <t>Memo</t>
  </si>
  <si>
    <t xml:space="preserve">  Cash, cash equivalents &amp; restricted cash (cash-flow basis)</t>
  </si>
  <si>
    <t>S13</t>
  </si>
  <si>
    <t xml:space="preserve">  Cash &amp; IEDB less cash-flow-basis cash (derived)</t>
  </si>
  <si>
    <t xml:space="preserve">  Sum of segment period-end loans (segment ladders)</t>
  </si>
  <si>
    <t xml:space="preserve">  Corporate / other loans (derived; 3Q26E held at 2Q26)</t>
  </si>
  <si>
    <t xml:space="preserve">  Sum of segment period-end deposits (segment ladders)</t>
  </si>
  <si>
    <t xml:space="preserve">  Corporate deposits (derived; 3Q26E held at 2Q26)</t>
  </si>
  <si>
    <t xml:space="preserve">  Loans / deposits</t>
  </si>
  <si>
    <t xml:space="preserve">  Total equity / total assets</t>
  </si>
  <si>
    <t xml:space="preserve">  CET1 ratio, Standardized (reported)</t>
  </si>
  <si>
    <t xml:space="preserve">  Average deposits (consolidated)</t>
  </si>
  <si>
    <t xml:space="preserve">  Average deposit cost (reported)</t>
  </si>
  <si>
    <t>Cash Flow Statement (quarters derived from year-to-date filings)</t>
  </si>
  <si>
    <t>Operating activities</t>
  </si>
  <si>
    <t xml:space="preserve">  Net income before noncontrolling interests</t>
  </si>
  <si>
    <t xml:space="preserve">  Other operating items (1Q25A–2Q26A derived: CFO less net income; 3Q26E mechanical: ACL build + Balance Sheet working-capital deltas)</t>
  </si>
  <si>
    <t>Net cash from operating activities</t>
  </si>
  <si>
    <t>Investing activities</t>
  </si>
  <si>
    <t>Net cash from investing activities</t>
  </si>
  <si>
    <t xml:space="preserve">  [Unavailable in supplied sources] Capital expenditures (no cash-flow statement in S3/S8; not in S13 XBRL extract; CapIQ capex_m blank)</t>
  </si>
  <si>
    <t>Financing activities</t>
  </si>
  <si>
    <t xml:space="preserve">  Repurchases of common stock</t>
  </si>
  <si>
    <t xml:space="preserve">  Common stock dividends paid</t>
  </si>
  <si>
    <t xml:space="preserve">  Other financing (derived: deposits, borrowings, preferred, other)</t>
  </si>
  <si>
    <t>Net cash from financing activities</t>
  </si>
  <si>
    <t xml:space="preserve">  Free cash flow (issuer-defined)</t>
  </si>
  <si>
    <t>Not defined</t>
  </si>
  <si>
    <t>Change in cash and tie-out to the Balance Sheet</t>
  </si>
  <si>
    <t>Net change in cash (operating + investing + financing)</t>
  </si>
  <si>
    <t xml:space="preserve">  Memo: reported net change in cash</t>
  </si>
  <si>
    <t xml:space="preserve">  Cash at beginning of period</t>
  </si>
  <si>
    <t>Cash at end of period (beginning + net change)</t>
  </si>
  <si>
    <t xml:space="preserve">  Cash at end of period per Balance Sheet memo</t>
  </si>
  <si>
    <t xml:space="preserve">  [3Q26E identity] Check: change in cash ties to Balance Sheet = 0</t>
  </si>
  <si>
    <t xml:space="preserve">  [Identity] FY25 sum of quarters less FY25 10-K CFO = 0 (quarters de-cumulated from YTD)</t>
  </si>
  <si>
    <t>Share Count — weighted shares, buybacks and the forecast EPS share base</t>
  </si>
  <si>
    <t>Shares in millions; $ in millions, except per share</t>
  </si>
  <si>
    <t>Period-end common shares (mm)</t>
  </si>
  <si>
    <t xml:space="preserve">  Opening shares outstanding</t>
  </si>
  <si>
    <t>S8</t>
  </si>
  <si>
    <t xml:space="preserve">  Less: shares repurchased</t>
  </si>
  <si>
    <t>S12/S11/S10/S9/S7/S4</t>
  </si>
  <si>
    <t xml:space="preserve">  Add: issuance (employee plans; derived)</t>
  </si>
  <si>
    <t xml:space="preserve">  Closing shares outstanding</t>
  </si>
  <si>
    <t xml:space="preserve">  [Identity] opening − repurchased + issuance − closing = 0 (issuance derived)</t>
  </si>
  <si>
    <t>Buybacks</t>
  </si>
  <si>
    <t xml:space="preserve">  Gross common stock repurchases ($ mm)</t>
  </si>
  <si>
    <t xml:space="preserve">  Average repurchase price ($/share)</t>
  </si>
  <si>
    <t>S20</t>
  </si>
  <si>
    <t xml:space="preserve">  Buybacks / net income to common</t>
  </si>
  <si>
    <t>Weighted average shares (mm)</t>
  </si>
  <si>
    <t xml:space="preserve">  Weighted average basic shares</t>
  </si>
  <si>
    <t xml:space="preserve">    Timing adjustment: basic less simple average of open/close</t>
  </si>
  <si>
    <t xml:space="preserve">      Y/Y change</t>
  </si>
  <si>
    <t xml:space="preserve">      Q/Q change</t>
  </si>
  <si>
    <t xml:space="preserve">  Dilutive restricted share rights (derived)</t>
  </si>
  <si>
    <t xml:space="preserve">  Weighted average diluted shares</t>
  </si>
  <si>
    <t>Share count behind forecast EPS (diluted)</t>
  </si>
  <si>
    <t>Guidance — issuer guidance record and guidance-implied 3Q26</t>
  </si>
  <si>
    <t>Guidance item</t>
  </si>
  <si>
    <t>Date given</t>
  </si>
  <si>
    <t>Metric / unit</t>
  </si>
  <si>
    <t>Low</t>
  </si>
  <si>
    <t>High</t>
  </si>
  <si>
    <t>Midpoint</t>
  </si>
  <si>
    <t>Actual</t>
  </si>
  <si>
    <t>Beat / miss</t>
  </si>
  <si>
    <t>2025 guidance (record)</t>
  </si>
  <si>
    <t xml:space="preserve">  FY25 net interest income (+1% to +3% vs 2024 $47,676mm)</t>
  </si>
  <si>
    <t>FY25</t>
  </si>
  <si>
    <t>NII, $ mm</t>
  </si>
  <si>
    <t>S22</t>
  </si>
  <si>
    <t xml:space="preserve">  FY25 noninterest expense (~$54.2bn; reported total incl. severance, guided vs 2024 $54.6bn)</t>
  </si>
  <si>
    <t>Expense, $ mm</t>
  </si>
  <si>
    <t>2026 guidance</t>
  </si>
  <si>
    <t xml:space="preserve">  FY26 net interest income (~$50bn)</t>
  </si>
  <si>
    <t>FY26</t>
  </si>
  <si>
    <t>Pending</t>
  </si>
  <si>
    <t xml:space="preserve">  FY26 noninterest expense (~$55.7bn)</t>
  </si>
  <si>
    <t xml:space="preserve">  FY26 NII reaffirmed (~$50bn)</t>
  </si>
  <si>
    <t>S16</t>
  </si>
  <si>
    <t xml:space="preserve">  FY26 expense reaffirmed (~$55.7bn)</t>
  </si>
  <si>
    <t xml:space="preserve">  3Q26 NIM change Q/Q (similar to 2Q26 decline)</t>
  </si>
  <si>
    <t>3Q26</t>
  </si>
  <si>
    <t>NIM, bps</t>
  </si>
  <si>
    <t xml:space="preserve">  3Q26 NIM change Q/Q (updated)</t>
  </si>
  <si>
    <t>S14/S15</t>
  </si>
  <si>
    <t xml:space="preserve">  FY26 net interest income (~$50bn, unchanged)</t>
  </si>
  <si>
    <t xml:space="preserve">  FY26 Markets NII within total (~$2bn)</t>
  </si>
  <si>
    <t>Markets NII, $ mm</t>
  </si>
  <si>
    <t xml:space="preserve">  FY26 noninterest expense ($55.7bn, unchanged)</t>
  </si>
  <si>
    <t xml:space="preserve">  3Q26 investment banking fees Y/Y (mid-single digits)</t>
  </si>
  <si>
    <t>Y/Y %</t>
  </si>
  <si>
    <t xml:space="preserve">  3Q26 Markets revenue Y/Y (mid-single digits)</t>
  </si>
  <si>
    <t xml:space="preserve">  CET1 ratio operating range</t>
  </si>
  <si>
    <t>Ongoing</t>
  </si>
  <si>
    <t>CET1 %</t>
  </si>
  <si>
    <t xml:space="preserve">  3Q26 common dividend per share</t>
  </si>
  <si>
    <t>$ per share</t>
  </si>
  <si>
    <t>S5</t>
  </si>
  <si>
    <t xml:space="preserve">  3Q26 venture capital results ("closer to flat")</t>
  </si>
  <si>
    <t>Qualitative</t>
  </si>
  <si>
    <t xml:space="preserve">  FY26 loan growth (better than mid-single-digit guide; below 1H 12%)</t>
  </si>
  <si>
    <t>Guidance progress (1H26 actual vs FY26 guidance midpoint)</t>
  </si>
  <si>
    <t xml:space="preserve">  1H26 NII as % of FY26 guidance</t>
  </si>
  <si>
    <t xml:space="preserve">  1H26 expense as % of FY26 guidance</t>
  </si>
  <si>
    <t xml:space="preserve">  3Q26E NIM change used in model (bps) vs guided range</t>
  </si>
  <si>
    <t>Guidance-implied 3Q26 (derived; WFC does not guide revenue, net income or EPS)</t>
  </si>
  <si>
    <t xml:space="preserve">  Implied 3Q26 NII = half of FY26 guide less 1H26 actual</t>
  </si>
  <si>
    <t xml:space="preserve">  Implied 3Q26 expense = half of FY26 guide less 1H26 actual</t>
  </si>
  <si>
    <t>Guidance-implied revenue (implied NII + model noninterest income)</t>
  </si>
  <si>
    <t xml:space="preserve">  Guidance-implied pre-tax income (model provision)</t>
  </si>
  <si>
    <t xml:space="preserve">  Guidance-implied Wells Fargo net income (model tax rate and NCI)</t>
  </si>
  <si>
    <t>Guidance-implied net income to common</t>
  </si>
  <si>
    <t>Guidance-implied diluted EPS (model share count)</t>
  </si>
  <si>
    <t xml:space="preserve">  Model 3Q26E NII less guidance-implied NII</t>
  </si>
  <si>
    <t>Sources</t>
  </si>
  <si>
    <t>Title / what it feeds</t>
  </si>
  <si>
    <t>ID</t>
  </si>
  <si>
    <t>Published</t>
  </si>
  <si>
    <t>Retrieved (session date, UTC)</t>
  </si>
  <si>
    <t>Publisher</t>
  </si>
  <si>
    <t>Feeds (tabs)</t>
  </si>
  <si>
    <t>URL or file</t>
  </si>
  <si>
    <t>CapIQ consensus snapshot (frozen scoring baseline)</t>
  </si>
  <si>
    <t>S1</t>
  </si>
  <si>
    <t>S&amp;P Capital IQ</t>
  </si>
  <si>
    <t>Inputs, Cover, IS</t>
  </si>
  <si>
    <t>workspace/WFC_consensus.json</t>
  </si>
  <si>
    <t>CapIQ six-quarter EPS/revenue history</t>
  </si>
  <si>
    <t>S2</t>
  </si>
  <si>
    <t>Inputs, IS bridge, prior</t>
  </si>
  <si>
    <t>workspace/WFC_history.csv</t>
  </si>
  <si>
    <t>2Q26 Quarterly Supplement (8-K Ex. 99.2)</t>
  </si>
  <si>
    <t>Wells Fargo / SEC</t>
  </si>
  <si>
    <t>IS, BS, segments</t>
  </si>
  <si>
    <t>https://www.sec.gov/Archives/edgar/data/72971/000007297126000288/wfc2qer07-14x26ex992xsuppl.htm</t>
  </si>
  <si>
    <t>2Q26 earnings release (Ex. 99.1): $132mm discrete tax; 37.4mm shares bought</t>
  </si>
  <si>
    <t>S4</t>
  </si>
  <si>
    <t>IS bridge, Share Count</t>
  </si>
  <si>
    <t>https://www.sec.gov/Archives/edgar/data/72971/000007297126000288/wfc2qer07-14x26ex991xrelea.htm</t>
  </si>
  <si>
    <t>2Q26 presentation (Ex. 99.3): 3Q26 dividend $0.50; CET1</t>
  </si>
  <si>
    <t>Guidance, IS</t>
  </si>
  <si>
    <t>https://www.sec.gov/Archives/edgar/data/72971/000007297126000288/ex993-wellsfargo2q26pres.htm</t>
  </si>
  <si>
    <t>1Q26 Quarterly Supplement (recast segments incl. 1Q25)</t>
  </si>
  <si>
    <t>S6</t>
  </si>
  <si>
    <t>Segments, IS</t>
  </si>
  <si>
    <t>https://www.sec.gov/Archives/edgar/data/72971/000007297126000213/wfc1qer04-14x26ex992xsuppl.htm</t>
  </si>
  <si>
    <t>1Q26 earnings release: 46.3mm shares/$4.0bn; $135mm discrete tax</t>
  </si>
  <si>
    <t>S7</t>
  </si>
  <si>
    <t>Share Count, IS bridge</t>
  </si>
  <si>
    <t>https://www.sec.gov/Archives/edgar/data/72971/000007297126000213/wfc1qer04-14x26ex991xrelea.htm</t>
  </si>
  <si>
    <t>4Q25 Quarterly Supplement (1Q25 and FY25 consolidated)</t>
  </si>
  <si>
    <t>IS, BS</t>
  </si>
  <si>
    <t>https://www.sec.gov/Archives/edgar/data/72971/000007297126000009/wfc4qer01-14x26ex992xsuppl.htm</t>
  </si>
  <si>
    <t>4Q25 release: $612mm severance ($461mm after tax); FY26 NII ~$50bn, expense ~$55.7bn</t>
  </si>
  <si>
    <t>IS bridge, Guidance</t>
  </si>
  <si>
    <t>https://www.sec.gov/Archives/edgar/data/72971/000007297126000009/wfc4qer01-14x26ex991xrelea.htm</t>
  </si>
  <si>
    <t>3Q25 earnings call: $296mm severance; 74.6mm shares/$6.1bn</t>
  </si>
  <si>
    <t>S10</t>
  </si>
  <si>
    <t>Motley Fool / WFC</t>
  </si>
  <si>
    <t>https://www.fool.com/earnings/call-transcripts/2025/10/14/wells-fargo-wfc-q3-2025-earnings-call-transcript/</t>
  </si>
  <si>
    <t>2Q25 release: $253mm merchant-services JV gain; 43.9mm shares/$3.0bn</t>
  </si>
  <si>
    <t>S11</t>
  </si>
  <si>
    <t>https://www.sec.gov/Archives/edgar/data/72971/000007297125000170/wfc2qer07-15x25ex991xrelea.htm</t>
  </si>
  <si>
    <t>1Q25 release: $313mm discrete tax; $263mm servicing-sale gain; 44.5mm shares/$3.5bn</t>
  </si>
  <si>
    <t>S12</t>
  </si>
  <si>
    <t>https://www.sec.gov/Archives/edgar/data/72971/000007297125000101/wfc1qer04-11x25ex991xrelea.htm</t>
  </si>
  <si>
    <t>SEC XBRL company concepts: cash-flow YTD totals and cash balances (10-Q/10-K filed 2025-04-29 to 2026-07-28)</t>
  </si>
  <si>
    <t>SEC EDGAR</t>
  </si>
  <si>
    <t>Inputs, CF, BS memo</t>
  </si>
  <si>
    <t>https://data.sec.gov/api/xbrl/companyconcept/CIK0000072971/us-gaap/NetCashProvidedByUsedInOperatingActivities.json</t>
  </si>
  <si>
    <t>Barclays Global Financial Services Conference transcript (CFO): NIM, NII, IB/markets, venture, expense</t>
  </si>
  <si>
    <t>Quartr via StockAnalysis</t>
  </si>
  <si>
    <t>IS, Guidance, CIB</t>
  </si>
  <si>
    <t>https://stockanalysis.com/stocks/wfc/transcripts/742320-barclays-24th-annual-global-financial-services-conference/</t>
  </si>
  <si>
    <t>Conference recap: 3Q NIM down ~1bp to flat (vs 3-4bp)</t>
  </si>
  <si>
    <t>S15</t>
  </si>
  <si>
    <t>American Banking News</t>
  </si>
  <si>
    <t>Guidance</t>
  </si>
  <si>
    <t>https://www.americanbankingnews.com/2026/09/18/wells-fargo-sees-strong-consumer-growth-momentum-after-asset-cap-lift.html</t>
  </si>
  <si>
    <t>2Q26 earnings call: FY26 NII and $55.7bn expense maintained; CET1 10-10.5%</t>
  </si>
  <si>
    <t>Investing.com</t>
  </si>
  <si>
    <t>https://ca.investing.com/news/transcripts/earnings-call-transcript-wells-fargo-tops-q2-2026-estimates-as-revenue-climbs-93CH-4733617</t>
  </si>
  <si>
    <t>Zacks key-metric preview: EPS $1.85, revenue $22.15bn, NII $12.63bn, NCO $985.6mm</t>
  </si>
  <si>
    <t>Yahoo Finance / Zacks</t>
  </si>
  <si>
    <t>Cover (newer consensus), IS</t>
  </si>
  <si>
    <t>https://finance.yahoo.com/markets/stocks/articles/wells-fargo-wfc-q3-earnings-121520212.html</t>
  </si>
  <si>
    <t>Bank earnings preview incl. FactSet 3Q26 provision estimate $1,148mm</t>
  </si>
  <si>
    <t>MarketWatch via Morningstar</t>
  </si>
  <si>
    <t>Cover</t>
  </si>
  <si>
    <t>https://www.morningstar.com/news/marketwatch/202610115/bank-earnings-to-shed-the-first-light-on-how-2</t>
  </si>
  <si>
    <t>Market cap $252.66bn at 2026-10-09 close</t>
  </si>
  <si>
    <t>S19</t>
  </si>
  <si>
    <t>StockAnalysis</t>
  </si>
  <si>
    <t>Inputs, Cover</t>
  </si>
  <si>
    <t>https://stockanalysis.com/stocks/wfc/market-cap/</t>
  </si>
  <si>
    <t>WFC daily closing prices, Aug-Oct 2026 (buyback price assumption)</t>
  </si>
  <si>
    <t>FinancialContent</t>
  </si>
  <si>
    <t>Share Count</t>
  </si>
  <si>
    <t>https://www.financialcontent.com/quote/NY:WFC/historical</t>
  </si>
  <si>
    <t>Peer context: JPM expects 3Q IB fees and markets up mid-to-high teens</t>
  </si>
  <si>
    <t>S21</t>
  </si>
  <si>
    <t>Reuters</t>
  </si>
  <si>
    <t>CIB (context only)</t>
  </si>
  <si>
    <t>https://www.reuters.com/world/jpmorgan-expects-investment-banking-trading-shine-third-quarter-2026-09-15/</t>
  </si>
  <si>
    <t>FY25 guidance: NII +1-3% vs 2024; expense ~$54.2bn</t>
  </si>
  <si>
    <t>Morningstar</t>
  </si>
  <si>
    <t>https://www.morningstar.com/stocks/wells-fargo-earnings-shares-rise-6-encouraging-2025-nii-expense-guidance</t>
  </si>
  <si>
    <t>Report date confirmation: 3Q26 results Oct. 13, 2026, ~7:00 a.m. ET</t>
  </si>
  <si>
    <t>S23</t>
  </si>
  <si>
    <t>Wells Fargo Newsroom</t>
  </si>
  <si>
    <t>https://newsroom.wf.com/news-releases/news-details/2026/Wells-Fargo-to-Announce-Third-Quarter-2026-Earnings-on-Oct--13-2026/default.aspx</t>
  </si>
  <si>
    <t>Previews: MarketBeat EPS $1.85 / $22.31bn; el-fondo $1.88 / $22.61bn; Fed hike, prime 7.00% (2026-09-17)</t>
  </si>
  <si>
    <t>MarketBeat; el-fondo</t>
  </si>
  <si>
    <t>Cover (newer consensus)</t>
  </si>
  <si>
    <t>https://www.el-fondo.com/en/news/wells-fargo-reports-third-quarter-results-on-tuesday</t>
  </si>
  <si>
    <t>2025 Form 10-K (geography check; segment note)</t>
  </si>
  <si>
    <t>S25</t>
  </si>
  <si>
    <t>Revenue summary (Geo omission)</t>
  </si>
  <si>
    <t>https://www.sec.gov/Archives/edgar/data/72971/000007297126000133/wfc-20251231_d2.htm</t>
  </si>
  <si>
    <t>Playbook reference rates: FactSet S&amp;P 500 5-yr beat rate 78%; LSEG Russell 2000 review</t>
  </si>
  <si>
    <t>S26</t>
  </si>
  <si>
    <t>FactSet; LSEG</t>
  </si>
  <si>
    <t>Inputs (prior context)</t>
  </si>
  <si>
    <t>https://insight.factset.com/sp-500-earnings-season-update-july-31-2026</t>
  </si>
  <si>
    <t>Omitted tab — Geo: no revenue-by-geography disclosure in the 2025 Form 10-K (S25) or 2Q26 supplement (S3); see Revenue summary.</t>
  </si>
  <si>
    <t>Retrieval: column E is date-precision (2026-10-11 = UTC date the original session began). The preserved session log spans 2026-10-11T23:48Z to 2026-10-12T01:09Z, so web retrievals occurred after the 22:24:20Z cutoff, some on 2026-10-12 UTC; no per-source capture times exist and none are inferred. These are post-cutoff retrievals of pre-cutoff publications, not frozen snapshots.</t>
  </si>
  <si>
    <t>All publication dates (column D) are on or before 2026-10-11; S1/S2 are the frozen CapIQ files. Unresolved: S18 (published 2026-10-11, no time of day) cannot be time-verified against the 22:24 UTC cutoff; it feeds only Cover C48 and the P(beat) rationale (Inputs B126), not EPS. No 3Q26 actual results were seen (WFC reports 2026-10-13).</t>
  </si>
  <si>
    <t>Inputs — raw S&amp;P Capital IQ files and SEC XBRL cash-flow extracts</t>
  </si>
  <si>
    <t>A. WFC_consensus.json — top-level fields (S1)</t>
  </si>
  <si>
    <t xml:space="preserve">  source</t>
  </si>
  <si>
    <t xml:space="preserve">  ticker</t>
  </si>
  <si>
    <t>WFC</t>
  </si>
  <si>
    <t xml:space="preserve">  company</t>
  </si>
  <si>
    <t xml:space="preserve">  fiscal_period</t>
  </si>
  <si>
    <t>FQ3 2026 - Sep 2026</t>
  </si>
  <si>
    <t xml:space="preserve">  period_end_date</t>
  </si>
  <si>
    <t xml:space="preserve">  as_of_date</t>
  </si>
  <si>
    <t xml:space="preserve">  analyst_count</t>
  </si>
  <si>
    <t xml:space="preserve">  consensus_eps</t>
  </si>
  <si>
    <t xml:space="preserve">  eps_basis</t>
  </si>
  <si>
    <t>Normalized diluted EPS per common share, USD; verify issuer adjustments</t>
  </si>
  <si>
    <t xml:space="preserve">  consensus_revenue_m</t>
  </si>
  <si>
    <t xml:space="preserve">  currency</t>
  </si>
  <si>
    <t xml:space="preserve">  summary_sha256</t>
  </si>
  <si>
    <t>edbf949d984075e582c0427440965f3f2b24f43d8e9ef3ba40bd5d158b8c8d16</t>
  </si>
  <si>
    <t xml:space="preserve">  captured_precision</t>
  </si>
  <si>
    <t>date only, user confirmed</t>
  </si>
  <si>
    <t xml:space="preserve">  currency_units_status</t>
  </si>
  <si>
    <t>per-share in USD; revenue and income in USD millions</t>
  </si>
  <si>
    <t>B. WFC_consensus.json — complete raw summary_row (S1; blanks preserved as empty cells)</t>
  </si>
  <si>
    <t xml:space="preserve">  company_name</t>
  </si>
  <si>
    <t xml:space="preserve">  exchange_ticker</t>
  </si>
  <si>
    <t>NYSE:WFC</t>
  </si>
  <si>
    <t xml:space="preserve">  capiq_company_id</t>
  </si>
  <si>
    <t xml:space="preserve">  sp500_member</t>
  </si>
  <si>
    <t>Y</t>
  </si>
  <si>
    <t xml:space="preserve">  market_cap_usd_m</t>
  </si>
  <si>
    <t xml:space="preserve">  fiscal_quarter</t>
  </si>
  <si>
    <t xml:space="preserve">  quarter_end_date</t>
  </si>
  <si>
    <t xml:space="preserve">  expected_report_date</t>
  </si>
  <si>
    <t xml:space="preserve">  fiscal_year_end</t>
  </si>
  <si>
    <t>Dec-31</t>
  </si>
  <si>
    <t xml:space="preserve">  analysts_covering</t>
  </si>
  <si>
    <t xml:space="preserve">  eps_normalized_mean</t>
  </si>
  <si>
    <t xml:space="preserve">  eps_normalized_median</t>
  </si>
  <si>
    <t xml:space="preserve">  eps_normalized_high</t>
  </si>
  <si>
    <t xml:space="preserve">  eps_normalized_low</t>
  </si>
  <si>
    <t xml:space="preserve">  eps_normalized_std_dev</t>
  </si>
  <si>
    <t xml:space="preserve">  eps_normalized_n_est</t>
  </si>
  <si>
    <t xml:space="preserve">  eps_normalized_guidance</t>
  </si>
  <si>
    <t xml:space="preserve">  eps_normalized_guidance_low</t>
  </si>
  <si>
    <t xml:space="preserve">  eps_normalized_guidance_high</t>
  </si>
  <si>
    <t xml:space="preserve">  eps_gaap_mean</t>
  </si>
  <si>
    <t xml:space="preserve">  eps_gaap_median</t>
  </si>
  <si>
    <t xml:space="preserve">  eps_gaap_high</t>
  </si>
  <si>
    <t xml:space="preserve">  eps_gaap_low</t>
  </si>
  <si>
    <t xml:space="preserve">  eps_gaap_std_dev</t>
  </si>
  <si>
    <t xml:space="preserve">  eps_gaap_n_est</t>
  </si>
  <si>
    <t xml:space="preserve">  eps_gaap_guidance</t>
  </si>
  <si>
    <t xml:space="preserve">  revenue_m_mean</t>
  </si>
  <si>
    <t xml:space="preserve">  revenue_m_median</t>
  </si>
  <si>
    <t xml:space="preserve">  revenue_m_high</t>
  </si>
  <si>
    <t xml:space="preserve">  revenue_m_low</t>
  </si>
  <si>
    <t xml:space="preserve">  revenue_m_std_dev</t>
  </si>
  <si>
    <t xml:space="preserve">  revenue_m_n_est</t>
  </si>
  <si>
    <t xml:space="preserve">  revenue_m_guidance</t>
  </si>
  <si>
    <t xml:space="preserve">  revenue_m_guidance_low</t>
  </si>
  <si>
    <t xml:space="preserve">  revenue_m_guidance_high</t>
  </si>
  <si>
    <t xml:space="preserve">  ebitda_m</t>
  </si>
  <si>
    <t xml:space="preserve">  ebit_m</t>
  </si>
  <si>
    <t xml:space="preserve">  ebt_excl_excep_m</t>
  </si>
  <si>
    <t xml:space="preserve">  ebt_gaap_m</t>
  </si>
  <si>
    <t xml:space="preserve">  net_income_excl_excep_m</t>
  </si>
  <si>
    <t xml:space="preserve">  net_income_gaap_m</t>
  </si>
  <si>
    <t xml:space="preserve">  gross_margin_pct</t>
  </si>
  <si>
    <t xml:space="preserve">  effective_tax_rate_pct</t>
  </si>
  <si>
    <t xml:space="preserve">  d_and_a_m</t>
  </si>
  <si>
    <t xml:space="preserve">  capex_m</t>
  </si>
  <si>
    <t xml:space="preserve">  cfo_m</t>
  </si>
  <si>
    <t xml:space="preserve">  fcf_m</t>
  </si>
  <si>
    <t xml:space="preserve">  interest_expense_m</t>
  </si>
  <si>
    <t xml:space="preserve">  net_debt_m</t>
  </si>
  <si>
    <t xml:space="preserve">  cfps</t>
  </si>
  <si>
    <t xml:space="preserve">  bvps</t>
  </si>
  <si>
    <t xml:space="preserve">  dps</t>
  </si>
  <si>
    <t xml:space="preserve">  nav_m</t>
  </si>
  <si>
    <t xml:space="preserve">  navps</t>
  </si>
  <si>
    <t xml:space="preserve">  roe_pct</t>
  </si>
  <si>
    <t xml:space="preserve">  target_price_mean</t>
  </si>
  <si>
    <t xml:space="preserve">  target_price_median</t>
  </si>
  <si>
    <t xml:space="preserve">  target_price_high</t>
  </si>
  <si>
    <t xml:space="preserve">  target_price_low</t>
  </si>
  <si>
    <t xml:space="preserve">  target_price_std_dev</t>
  </si>
  <si>
    <t xml:space="preserve">  target_price_n_est</t>
  </si>
  <si>
    <t xml:space="preserve">  recommendation</t>
  </si>
  <si>
    <t>Outperform</t>
  </si>
  <si>
    <t xml:space="preserve">  recommendation_score</t>
  </si>
  <si>
    <t xml:space="preserve">  last_close_price</t>
  </si>
  <si>
    <t xml:space="preserve">  wk52_high_low</t>
  </si>
  <si>
    <t>97.76/72.78</t>
  </si>
  <si>
    <t xml:space="preserve">  units</t>
  </si>
  <si>
    <t xml:space="preserve">  estimates_captured_at</t>
  </si>
  <si>
    <t xml:space="preserve">  notes</t>
  </si>
  <si>
    <t>C. WFC_history.csv — all six rows as supplied (S2)</t>
  </si>
  <si>
    <t>Field →</t>
  </si>
  <si>
    <t>period_end_date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</si>
  <si>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</si>
  <si>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</si>
  <si>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</si>
  <si>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</si>
  <si>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</si>
  <si>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</si>
  <si>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</si>
  <si>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 xml:space="preserve">  History row 1</t>
  </si>
  <si>
    <t xml:space="preserve">  History row 2</t>
  </si>
  <si>
    <t xml:space="preserve">  History row 3</t>
  </si>
  <si>
    <t xml:space="preserve">  History row 4</t>
  </si>
  <si>
    <t xml:space="preserve">  History row 5</t>
  </si>
  <si>
    <t xml:space="preserve">  History row 6</t>
  </si>
  <si>
    <t>Columns E–H are $/share; I–J are $ millions (CapIQ units).</t>
  </si>
  <si>
    <t>D. SEC XBRL cash-flow extracts — year-to-date as filed ($ millions) (S13)</t>
  </si>
  <si>
    <t>Concept → YTD period</t>
  </si>
  <si>
    <t>3M25</t>
  </si>
  <si>
    <t>6M25</t>
  </si>
  <si>
    <t>9M25</t>
  </si>
  <si>
    <t>3M26</t>
  </si>
  <si>
    <t>6M26</t>
  </si>
  <si>
    <t xml:space="preserve">  NetCashProvidedByUsedInOperatingActivities</t>
  </si>
  <si>
    <t xml:space="preserve">  NetCashProvidedByUsedInInvestingActivities</t>
  </si>
  <si>
    <t xml:space="preserve">  NetCashProvidedByUsedInFinancingActivities</t>
  </si>
  <si>
    <t xml:space="preserve">  CashCashEq…PeriodIncreaseDecrease (net change in cash)</t>
  </si>
  <si>
    <t xml:space="preserve">  PaymentsForRepurchaseOfCommonStock</t>
  </si>
  <si>
    <t xml:space="preserve">  PaymentsOfDividendsCommonStock</t>
  </si>
  <si>
    <t xml:space="preserve">  Cash, cash equivalents &amp; restricted cash at 2024-12-31 (CF basis)</t>
  </si>
  <si>
    <t>E. Size-aware starting probability (playbook v2) — see artifacts/prior-calibration.json</t>
  </si>
  <si>
    <t xml:space="preserve">  Market cap, $ millions (2026-10-09; S19)</t>
  </si>
  <si>
    <t xml:space="preserve">  Size bucket / S&amp;P 500 membership</t>
  </si>
  <si>
    <t>Large cap (&gt; $10B); S&amp;P 500 member = Y (S1)</t>
  </si>
  <si>
    <t>S19/S1; playbook v2</t>
  </si>
  <si>
    <t xml:space="preserve">  Cohort prior (large OR S&amp;P 500, applied once)</t>
  </si>
  <si>
    <t>Playbook v2; S26</t>
  </si>
  <si>
    <t xml:space="preserve">  Pseudo-count (fixed regularization weight)</t>
  </si>
  <si>
    <t>Playbook v2</t>
  </si>
  <si>
    <t xml:space="preserve">  b = strict beats of normalized EPS (history rows)</t>
  </si>
  <si>
    <t xml:space="preserve">  n = valid normalized EPS pairs</t>
  </si>
  <si>
    <t xml:space="preserve">  Starting p = (8 × cohort prior + b) / (8 + n)</t>
  </si>
  <si>
    <t xml:space="preserve">  Final P(beat consensus EPS) after quarter-specific evidence</t>
  </si>
  <si>
    <t>Judgment (B126)</t>
  </si>
  <si>
    <t xml:space="preserve">  Confidence</t>
  </si>
  <si>
    <t>medium</t>
  </si>
  <si>
    <t xml:space="preserve">  Final-p rationale (judgment, pre-cutoff evidence only): starting p 0.803 trimmed to 0.65 because the modelled edge vs consensus is thin (+$0.02; strict beat needs &gt;= $1.84) relative to quarterly noise; NIM/advisory-fee tailwinds partly in consensus; venture gains ~flat and provision vs FactSet mixed. p never feeds EPS.</t>
  </si>
</sst>
</file>

<file path=xl/styles.xml><?xml version="1.0" encoding="utf-8"?>
<styleSheet xmlns="http://schemas.openxmlformats.org/spreadsheetml/2006/main">
  <numFmts count="17">
    <numFmt numFmtId="164" formatCode="@"/>
    <numFmt numFmtId="165" formatCode="#,##0.0_);(#,##0.0);–_)"/>
    <numFmt numFmtId="166" formatCode="$0.00"/>
    <numFmt numFmtId="167" formatCode="#,##0_);(#,##0);–_)"/>
    <numFmt numFmtId="168" formatCode="yyyy-mm-dd"/>
    <numFmt numFmtId="169" formatCode="0.0%_);(0.0%);–_)"/>
    <numFmt numFmtId="170" formatCode="0.0%"/>
    <numFmt numFmtId="171" formatCode="#,##0.00"/>
    <numFmt numFmtId="172" formatCode="#,##0.00_);(#,##0.00);–_)"/>
    <numFmt numFmtId="173" formatCode="#,##0"/>
    <numFmt numFmtId="174" formatCode="General"/>
    <numFmt numFmtId="175" formatCode="$0.00_);($0.00)"/>
    <numFmt numFmtId="176" formatCode="0.00%_);(0.00%);–_)"/>
    <numFmt numFmtId="177" formatCode="#,##0.0_);(#,##0.0);#,##0.0_)"/>
    <numFmt numFmtId="178" formatCode="0.000%_);(0.000%);–_)"/>
    <numFmt numFmtId="179" formatCode="0.0%_);(0.0%);0.0%_)"/>
    <numFmt numFmtId="180" formatCode="#,##0_);(#,##0);#,##0_)"/>
  </numFmts>
  <fonts count="32">
    <font>
      <sz val="11"/>
      <name val="Calibri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0"/>
      <color rgb="FF0000FF"/>
      <name val="Arial"/>
    </font>
    <font>
      <b/>
      <i val="0"/>
      <strike val="0"/>
      <sz val="10"/>
      <color rgb="FF006100"/>
      <name val="Arial"/>
    </font>
    <font>
      <b/>
      <i val="0"/>
      <strike val="0"/>
      <sz val="12"/>
      <color rgb="FF000000"/>
      <name val="Arial"/>
    </font>
    <font>
      <b val="0"/>
      <i/>
      <strike val="0"/>
      <sz val="10"/>
      <color rgb="FF006100"/>
      <name val="Arial"/>
    </font>
    <font>
      <b val="0"/>
      <i/>
      <strike val="0"/>
      <sz val="10"/>
      <color rgb="FF0000FF"/>
      <name val="Arial"/>
    </font>
    <font>
      <b/>
      <i/>
      <strike val="0"/>
      <sz val="10"/>
      <color rgb="FF006100"/>
      <name val="Arial"/>
    </font>
    <font>
      <b/>
      <i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6100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 val="0"/>
      <i val="0"/>
      <strike val="0"/>
      <sz val="10"/>
      <color rgb="FF006100"/>
      <name val="Arial"/>
    </font>
    <font>
      <b val="0"/>
      <i/>
      <strike val="0"/>
      <sz val="10"/>
      <color rgb="FF0000FF"/>
      <name val="Arial"/>
    </font>
    <font>
      <b/>
      <i val="0"/>
      <strike val="0"/>
      <sz val="10"/>
      <color rgb="FF006100"/>
      <name val="Arial"/>
    </font>
    <font>
      <b val="0"/>
      <i val="0"/>
      <strike val="0"/>
      <sz val="10"/>
      <color rgb="FF008000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 val="0"/>
      <i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  <font>
      <b val="0"/>
      <i/>
      <strike val="0"/>
      <sz val="10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EEF3FA"/>
      </patternFill>
    </fill>
    <fill>
      <patternFill patternType="solid">
        <fgColor rgb="FFF2F2F2"/>
      </patternFill>
    </fill>
    <fill>
      <patternFill patternType="solid">
        <fgColor rgb="FFDCE6F2"/>
      </patternFill>
    </fill>
  </fills>
  <borders count="3">
    <border>
      <left/>
      <right/>
      <top/>
      <bottom/>
      <diagonal/>
    </border>
    <border>
      <bottom style="thin">
        <color rgb="FF808080"/>
      </bottom>
    </border>
    <border>
      <top style="thin">
        <color rgb="FF808080"/>
      </top>
    </border>
  </borders>
  <cellStyleXfs count="1">
    <xf numFmtId="0" fontId="0" fillId="0" borderId="0"/>
  </cellStyleXfs>
  <cellXfs count="212">
    <xf numFmtId="0" fontId="0" fillId="0" borderId="0" xfId="0"/>
    <xf numFmtId="0" fontId="1" fillId="0" borderId="0" xfId="0" applyFont="1" applyFill="1" applyAlignment="1" applyProtection="1">
      <alignment horizontal="general" vertical="bottom"/>
      <protection locked="1" hidden="0"/>
    </xf>
    <xf numFmtId="0" fontId="1" fillId="2" borderId="0" xfId="0" applyFont="1" applyFill="1" applyAlignment="1" applyProtection="1">
      <alignment horizontal="general" vertical="bottom"/>
      <protection locked="1" hidden="0"/>
    </xf>
    <xf numFmtId="164" fontId="1" fillId="0" borderId="0" xfId="0" applyNumberFormat="1" applyFont="1" applyFill="1" applyAlignment="1" applyProtection="1">
      <alignment horizontal="general" vertical="bottom"/>
      <protection locked="1" hidden="0"/>
    </xf>
    <xf numFmtId="165" fontId="1" fillId="0" borderId="0" xfId="0" applyNumberFormat="1" applyFont="1" applyFill="1" applyAlignment="1" applyProtection="1">
      <alignment horizontal="general" vertical="bottom"/>
      <protection locked="1" hidden="0"/>
    </xf>
    <xf numFmtId="165" fontId="1" fillId="0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0" fontId="1" fillId="3" borderId="1" xfId="0" applyFont="1" applyFill="1" applyBorder="1" applyAlignment="1" applyProtection="1">
      <alignment horizontal="right" vertical="bottom"/>
      <protection locked="1" hidden="0"/>
    </xf>
    <xf numFmtId="0" fontId="1" fillId="3" borderId="1" xfId="0" applyFont="1" applyFill="1" applyBorder="1" applyAlignment="1" applyProtection="1">
      <alignment horizontal="general" vertical="bottom"/>
      <protection locked="1" hidden="0"/>
    </xf>
    <xf numFmtId="0" fontId="3" fillId="0" borderId="0" xfId="0" applyFont="1" applyFill="1" applyAlignment="1" applyProtection="1">
      <alignment horizontal="general" vertical="bottom"/>
      <protection locked="1" hidden="0"/>
    </xf>
    <xf numFmtId="166" fontId="4" fillId="0" borderId="0" xfId="0" applyNumberFormat="1" applyFont="1" applyFill="1" applyAlignment="1" applyProtection="1">
      <alignment horizontal="general" vertical="bottom"/>
      <protection locked="1" hidden="0"/>
    </xf>
    <xf numFmtId="165" fontId="2" fillId="0" borderId="0" xfId="0" applyNumberFormat="1" applyFont="1" applyFill="1" applyAlignment="1" applyProtection="1">
      <alignment horizontal="right" vertical="bottom"/>
      <protection locked="1" hidden="0"/>
    </xf>
    <xf numFmtId="0" fontId="1" fillId="3" borderId="2" xfId="0" applyFont="1" applyFill="1" applyBorder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right" vertical="bottom"/>
      <protection locked="1" hidden="0"/>
    </xf>
    <xf numFmtId="165" fontId="5" fillId="0" borderId="0" xfId="0" applyNumberFormat="1" applyFont="1" applyFill="1" applyAlignment="1" applyProtection="1">
      <alignment horizontal="right" vertical="bottom"/>
      <protection locked="1" hidden="0"/>
    </xf>
    <xf numFmtId="165" fontId="1" fillId="2" borderId="0" xfId="0" applyNumberFormat="1" applyFont="1" applyFill="1" applyAlignment="1" applyProtection="1">
      <alignment horizontal="right" vertical="bottom"/>
      <protection locked="1" hidden="0"/>
    </xf>
    <xf numFmtId="164" fontId="3" fillId="0" borderId="0" xfId="0" applyNumberFormat="1" applyFont="1" applyFill="1" applyAlignment="1" applyProtection="1">
      <alignment horizontal="right" vertical="top" wrapText="1"/>
      <protection locked="1" hidden="0"/>
    </xf>
    <xf numFmtId="165" fontId="3" fillId="0" borderId="2" xfId="0" applyNumberFormat="1" applyFont="1" applyFill="1" applyBorder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general" vertical="top" wrapText="1"/>
      <protection locked="1" hidden="0"/>
    </xf>
    <xf numFmtId="166" fontId="1" fillId="0" borderId="0" xfId="0" applyNumberFormat="1" applyFont="1" applyFill="1" applyAlignment="1" applyProtection="1">
      <alignment horizontal="right" vertical="bottom"/>
      <protection locked="1" hidden="0"/>
    </xf>
    <xf numFmtId="167" fontId="1" fillId="3" borderId="1" xfId="0" applyNumberFormat="1" applyFont="1" applyFill="1" applyBorder="1" applyAlignment="1" applyProtection="1">
      <alignment horizontal="right" vertical="bottom"/>
      <protection locked="1" hidden="0"/>
    </xf>
    <xf numFmtId="165" fontId="3" fillId="0" borderId="0" xfId="0" applyNumberFormat="1" applyFont="1" applyFill="1" applyAlignment="1" applyProtection="1">
      <alignment horizontal="general" vertical="bottom"/>
      <protection locked="1" hidden="0"/>
    </xf>
    <xf numFmtId="165" fontId="6" fillId="0" borderId="2" xfId="0" applyNumberFormat="1" applyFont="1" applyFill="1" applyBorder="1" applyAlignment="1" applyProtection="1">
      <alignment horizontal="right" vertical="bottom"/>
      <protection locked="1" hidden="0"/>
    </xf>
    <xf numFmtId="0" fontId="2" fillId="2" borderId="0" xfId="0" applyFont="1" applyFill="1" applyAlignment="1" applyProtection="1">
      <alignment horizontal="general" vertical="bottom"/>
      <protection locked="1" hidden="0"/>
    </xf>
    <xf numFmtId="168" fontId="4" fillId="0" borderId="0" xfId="0" applyNumberFormat="1" applyFont="1" applyFill="1" applyAlignment="1" applyProtection="1">
      <alignment horizontal="general" vertical="bottom"/>
      <protection locked="1" hidden="0"/>
    </xf>
    <xf numFmtId="165" fontId="3" fillId="0" borderId="0" xfId="0" applyNumberFormat="1" applyFont="1" applyFill="1" applyAlignment="1" applyProtection="1">
      <alignment horizontal="right" vertical="bottom"/>
      <protection locked="1" hidden="0"/>
    </xf>
    <xf numFmtId="169" fontId="2" fillId="0" borderId="0" xfId="0" applyNumberFormat="1" applyFont="1" applyFill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general" vertical="top" wrapText="1"/>
      <protection locked="1" hidden="0"/>
    </xf>
    <xf numFmtId="0" fontId="3" fillId="3" borderId="2" xfId="0" applyFont="1" applyFill="1" applyBorder="1" applyAlignment="1" applyProtection="1">
      <alignment horizontal="right" vertical="bottom"/>
      <protection locked="1" hidden="0"/>
    </xf>
    <xf numFmtId="166" fontId="2" fillId="0" borderId="0" xfId="0" applyNumberFormat="1" applyFont="1" applyFill="1" applyAlignment="1" applyProtection="1">
      <alignment horizontal="general" vertical="bottom"/>
      <protection locked="1" hidden="0"/>
    </xf>
    <xf numFmtId="0" fontId="3" fillId="2" borderId="0" xfId="0" applyFont="1" applyFill="1" applyAlignment="1" applyProtection="1">
      <alignment horizontal="general" vertical="bottom"/>
      <protection locked="1" hidden="0"/>
    </xf>
    <xf numFmtId="168" fontId="1" fillId="3" borderId="0" xfId="0" applyNumberFormat="1" applyFont="1" applyFill="1" applyAlignment="1" applyProtection="1">
      <alignment horizontal="right" vertical="bottom"/>
      <protection locked="1" hidden="0"/>
    </xf>
    <xf numFmtId="165" fontId="7" fillId="0" borderId="2" xfId="0" applyNumberFormat="1" applyFont="1" applyFill="1" applyBorder="1" applyAlignment="1" applyProtection="1">
      <alignment horizontal="right" vertical="bottom"/>
      <protection locked="1" hidden="0"/>
    </xf>
    <xf numFmtId="0" fontId="8" fillId="0" borderId="0" xfId="0" applyFont="1" applyFill="1" applyAlignment="1" applyProtection="1">
      <alignment horizontal="general" vertical="bottom"/>
      <protection locked="1" hidden="0"/>
    </xf>
    <xf numFmtId="165" fontId="4" fillId="0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general" vertical="top" wrapText="1"/>
      <protection locked="1" hidden="0"/>
    </xf>
    <xf numFmtId="165" fontId="3" fillId="2" borderId="0" xfId="0" applyNumberFormat="1" applyFont="1" applyFill="1" applyAlignment="1" applyProtection="1">
      <alignment horizontal="right" vertical="bottom"/>
      <protection locked="1" hidden="0"/>
    </xf>
    <xf numFmtId="165" fontId="4" fillId="2" borderId="0" xfId="0" applyNumberFormat="1" applyFont="1" applyFill="1" applyAlignment="1" applyProtection="1">
      <alignment horizontal="right" vertical="bottom"/>
      <protection locked="1" hidden="0"/>
    </xf>
    <xf numFmtId="0" fontId="3" fillId="4" borderId="2" xfId="0" applyFont="1" applyFill="1" applyBorder="1" applyAlignment="1" applyProtection="1">
      <alignment horizontal="right" vertical="bottom"/>
      <protection locked="1" hidden="0"/>
    </xf>
    <xf numFmtId="165" fontId="2" fillId="2" borderId="0" xfId="0" applyNumberFormat="1" applyFont="1" applyFill="1" applyAlignment="1" applyProtection="1">
      <alignment horizontal="right" vertical="bottom"/>
      <protection locked="1" hidden="0"/>
    </xf>
    <xf numFmtId="169" fontId="9" fillId="0" borderId="0" xfId="0" applyNumberFormat="1" applyFont="1" applyFill="1" applyAlignment="1" applyProtection="1">
      <alignment horizontal="right" vertical="bottom"/>
      <protection locked="1" hidden="0"/>
    </xf>
    <xf numFmtId="165" fontId="3" fillId="2" borderId="2" xfId="0" applyNumberFormat="1" applyFont="1" applyFill="1" applyBorder="1" applyAlignment="1" applyProtection="1">
      <alignment horizontal="right" vertical="bottom"/>
      <protection locked="1" hidden="0"/>
    </xf>
    <xf numFmtId="169" fontId="2" fillId="0" borderId="0" xfId="0" applyNumberFormat="1" applyFont="1" applyFill="1" applyAlignment="1" applyProtection="1">
      <alignment horizontal="general" vertical="bottom"/>
      <protection locked="1" hidden="0"/>
    </xf>
    <xf numFmtId="164" fontId="7" fillId="0" borderId="0" xfId="0" applyNumberFormat="1" applyFont="1" applyFill="1" applyAlignment="1" applyProtection="1">
      <alignment horizontal="general" vertical="bottom"/>
      <protection locked="1" hidden="0"/>
    </xf>
    <xf numFmtId="170" fontId="3" fillId="0" borderId="0" xfId="0" applyNumberFormat="1" applyFont="1" applyFill="1" applyAlignment="1" applyProtection="1">
      <alignment horizontal="general" vertical="bottom"/>
      <protection locked="1" hidden="0"/>
    </xf>
    <xf numFmtId="165" fontId="5" fillId="2" borderId="0" xfId="0" applyNumberFormat="1" applyFont="1" applyFill="1" applyAlignment="1" applyProtection="1">
      <alignment horizontal="right" vertical="bottom"/>
      <protection locked="1" hidden="0"/>
    </xf>
    <xf numFmtId="169" fontId="2" fillId="2" borderId="0" xfId="0" applyNumberFormat="1" applyFont="1" applyFill="1" applyAlignment="1" applyProtection="1">
      <alignment horizontal="right" vertical="bottom"/>
      <protection locked="1" hidden="0"/>
    </xf>
    <xf numFmtId="166" fontId="5" fillId="0" borderId="0" xfId="0" applyNumberFormat="1" applyFont="1" applyFill="1" applyAlignment="1" applyProtection="1">
      <alignment horizontal="right" vertical="bottom"/>
      <protection locked="1" hidden="0"/>
    </xf>
    <xf numFmtId="166" fontId="1" fillId="0" borderId="0" xfId="0" applyNumberFormat="1" applyFont="1" applyFill="1" applyAlignment="1" applyProtection="1">
      <alignment horizontal="general" vertical="bottom"/>
      <protection locked="1" hidden="0"/>
    </xf>
    <xf numFmtId="167" fontId="1" fillId="4" borderId="1" xfId="0" applyNumberFormat="1" applyFont="1" applyFill="1" applyBorder="1" applyAlignment="1" applyProtection="1">
      <alignment horizontal="right" vertical="bottom"/>
      <protection locked="1" hidden="0"/>
    </xf>
    <xf numFmtId="164" fontId="3" fillId="0" borderId="0" xfId="0" applyNumberFormat="1" applyFont="1" applyFill="1" applyAlignment="1" applyProtection="1">
      <alignment horizontal="general" vertical="bottom"/>
      <protection locked="1" hidden="0"/>
    </xf>
    <xf numFmtId="164" fontId="2" fillId="0" borderId="0" xfId="0" applyNumberFormat="1" applyFont="1" applyFill="1" applyAlignment="1" applyProtection="1">
      <alignment horizontal="right" vertical="bottom"/>
      <protection locked="1" hidden="0"/>
    </xf>
    <xf numFmtId="168" fontId="4" fillId="0" borderId="0" xfId="0" applyNumberFormat="1" applyFont="1" applyFill="1" applyAlignment="1" applyProtection="1">
      <alignment horizontal="right" vertical="bottom"/>
      <protection locked="1" hidden="0"/>
    </xf>
    <xf numFmtId="165" fontId="9" fillId="0" borderId="0" xfId="0" applyNumberFormat="1" applyFont="1" applyFill="1" applyAlignment="1" applyProtection="1">
      <alignment horizontal="right" vertical="bottom"/>
      <protection locked="1" hidden="0"/>
    </xf>
    <xf numFmtId="169" fontId="9" fillId="2" borderId="0" xfId="0" applyNumberFormat="1" applyFont="1" applyFill="1" applyAlignment="1" applyProtection="1">
      <alignment horizontal="right" vertical="bottom"/>
      <protection locked="1" hidden="0"/>
    </xf>
    <xf numFmtId="0" fontId="3" fillId="0" borderId="2" xfId="0" applyFont="1" applyFill="1" applyBorder="1" applyAlignment="1" applyProtection="1">
      <alignment horizontal="right" vertical="bottom"/>
      <protection locked="1" hidden="0"/>
    </xf>
    <xf numFmtId="167" fontId="1" fillId="0" borderId="0" xfId="0" applyNumberFormat="1" applyFont="1" applyFill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right" vertical="bottom"/>
      <protection locked="1" hidden="0"/>
    </xf>
    <xf numFmtId="168" fontId="10" fillId="0" borderId="0" xfId="0" applyNumberFormat="1" applyFont="1" applyFill="1" applyAlignment="1" applyProtection="1">
      <alignment horizontal="right" vertical="bottom"/>
      <protection locked="1" hidden="0"/>
    </xf>
    <xf numFmtId="167" fontId="5" fillId="0" borderId="0" xfId="0" applyNumberFormat="1" applyFont="1" applyFill="1" applyAlignment="1" applyProtection="1">
      <alignment horizontal="general" vertical="bottom"/>
      <protection locked="1" hidden="0"/>
    </xf>
    <xf numFmtId="165" fontId="4" fillId="0" borderId="0" xfId="0" applyNumberFormat="1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right" vertical="top" wrapText="1"/>
      <protection locked="1" hidden="0"/>
    </xf>
    <xf numFmtId="0" fontId="1" fillId="3" borderId="2" xfId="0" applyFont="1" applyFill="1" applyBorder="1" applyAlignment="1" applyProtection="1">
      <alignment horizontal="general" vertical="bottom"/>
      <protection locked="1" hidden="0"/>
    </xf>
    <xf numFmtId="169" fontId="10" fillId="0" borderId="0" xfId="0" applyNumberFormat="1" applyFont="1" applyFill="1" applyAlignment="1" applyProtection="1">
      <alignment horizontal="right" vertical="bottom"/>
      <protection locked="1" hidden="0"/>
    </xf>
    <xf numFmtId="168" fontId="1" fillId="4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166" fontId="4" fillId="0" borderId="0" xfId="0" applyNumberFormat="1" applyFont="1" applyFill="1" applyAlignment="1" applyProtection="1">
      <alignment horizontal="right" vertical="bottom"/>
      <protection locked="1" hidden="0"/>
    </xf>
    <xf numFmtId="164" fontId="3" fillId="0" borderId="0" xfId="0" applyNumberFormat="1" applyFont="1" applyFill="1" applyAlignment="1" applyProtection="1">
      <alignment horizontal="right" vertical="bottom"/>
      <protection locked="1" hidden="0"/>
    </xf>
    <xf numFmtId="164" fontId="1" fillId="0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right" vertical="bottom"/>
      <protection locked="1" hidden="0"/>
    </xf>
    <xf numFmtId="164" fontId="5" fillId="0" borderId="0" xfId="0" applyNumberFormat="1" applyFont="1" applyFill="1" applyAlignment="1" applyProtection="1">
      <alignment horizontal="general" vertical="bottom"/>
      <protection locked="1" hidden="0"/>
    </xf>
    <xf numFmtId="169" fontId="9" fillId="0" borderId="0" xfId="0" applyNumberFormat="1" applyFont="1" applyFill="1" applyAlignment="1" applyProtection="1">
      <alignment horizontal="general" vertical="bottom"/>
      <protection locked="1" hidden="0"/>
    </xf>
    <xf numFmtId="164" fontId="1" fillId="2" borderId="0" xfId="0" applyNumberFormat="1" applyFont="1" applyFill="1" applyAlignment="1" applyProtection="1">
      <alignment horizontal="right" vertical="bottom"/>
      <protection locked="1" hidden="0"/>
    </xf>
    <xf numFmtId="166" fontId="3" fillId="0" borderId="2" xfId="0" applyNumberFormat="1" applyFont="1" applyFill="1" applyBorder="1" applyAlignment="1" applyProtection="1">
      <alignment horizontal="right" vertical="bottom"/>
      <protection locked="1" hidden="0"/>
    </xf>
    <xf numFmtId="165" fontId="9" fillId="2" borderId="0" xfId="0" applyNumberFormat="1" applyFont="1" applyFill="1" applyAlignment="1" applyProtection="1">
      <alignment horizontal="right" vertical="bottom"/>
      <protection locked="1" hidden="0"/>
    </xf>
    <xf numFmtId="166" fontId="1" fillId="2" borderId="0" xfId="0" applyNumberFormat="1" applyFont="1" applyFill="1" applyAlignment="1" applyProtection="1">
      <alignment horizontal="right" vertical="bottom"/>
      <protection locked="1" hidden="0"/>
    </xf>
    <xf numFmtId="0" fontId="3" fillId="2" borderId="0" xfId="0" applyFont="1" applyFill="1" applyAlignment="1" applyProtection="1">
      <alignment horizontal="right" vertical="bottom"/>
      <protection locked="1" hidden="0"/>
    </xf>
    <xf numFmtId="170" fontId="11" fillId="0" borderId="0" xfId="0" applyNumberFormat="1" applyFont="1" applyFill="1" applyAlignment="1" applyProtection="1">
      <alignment horizontal="general" vertical="bottom"/>
      <protection locked="1" hidden="0"/>
    </xf>
    <xf numFmtId="166" fontId="9" fillId="0" borderId="0" xfId="0" applyNumberFormat="1" applyFont="1" applyFill="1" applyAlignment="1" applyProtection="1">
      <alignment horizontal="right" vertical="bottom"/>
      <protection locked="1" hidden="0"/>
    </xf>
    <xf numFmtId="165" fontId="7" fillId="2" borderId="2" xfId="0" applyNumberFormat="1" applyFont="1" applyFill="1" applyBorder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right" vertical="top" wrapText="1"/>
      <protection locked="1" hidden="0"/>
    </xf>
    <xf numFmtId="166" fontId="4" fillId="2" borderId="0" xfId="0" applyNumberFormat="1" applyFont="1" applyFill="1" applyAlignment="1" applyProtection="1">
      <alignment horizontal="right" vertical="bottom"/>
      <protection locked="1" hidden="0"/>
    </xf>
    <xf numFmtId="166" fontId="7" fillId="0" borderId="2" xfId="0" applyNumberFormat="1" applyFont="1" applyFill="1" applyBorder="1" applyAlignment="1" applyProtection="1">
      <alignment horizontal="right" vertical="bottom"/>
      <protection locked="1" hidden="0"/>
    </xf>
    <xf numFmtId="0" fontId="12" fillId="0" borderId="0" xfId="0" applyFont="1" applyFill="1" applyAlignment="1" applyProtection="1">
      <alignment horizontal="general" vertical="bottom"/>
      <protection locked="1" hidden="0"/>
    </xf>
    <xf numFmtId="165" fontId="5" fillId="0" borderId="0" xfId="0" applyNumberFormat="1" applyFont="1" applyFill="1" applyAlignment="1" applyProtection="1">
      <alignment horizontal="general" vertical="bottom"/>
      <protection locked="1" hidden="0"/>
    </xf>
    <xf numFmtId="171" fontId="1" fillId="0" borderId="0" xfId="0" applyNumberFormat="1" applyFont="1" applyFill="1" applyAlignment="1" applyProtection="1">
      <alignment horizontal="general" vertical="bottom"/>
      <protection locked="1" hidden="0"/>
    </xf>
    <xf numFmtId="164" fontId="1" fillId="2" borderId="0" xfId="0" applyNumberFormat="1" applyFont="1" applyFill="1" applyAlignment="1" applyProtection="1">
      <alignment horizontal="general" vertical="bottom"/>
      <protection locked="1" hidden="0"/>
    </xf>
    <xf numFmtId="164" fontId="3" fillId="0" borderId="0" xfId="0" applyNumberFormat="1" applyFont="1" applyFill="1" applyAlignment="1" applyProtection="1">
      <alignment horizontal="general" vertical="top" wrapText="1"/>
      <protection locked="1" hidden="0"/>
    </xf>
    <xf numFmtId="166" fontId="1" fillId="2" borderId="0" xfId="0" applyNumberFormat="1" applyFont="1" applyFill="1" applyAlignment="1" applyProtection="1">
      <alignment horizontal="general" vertical="bottom"/>
      <protection locked="1" hidden="0"/>
    </xf>
    <xf numFmtId="165" fontId="1" fillId="2" borderId="0" xfId="0" applyNumberFormat="1" applyFont="1" applyFill="1" applyAlignment="1" applyProtection="1">
      <alignment horizontal="general" vertical="bottom"/>
      <protection locked="1" hidden="0"/>
    </xf>
    <xf numFmtId="172" fontId="4" fillId="0" borderId="0" xfId="0" applyNumberFormat="1" applyFont="1" applyFill="1" applyAlignment="1" applyProtection="1">
      <alignment horizontal="general" vertical="bottom"/>
      <protection locked="1" hidden="0"/>
    </xf>
    <xf numFmtId="173" fontId="1" fillId="0" borderId="0" xfId="0" applyNumberFormat="1" applyFont="1" applyFill="1" applyAlignment="1" applyProtection="1">
      <alignment horizontal="general" vertical="bottom"/>
      <protection locked="1" hidden="0"/>
    </xf>
    <xf numFmtId="167" fontId="1" fillId="2" borderId="0" xfId="0" applyNumberFormat="1" applyFont="1" applyFill="1" applyAlignment="1" applyProtection="1">
      <alignment horizontal="general" vertical="bottom"/>
      <protection locked="1" hidden="0"/>
    </xf>
    <xf numFmtId="173" fontId="4" fillId="0" borderId="0" xfId="0" applyNumberFormat="1" applyFont="1" applyFill="1" applyAlignment="1" applyProtection="1">
      <alignment horizontal="general" vertical="bottom"/>
      <protection locked="1" hidden="0"/>
    </xf>
    <xf numFmtId="171" fontId="4" fillId="0" borderId="0" xfId="0" applyNumberFormat="1" applyFont="1" applyFill="1" applyAlignment="1" applyProtection="1">
      <alignment horizontal="general" vertical="bottom"/>
      <protection locked="1" hidden="0"/>
    </xf>
    <xf numFmtId="172" fontId="4" fillId="2" borderId="0" xfId="0" applyNumberFormat="1" applyFont="1" applyFill="1" applyAlignment="1" applyProtection="1">
      <alignment horizontal="general" vertical="bottom"/>
      <protection locked="1" hidden="0"/>
    </xf>
    <xf numFmtId="164" fontId="2" fillId="0" borderId="0" xfId="0" applyNumberFormat="1" applyFont="1" applyFill="1" applyAlignment="1" applyProtection="1">
      <alignment horizontal="general" vertical="bottom"/>
      <protection locked="1" hidden="0"/>
    </xf>
    <xf numFmtId="169" fontId="2" fillId="2" borderId="0" xfId="0" applyNumberFormat="1" applyFont="1" applyFill="1" applyAlignment="1" applyProtection="1">
      <alignment horizontal="general" vertical="bottom"/>
      <protection locked="1" hidden="0"/>
    </xf>
    <xf numFmtId="173" fontId="1" fillId="2" borderId="0" xfId="0" applyNumberFormat="1" applyFont="1" applyFill="1" applyAlignment="1" applyProtection="1">
      <alignment horizontal="general" vertical="bottom"/>
      <protection locked="1" hidden="0"/>
    </xf>
    <xf numFmtId="171" fontId="1" fillId="2" borderId="0" xfId="0" applyNumberFormat="1" applyFont="1" applyFill="1" applyAlignment="1" applyProtection="1">
      <alignment horizontal="general" vertical="bottom"/>
      <protection locked="1" hidden="0"/>
    </xf>
    <xf numFmtId="166" fontId="3" fillId="2" borderId="2" xfId="0" applyNumberFormat="1" applyFont="1" applyFill="1" applyBorder="1" applyAlignment="1" applyProtection="1">
      <alignment horizontal="right" vertical="bottom"/>
      <protection locked="1" hidden="0"/>
    </xf>
    <xf numFmtId="165" fontId="3" fillId="2" borderId="0" xfId="0" applyNumberFormat="1" applyFont="1" applyFill="1" applyAlignment="1" applyProtection="1">
      <alignment horizontal="general" vertical="bottom"/>
      <protection locked="1" hidden="0"/>
    </xf>
    <xf numFmtId="167" fontId="4" fillId="0" borderId="0" xfId="0" applyNumberFormat="1" applyFont="1" applyFill="1" applyAlignment="1" applyProtection="1">
      <alignment horizontal="general" vertical="bottom"/>
      <protection locked="1" hidden="0"/>
    </xf>
    <xf numFmtId="164" fontId="2" fillId="2" borderId="0" xfId="0" applyNumberFormat="1" applyFont="1" applyFill="1" applyAlignment="1" applyProtection="1">
      <alignment horizontal="general" vertical="bottom"/>
      <protection locked="1" hidden="0"/>
    </xf>
    <xf numFmtId="169" fontId="10" fillId="2" borderId="0" xfId="0" applyNumberFormat="1" applyFont="1" applyFill="1" applyAlignment="1" applyProtection="1">
      <alignment horizontal="right" vertical="bottom"/>
      <protection locked="1" hidden="0"/>
    </xf>
    <xf numFmtId="167" fontId="1" fillId="0" borderId="0" xfId="0" applyNumberFormat="1" applyFont="1" applyFill="1" applyAlignment="1" applyProtection="1">
      <alignment horizontal="right" vertical="bottom"/>
      <protection locked="1" hidden="0"/>
    </xf>
    <xf numFmtId="164" fontId="2" fillId="2" borderId="0" xfId="0" applyNumberFormat="1" applyFont="1" applyFill="1" applyAlignment="1" applyProtection="1">
      <alignment horizontal="right" vertical="bottom"/>
      <protection locked="1" hidden="0"/>
    </xf>
    <xf numFmtId="164" fontId="3" fillId="2" borderId="0" xfId="0" applyNumberFormat="1" applyFont="1" applyFill="1" applyAlignment="1" applyProtection="1">
      <alignment horizontal="general" vertical="bottom"/>
      <protection locked="1" hidden="0"/>
    </xf>
    <xf numFmtId="169" fontId="10" fillId="0" borderId="0" xfId="0" applyNumberFormat="1" applyFont="1" applyFill="1" applyAlignment="1" applyProtection="1">
      <alignment horizontal="general" vertical="bottom"/>
      <protection locked="1" hidden="0"/>
    </xf>
    <xf numFmtId="164" fontId="4" fillId="0" borderId="0" xfId="0" applyNumberFormat="1" applyFont="1" applyFill="1" applyAlignment="1" applyProtection="1">
      <alignment horizontal="general" vertical="bottom"/>
      <protection locked="1" hidden="0"/>
    </xf>
    <xf numFmtId="164" fontId="3" fillId="2" borderId="0" xfId="0" applyNumberFormat="1" applyFont="1" applyFill="1" applyAlignment="1" applyProtection="1">
      <alignment horizontal="general" vertical="top" wrapText="1"/>
      <protection locked="1" hidden="0"/>
    </xf>
    <xf numFmtId="167" fontId="1" fillId="2" borderId="0" xfId="0" applyNumberFormat="1" applyFont="1" applyFill="1" applyAlignment="1" applyProtection="1">
      <alignment horizontal="right" vertical="bottom"/>
      <protection locked="1" hidden="0"/>
    </xf>
    <xf numFmtId="166" fontId="2" fillId="0" borderId="0" xfId="0" applyNumberFormat="1" applyFont="1" applyFill="1" applyAlignment="1" applyProtection="1">
      <alignment horizontal="right" vertical="bottom"/>
      <protection locked="1" hidden="0"/>
    </xf>
    <xf numFmtId="167" fontId="4" fillId="0" borderId="0" xfId="0" applyNumberFormat="1" applyFont="1" applyFill="1" applyAlignment="1" applyProtection="1">
      <alignment horizontal="right" vertical="bottom"/>
      <protection locked="1" hidden="0"/>
    </xf>
    <xf numFmtId="166" fontId="2" fillId="2" borderId="0" xfId="0" applyNumberFormat="1" applyFont="1" applyFill="1" applyAlignment="1" applyProtection="1">
      <alignment horizontal="right" vertical="bottom"/>
      <protection locked="1" hidden="0"/>
    </xf>
    <xf numFmtId="167" fontId="4" fillId="2" borderId="0" xfId="0" applyNumberFormat="1" applyFont="1" applyFill="1" applyAlignment="1" applyProtection="1">
      <alignment horizontal="right" vertical="bottom"/>
      <protection locked="1" hidden="0"/>
    </xf>
    <xf numFmtId="166" fontId="5" fillId="2" borderId="0" xfId="0" applyNumberFormat="1" applyFont="1" applyFill="1" applyAlignment="1" applyProtection="1">
      <alignment horizontal="right" vertical="bottom"/>
      <protection locked="1" hidden="0"/>
    </xf>
    <xf numFmtId="174" fontId="13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75" fontId="1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13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4" fontId="15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4" fontId="16" fillId="3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8" fontId="13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13" fillId="3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5" fontId="1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13" fillId="3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5" fontId="17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9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13" fillId="3" borderId="2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75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15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74" fontId="13" fillId="3" borderId="1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74" fontId="16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5" fontId="1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13" fillId="3" borderId="2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76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17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4" fontId="1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6" fontId="1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13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6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5" fontId="20" fillId="0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5" fontId="16" fillId="0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4" fontId="13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74" fontId="20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4" fontId="16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76" fontId="1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16" fillId="0" borderId="0" xfId="0" applyNumberFormat="1" applyFont="1" applyFill="1" applyAlignment="1" applyProtection="1">
      <alignment horizontal="right" vertical="bottom" textRotation="0" wrapText="1" indent="0" readingOrder="0"/>
      <protection locked="1" hidden="0"/>
    </xf>
    <xf numFmtId="164" fontId="1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15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4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16" fillId="0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4" fontId="13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3" fontId="13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1" fontId="13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5" fontId="16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6" fontId="13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5" fontId="13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9" fontId="15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16" fillId="0" borderId="0" xfId="0" applyNumberFormat="1" applyFont="1" applyFill="1" applyAlignment="1" applyProtection="1">
      <alignment horizontal="right" vertical="top" textRotation="0" wrapText="1" indent="0" readingOrder="0"/>
      <protection locked="1" hidden="0"/>
    </xf>
    <xf numFmtId="172" fontId="17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15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5" fontId="2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9" fontId="15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3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21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13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5" fontId="16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5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64" fontId="15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16" fillId="0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5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18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1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16" fillId="2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4" fontId="22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74" fontId="23" fillId="0" borderId="0" xfId="0" applyNumberFormat="1" applyFont="1" applyFill="1" applyAlignment="1" applyProtection="1">
      <alignment horizontal="general" vertical="top" textRotation="0" indent="0" readingOrder="0"/>
      <protection locked="1" hidden="0"/>
    </xf>
    <xf numFmtId="174" fontId="23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74" fontId="24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64" fontId="23" fillId="0" borderId="0" xfId="0" applyNumberFormat="1" applyFont="1" applyFill="1" applyAlignment="1" applyProtection="1">
      <alignment horizontal="right" vertical="top" textRotation="0" wrapText="1" indent="0" readingOrder="0"/>
      <protection locked="1" hidden="0"/>
    </xf>
    <xf numFmtId="174" fontId="22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74" fontId="24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74" fontId="23" fillId="0" borderId="0" xfId="0" applyNumberFormat="1" applyFont="1" applyFill="1" applyAlignment="1" applyProtection="1">
      <alignment horizontal="right" vertical="bottom" textRotation="0" wrapText="1" indent="0" readingOrder="0"/>
      <protection locked="1" hidden="0"/>
    </xf>
    <xf numFmtId="174" fontId="24" fillId="0" borderId="0" xfId="0" applyNumberFormat="1" applyFont="1" applyFill="1" applyAlignment="1" applyProtection="1">
      <alignment horizontal="general" vertical="top" wrapText="1"/>
      <protection locked="1" hidden="0"/>
    </xf>
    <xf numFmtId="165" fontId="2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26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74" fontId="26" fillId="0" borderId="0" xfId="0" applyNumberFormat="1" applyFont="1" applyFill="1" applyAlignment="1" applyProtection="1">
      <alignment horizontal="right" vertical="bottom" textRotation="0" wrapText="1" indent="0" readingOrder="0"/>
      <protection locked="1" hidden="0"/>
    </xf>
    <xf numFmtId="174" fontId="27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74" fontId="28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77" fontId="2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7" fontId="28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7" fontId="2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7" fontId="3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6" fontId="3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8" fontId="2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8" fontId="28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9" fontId="31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7" fontId="30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8" fontId="31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7" fontId="29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7" fontId="2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7" fontId="26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7" fontId="27" fillId="0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6" fontId="2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7" fontId="27" fillId="2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80" fontId="30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theme" Target="theme/theme1.xml"/><Relationship Id="rId1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38100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8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9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10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comments" Target="../comments11.xml"/><Relationship Id="rId2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2"/>
  <sheetViews>
    <sheetView showGridLines="0" tabSelected="1" workbookViewId="0"/>
  </sheetViews>
  <sheetFormatPr defaultRowHeight="15"/>
  <cols>
    <col min="1" max="1" width="10" customWidth="1"/>
    <col min="2" max="2" width="34" customWidth="1"/>
    <col min="3" max="5" width="12" customWidth="1"/>
    <col min="6" max="6" width="16" customWidth="1"/>
    <col min="7" max="10" width="12" customWidth="1"/>
    <col min="11" max="11" width="14" customWidth="1"/>
  </cols>
  <sheetData>
    <row r="1">
      <c r="A1" s="1"/>
      <c r="B1" s="3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9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137"/>
      <c r="C4" s="123"/>
      <c r="D4" s="123"/>
      <c r="E4" s="123"/>
      <c r="F4" s="123"/>
      <c r="G4" s="123"/>
      <c r="H4" s="123"/>
      <c r="I4" s="123"/>
      <c r="J4" s="123"/>
      <c r="K4" s="131" t="s">
        <v>3</v>
      </c>
      <c r="L4" s="1"/>
    </row>
    <row r="5">
      <c r="A5" s="1"/>
      <c r="B5" s="126"/>
      <c r="C5" s="124"/>
      <c r="D5" s="124"/>
      <c r="E5" s="124"/>
      <c r="F5" s="124"/>
      <c r="G5" s="124"/>
      <c r="H5" s="124"/>
      <c r="I5" s="124"/>
      <c r="J5" s="124"/>
      <c r="K5" s="71"/>
      <c r="L5" s="1"/>
    </row>
    <row r="6">
      <c r="A6" s="1"/>
      <c r="B6" s="134"/>
      <c r="C6" s="128"/>
      <c r="D6" s="128"/>
      <c r="E6" s="128"/>
      <c r="F6" s="128"/>
      <c r="G6" s="128"/>
      <c r="H6" s="128"/>
      <c r="I6" s="128"/>
      <c r="J6" s="128"/>
      <c r="K6" s="7"/>
      <c r="L6" s="1"/>
    </row>
    <row r="7">
      <c r="A7" s="1"/>
      <c r="B7" s="1"/>
      <c r="C7" s="1"/>
      <c r="D7" s="1"/>
      <c r="E7" s="1"/>
      <c r="F7" s="1"/>
      <c r="G7" s="1"/>
      <c r="H7" s="1"/>
      <c r="I7" s="1"/>
      <c r="J7" s="121"/>
      <c r="K7" s="1"/>
      <c r="L7" s="1"/>
    </row>
    <row r="8">
      <c r="A8" s="1"/>
      <c r="B8" s="1" t="s">
        <v>4</v>
      </c>
      <c r="C8" s="3" t="s">
        <v>5</v>
      </c>
      <c r="D8" s="3"/>
      <c r="E8" s="3"/>
      <c r="F8" s="3"/>
      <c r="G8" s="3"/>
      <c r="H8" s="1"/>
      <c r="I8" s="1"/>
      <c r="J8" s="121"/>
      <c r="K8" s="1"/>
      <c r="L8" s="1"/>
    </row>
    <row r="9">
      <c r="A9" s="1"/>
      <c r="B9" s="1" t="s">
        <v>6</v>
      </c>
      <c r="C9" s="3" t="s">
        <v>7</v>
      </c>
      <c r="D9" s="3"/>
      <c r="E9" s="3"/>
      <c r="F9" s="3"/>
      <c r="G9" s="3"/>
      <c r="H9" s="1"/>
      <c r="I9" s="1"/>
      <c r="J9" s="121"/>
      <c r="K9" s="1"/>
      <c r="L9" s="1"/>
    </row>
    <row r="10">
      <c r="A10" s="1"/>
      <c r="B10" s="1" t="s">
        <v>8</v>
      </c>
      <c r="C10" s="3" t="s">
        <v>9</v>
      </c>
      <c r="D10" s="3"/>
      <c r="E10" s="3"/>
      <c r="F10" s="3"/>
      <c r="G10" s="3"/>
      <c r="H10" s="1"/>
      <c r="I10" s="1"/>
      <c r="J10" s="121"/>
      <c r="K10" s="1"/>
      <c r="L10" s="1"/>
    </row>
    <row r="11">
      <c r="A11" s="1"/>
      <c r="B11" s="1" t="s">
        <v>10</v>
      </c>
      <c r="C11" s="3" t="s">
        <v>11</v>
      </c>
      <c r="D11" s="3"/>
      <c r="E11" s="3"/>
      <c r="F11" s="3"/>
      <c r="G11" s="3"/>
      <c r="H11" s="1"/>
      <c r="I11" s="1"/>
      <c r="J11" s="121"/>
      <c r="K11" s="1"/>
      <c r="L11" s="1"/>
    </row>
    <row r="12">
      <c r="A12" s="1"/>
      <c r="B12" s="1" t="s">
        <v>12</v>
      </c>
      <c r="C12" s="3" t="s">
        <v>13</v>
      </c>
      <c r="D12" s="3"/>
      <c r="E12" s="3"/>
      <c r="F12" s="3"/>
      <c r="G12" s="3"/>
      <c r="H12" s="1"/>
      <c r="I12" s="1"/>
      <c r="J12" s="121"/>
      <c r="K12" s="1"/>
      <c r="L12" s="1"/>
    </row>
    <row r="13">
      <c r="A13" s="1"/>
      <c r="B13" s="1" t="s">
        <v>14</v>
      </c>
      <c r="C13" s="3" t="s">
        <v>15</v>
      </c>
      <c r="D13" s="3"/>
      <c r="E13" s="3"/>
      <c r="F13" s="3"/>
      <c r="G13" s="3"/>
      <c r="H13" s="1"/>
      <c r="I13" s="1"/>
      <c r="J13" s="121"/>
      <c r="K13" s="1"/>
      <c r="L13" s="1"/>
    </row>
    <row r="14">
      <c r="A14" s="1"/>
      <c r="B14" s="1" t="s">
        <v>16</v>
      </c>
      <c r="C14" s="3" t="s">
        <v>17</v>
      </c>
      <c r="D14" s="3"/>
      <c r="E14" s="3"/>
      <c r="F14" s="3"/>
      <c r="G14" s="3"/>
      <c r="H14" s="1"/>
      <c r="I14" s="1"/>
      <c r="J14" s="121"/>
      <c r="K14" s="1"/>
      <c r="L14" s="1"/>
    </row>
    <row r="15">
      <c r="A15" s="1"/>
      <c r="B15" s="1" t="s">
        <v>18</v>
      </c>
      <c r="C15" s="3" t="s">
        <v>19</v>
      </c>
      <c r="D15" s="3"/>
      <c r="E15" s="3"/>
      <c r="F15" s="3"/>
      <c r="G15" s="3"/>
      <c r="H15" s="1"/>
      <c r="I15" s="1"/>
      <c r="J15" s="121"/>
      <c r="K15" s="1"/>
      <c r="L15" s="1"/>
    </row>
    <row r="16">
      <c r="A16" s="1"/>
      <c r="B16" s="1" t="s">
        <v>20</v>
      </c>
      <c r="C16" s="3" t="s">
        <v>21</v>
      </c>
      <c r="D16" s="3"/>
      <c r="E16" s="3"/>
      <c r="F16" s="3"/>
      <c r="G16" s="3"/>
      <c r="H16" s="1"/>
      <c r="I16" s="1"/>
      <c r="J16" s="121"/>
      <c r="K16" s="1"/>
      <c r="L16" s="1"/>
    </row>
    <row r="17">
      <c r="A17" s="1"/>
      <c r="B17" s="1" t="s">
        <v>22</v>
      </c>
      <c r="C17" s="86">
        <f>Inputs!C117</f>
        <v>252660</v>
      </c>
      <c r="D17" s="4"/>
      <c r="E17" s="4"/>
      <c r="F17" s="4"/>
      <c r="G17" s="4"/>
      <c r="H17" s="1"/>
      <c r="I17" s="1"/>
      <c r="J17" s="121"/>
      <c r="K17" s="1"/>
      <c r="L17" s="1"/>
    </row>
    <row r="18">
      <c r="A18" s="1"/>
      <c r="B18" s="1" t="s">
        <v>23</v>
      </c>
      <c r="C18" s="72" t="str">
        <f>Inputs!C118</f>
        <v>Large cap (&gt; $10B); S&amp;P 500 member = Y (S1)</v>
      </c>
      <c r="D18" s="3"/>
      <c r="E18" s="3"/>
      <c r="F18" s="3"/>
      <c r="G18" s="3"/>
      <c r="H18" s="1"/>
      <c r="I18" s="1"/>
      <c r="J18" s="121"/>
      <c r="K18" s="1"/>
      <c r="L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21"/>
      <c r="K19" s="1"/>
      <c r="L19" s="1"/>
    </row>
    <row r="20" ht="29.25">
      <c r="A20" s="1"/>
      <c r="B20" s="182" t="s">
        <v>24</v>
      </c>
      <c r="C20" s="16" t="s">
        <v>25</v>
      </c>
      <c r="D20" s="16" t="s">
        <v>26</v>
      </c>
      <c r="E20" s="185" t="s">
        <v>27</v>
      </c>
      <c r="F20" s="16" t="s">
        <v>28</v>
      </c>
      <c r="G20" s="16" t="s">
        <v>29</v>
      </c>
      <c r="H20" s="9"/>
      <c r="I20" s="9"/>
      <c r="J20" s="135"/>
      <c r="K20" s="1"/>
      <c r="L20" s="1"/>
    </row>
    <row r="21">
      <c r="A21" s="1"/>
      <c r="B21" s="1" t="s">
        <v>30</v>
      </c>
      <c r="C21" s="14">
        <f>'Income Statement'!J136</f>
        <v>22241.42316144841</v>
      </c>
      <c r="D21" s="14">
        <f>Inputs!C52</f>
        <v>22324.43</v>
      </c>
      <c r="E21" s="5">
        <f>C21-D21</f>
        <v>-83.0068385515915</v>
      </c>
      <c r="F21" s="14">
        <f>Guidance!H37</f>
        <v>22331.385999619644</v>
      </c>
      <c r="G21" s="5">
        <f>C21-F21</f>
        <v>-89.96283817123549</v>
      </c>
      <c r="H21" s="1"/>
      <c r="I21" s="1"/>
      <c r="J21" s="121"/>
      <c r="K21" s="1"/>
      <c r="L21" s="1"/>
    </row>
    <row r="22">
      <c r="A22" s="1"/>
      <c r="B22" s="6" t="s">
        <v>31</v>
      </c>
      <c r="C22" s="26">
        <f>C21/D21-1</f>
        <v>-0.0037182064022056593</v>
      </c>
      <c r="D22" s="26"/>
      <c r="E22" s="26"/>
      <c r="F22" s="26"/>
      <c r="G22" s="26"/>
      <c r="H22" s="6"/>
      <c r="I22" s="6"/>
      <c r="J22" s="122"/>
      <c r="K22" s="1"/>
      <c r="L22" s="1"/>
    </row>
    <row r="23" ht="29.25">
      <c r="A23" s="1"/>
      <c r="B23" s="181" t="s">
        <v>32</v>
      </c>
      <c r="C23" s="14">
        <f>'Income Statement'!J256</f>
        <v>5614.929598233167</v>
      </c>
      <c r="D23" s="14">
        <f>Inputs!C65</f>
        <v>5663.98</v>
      </c>
      <c r="E23" s="5" t="s">
        <v>33</v>
      </c>
      <c r="F23" s="14">
        <f>Guidance!H40</f>
        <v>5686.300125724103</v>
      </c>
      <c r="G23" s="5">
        <f>C23-F23</f>
        <v>-71.37052749093618</v>
      </c>
      <c r="H23" s="1"/>
      <c r="I23" s="1"/>
      <c r="J23" s="121"/>
      <c r="K23" s="1"/>
      <c r="L23" s="1"/>
    </row>
    <row r="24">
      <c r="A24" s="1"/>
      <c r="B24" s="6" t="s">
        <v>31</v>
      </c>
      <c r="C24" s="26" t="s">
        <v>33</v>
      </c>
      <c r="D24" s="154" t="s">
        <v>34</v>
      </c>
      <c r="E24" s="26"/>
      <c r="F24" s="26"/>
      <c r="G24" s="26"/>
      <c r="H24" s="6"/>
      <c r="I24" s="6"/>
      <c r="J24" s="122"/>
      <c r="K24" s="1"/>
      <c r="L24" s="1"/>
    </row>
    <row r="25" ht="29.25">
      <c r="A25" s="1"/>
      <c r="B25" s="181" t="s">
        <v>35</v>
      </c>
      <c r="C25" s="132">
        <f>'Income Statement'!J259</f>
        <v>1.848444504429112</v>
      </c>
      <c r="D25" s="132">
        <f>Inputs!C36</f>
        <v>1.83</v>
      </c>
      <c r="E25" s="127">
        <f>C25-D25</f>
        <v>0.01844450442911194</v>
      </c>
      <c r="F25" s="132">
        <f>Guidance!H41</f>
        <v>1.8719398051289355</v>
      </c>
      <c r="G25" s="127">
        <f>C25-F25</f>
        <v>-0.02349530069982353</v>
      </c>
      <c r="H25" s="1"/>
      <c r="I25" s="1"/>
      <c r="J25" s="121"/>
      <c r="K25" s="1"/>
      <c r="L25" s="1"/>
    </row>
    <row r="26">
      <c r="A26" s="1"/>
      <c r="B26" s="6" t="s">
        <v>31</v>
      </c>
      <c r="C26" s="26">
        <f>C25/D25-1</f>
        <v>0.010078964168913629</v>
      </c>
      <c r="D26" s="26"/>
      <c r="E26" s="26"/>
      <c r="F26" s="26"/>
      <c r="G26" s="26"/>
      <c r="H26" s="6"/>
      <c r="I26" s="6"/>
      <c r="J26" s="122"/>
      <c r="K26" s="1"/>
      <c r="L26" s="1"/>
    </row>
    <row r="27">
      <c r="A27" s="1"/>
      <c r="B27" s="1" t="s">
        <v>36</v>
      </c>
      <c r="C27" s="132">
        <f>'Income Statement'!J236</f>
        <v>1.848444504429112</v>
      </c>
      <c r="D27" s="132">
        <f>Inputs!C45</f>
        <v>1.86</v>
      </c>
      <c r="E27" s="127">
        <f>C27-D27</f>
        <v>-0.011555495570888086</v>
      </c>
      <c r="F27" s="132">
        <f>Guidance!H41</f>
        <v>1.8719398051289355</v>
      </c>
      <c r="G27" s="127">
        <f>C27-F27</f>
        <v>-0.02349530069982353</v>
      </c>
      <c r="H27" s="1"/>
      <c r="I27" s="1"/>
      <c r="J27" s="121"/>
      <c r="K27" s="1"/>
      <c r="L27" s="1"/>
    </row>
    <row r="28">
      <c r="A28" s="1"/>
      <c r="B28" s="6" t="s">
        <v>31</v>
      </c>
      <c r="C28" s="26">
        <f>C27/D27-1</f>
        <v>-0.006212632027359222</v>
      </c>
      <c r="D28" s="26"/>
      <c r="E28" s="26"/>
      <c r="F28" s="26"/>
      <c r="G28" s="26"/>
      <c r="H28" s="6"/>
      <c r="I28" s="6"/>
      <c r="J28" s="122"/>
      <c r="K28" s="1"/>
      <c r="L28" s="1"/>
    </row>
    <row r="29">
      <c r="A29" s="1"/>
      <c r="B29" s="85" t="s">
        <v>37</v>
      </c>
      <c r="C29" s="79">
        <f>Inputs!C124</f>
        <v>0.65</v>
      </c>
      <c r="D29" s="45"/>
      <c r="E29" s="45"/>
      <c r="F29" s="45"/>
      <c r="G29" s="45"/>
      <c r="H29" s="9"/>
      <c r="I29" s="9"/>
      <c r="J29" s="135"/>
      <c r="K29" s="1"/>
      <c r="L29" s="1"/>
    </row>
    <row r="30">
      <c r="A30" s="1"/>
      <c r="B30" s="9" t="s">
        <v>38</v>
      </c>
      <c r="C30" s="44" t="str">
        <f>Inputs!C125</f>
        <v>medium</v>
      </c>
      <c r="D30" s="51"/>
      <c r="E30" s="51"/>
      <c r="F30" s="51"/>
      <c r="G30" s="51"/>
      <c r="H30" s="9"/>
      <c r="I30" s="9"/>
      <c r="J30" s="135"/>
      <c r="K30" s="1"/>
      <c r="L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21"/>
      <c r="K31" s="1"/>
      <c r="L31" s="1"/>
    </row>
    <row r="32" ht="29.25">
      <c r="A32" s="1"/>
      <c r="B32" s="183" t="s">
        <v>39</v>
      </c>
      <c r="C32" s="149" t="str">
        <f>IF(AND(COUNT('Revenue summary'!C61:I61)=COUNTA('Revenue summary'!C61:I61),(SUMIF('Revenue summary'!C61:I61,"&gt;0")-SUMIF('Revenue summary'!C61:I61,"&lt;0"))&lt;0.001,COUNT('Revenue summary'!C85:I85)=COUNTA('Revenue summary'!C85:I85),(SUMIF('Revenue summary'!C85:I85,"&gt;0")-SUMIF('Revenue summary'!C85:I85,"&lt;0"))&lt;0.001,COUNT('Balance Sheet'!C112:I112)=COUNTA('Balance Sheet'!C112:I112),(SUMIF('Balance Sheet'!C112:I112,"&gt;0")-SUMIF('Balance Sheet'!C112:I112,"&lt;0"))&lt;0.001,COUNT('Balance Sheet'!C54:I54)=COUNTA('Balance Sheet'!C54:I54),(SUMIF('Balance Sheet'!C54:I54,"&gt;0")-SUMIF('Balance Sheet'!C54:I54,"&lt;0"))&lt;0.001,COUNT('Cash Flow Statement'!C35:I35)=COUNTA('Cash Flow Statement'!C35:I35),(SUMIF('Cash Flow Statement'!C35:I35,"&gt;0")-SUMIF('Cash Flow Statement'!C35:I35,"&lt;0"))&lt;0.001,COUNT('Cash Flow Statement'!C31:I31)=COUNTA('Cash Flow Statement'!C31:I31),(SUMIF('Cash Flow Statement'!C31:I31,"&gt;0")-SUMIF('Cash Flow Statement'!C31:I31,"&lt;0"))&lt;0.001,COUNT('Income Statement'!C142:I142)=COUNTA('Income Statement'!C142:I142),(SUMIF('Income Statement'!C142:I142,"&gt;0")-SUMIF('Income Statement'!C142:I142,"&lt;0"))&lt;0.001,COUNT('Income Statement'!C221:I221)=COUNTA('Income Statement'!C221:I221),(SUMIF('Income Statement'!C221:I221,"&gt;0")-SUMIF('Income Statement'!C221:I221,"&lt;0"))&lt;0.001,COUNT('Income Statement'!C240:I240)=COUNTA('Income Statement'!C240:I240),(SUMIF('Income Statement'!C240:I240,"&gt;0")-SUMIF('Income Statement'!C240:I240,"&lt;0"))&lt;0.001,COUNT('Segment - CBL'!C98:I98)=COUNTA('Segment - CBL'!C98:I98),(SUMIF('Segment - CBL'!C98:I98,"&gt;0")-SUMIF('Segment - CBL'!C98:I98,"&lt;0"))&lt;0.001,COUNT('Segment - CBL'!C306:I306)=COUNTA('Segment - CBL'!C306:I306),(SUMIF('Segment - CBL'!C306:I306,"&gt;0")-SUMIF('Segment - CBL'!C306:I306,"&lt;0"))&lt;0.001,COUNT('Segment - Commercial Banking'!C73:I73)=COUNTA('Segment - Commercial Banking'!C73:I73),(SUMIF('Segment - Commercial Banking'!C73:I73,"&gt;0")-SUMIF('Segment - Commercial Banking'!C73:I73,"&lt;0"))&lt;0.001,COUNT('Segment - Commercial Banking'!C155:I155)=COUNTA('Segment - Commercial Banking'!C155:I155),(SUMIF('Segment - Commercial Banking'!C155:I155,"&gt;0")-SUMIF('Segment - Commercial Banking'!C155:I155,"&lt;0"))&lt;0.001,COUNT('Segment - CIB'!C125:I125)=COUNTA('Segment - CIB'!C125:I125),(SUMIF('Segment - CIB'!C125:I125,"&gt;0")-SUMIF('Segment - CIB'!C125:I125,"&lt;0"))&lt;0.001,COUNT('Segment - CIB'!C213:I213)=COUNTA('Segment - CIB'!C213:I213),(SUMIF('Segment - CIB'!C213:I213,"&gt;0")-SUMIF('Segment - CIB'!C213:I213,"&lt;0"))&lt;0.001,COUNT('Segment - WIM'!C124:I124)=COUNTA('Segment - WIM'!C124:I124),(SUMIF('Segment - WIM'!C124:I124,"&gt;0")-SUMIF('Segment - WIM'!C124:I124,"&lt;0"))&lt;0.001),"PASS","FAIL")</f>
        <v>PASS</v>
      </c>
      <c r="D32" s="154" t="s">
        <v>40</v>
      </c>
      <c r="E32" s="51"/>
      <c r="F32" s="51"/>
      <c r="G32" s="51"/>
      <c r="H32" s="9"/>
      <c r="I32" s="9"/>
      <c r="J32" s="135"/>
      <c r="K32" s="1"/>
      <c r="L32" s="1"/>
    </row>
    <row r="33">
      <c r="A33" s="1"/>
      <c r="B33" s="183" t="s">
        <v>41</v>
      </c>
      <c r="C33" s="149" t="str">
        <f>IF(AND(ABS('Revenue summary'!J61)&lt;0.001,ABS('Revenue summary'!J85)&lt;0.001,ABS('Balance Sheet'!J112)&lt;0.001,ABS('Cash Flow Statement'!J35)&lt;0.001,ABS('Segment - CBL'!J98)&lt;0.001,ABS('Segment - Commercial Banking'!J73)&lt;0.001,ABS('Segment - CIB'!J125)&lt;0.001,COUNT('Share Count'!C19:J19)=COUNTA('Share Count'!C19:J19),(SUMIF('Share Count'!C19:J19,"&gt;0")-SUMIF('Share Count'!C19:J19,"&lt;0"))&lt;0.001,ABS('Cash Flow Statement'!G36)&lt;0.001,ABS(C49)&lt;0.000001,ABS(C50)&lt;0.000001),"Identities hold (not validation)","IDENTITY BROKEN")</f>
        <v>Identities hold (not validation)</v>
      </c>
      <c r="D33" s="145"/>
      <c r="E33" s="145"/>
      <c r="F33" s="145"/>
      <c r="G33" s="145"/>
      <c r="H33" s="135"/>
      <c r="I33" s="135"/>
      <c r="J33" s="135"/>
      <c r="K33" s="121"/>
      <c r="L33" s="1"/>
    </row>
    <row r="34">
      <c r="A34" s="1"/>
      <c r="B34" s="9" t="s">
        <v>42</v>
      </c>
      <c r="C34" s="21"/>
      <c r="D34" s="21"/>
      <c r="E34" s="21"/>
      <c r="F34" s="21"/>
      <c r="G34" s="21"/>
      <c r="H34" s="9"/>
      <c r="I34" s="9"/>
      <c r="J34" s="135"/>
      <c r="K34" s="1"/>
      <c r="L34" s="1"/>
    </row>
    <row r="35">
      <c r="A35" s="1"/>
      <c r="B35" s="6" t="s">
        <v>43</v>
      </c>
      <c r="C35" s="73">
        <f>Inputs!C119</f>
        <v>0.78</v>
      </c>
      <c r="D35" s="43"/>
      <c r="E35" s="43"/>
      <c r="F35" s="43"/>
      <c r="G35" s="43"/>
      <c r="H35" s="6"/>
      <c r="I35" s="6"/>
      <c r="J35" s="122"/>
      <c r="K35" s="1"/>
      <c r="L35" s="1"/>
    </row>
    <row r="36" ht="29.25">
      <c r="A36" s="1"/>
      <c r="B36" s="181" t="s">
        <v>44</v>
      </c>
      <c r="C36" s="61">
        <f>Inputs!C121</f>
        <v>5</v>
      </c>
      <c r="D36" s="61">
        <f>Inputs!C122</f>
        <v>6</v>
      </c>
      <c r="E36" s="57"/>
      <c r="F36" s="57"/>
      <c r="G36" s="57"/>
      <c r="H36" s="1"/>
      <c r="I36" s="1"/>
      <c r="J36" s="121"/>
      <c r="K36" s="1"/>
      <c r="L36" s="1"/>
    </row>
    <row r="37" ht="29.25">
      <c r="A37" s="1"/>
      <c r="B37" s="184" t="s">
        <v>45</v>
      </c>
      <c r="C37" s="73">
        <f>Inputs!C123</f>
        <v>0.8028571428571428</v>
      </c>
      <c r="D37" s="43"/>
      <c r="E37" s="43"/>
      <c r="F37" s="43"/>
      <c r="G37" s="43"/>
      <c r="H37" s="6"/>
      <c r="I37" s="6"/>
      <c r="J37" s="122"/>
      <c r="K37" s="1"/>
      <c r="L37" s="1"/>
    </row>
    <row r="38" ht="29.25">
      <c r="A38" s="1"/>
      <c r="B38" s="184" t="s">
        <v>46</v>
      </c>
      <c r="C38" s="73">
        <f>Inputs!C124</f>
        <v>0.65</v>
      </c>
      <c r="D38" s="43"/>
      <c r="E38" s="43"/>
      <c r="F38" s="43"/>
      <c r="G38" s="43"/>
      <c r="H38" s="6"/>
      <c r="I38" s="6"/>
      <c r="J38" s="122"/>
      <c r="K38" s="1"/>
      <c r="L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21"/>
      <c r="K39" s="1"/>
      <c r="L39" s="1"/>
    </row>
    <row r="40" ht="42">
      <c r="A40" s="1"/>
      <c r="B40" s="28" t="s">
        <v>47</v>
      </c>
      <c r="C40" s="21"/>
      <c r="D40" s="21"/>
      <c r="E40" s="21"/>
      <c r="F40" s="21"/>
      <c r="G40" s="21"/>
      <c r="H40" s="9"/>
      <c r="I40" s="9"/>
      <c r="J40" s="135"/>
      <c r="K40" s="1"/>
      <c r="L40" s="1"/>
    </row>
    <row r="41" ht="29.25">
      <c r="A41" s="1"/>
      <c r="B41" s="181" t="s">
        <v>48</v>
      </c>
      <c r="C41" s="139">
        <v>1.85</v>
      </c>
      <c r="D41" s="49"/>
      <c r="E41" s="49"/>
      <c r="F41" s="49"/>
      <c r="G41" s="49"/>
      <c r="H41" s="1"/>
      <c r="I41" s="1"/>
      <c r="J41" s="121"/>
      <c r="K41" s="1" t="s">
        <v>49</v>
      </c>
      <c r="L41" s="1"/>
    </row>
    <row r="42" ht="29.25">
      <c r="A42" s="1"/>
      <c r="B42" s="181" t="s">
        <v>50</v>
      </c>
      <c r="C42" s="62">
        <v>22150</v>
      </c>
      <c r="D42" s="4"/>
      <c r="E42" s="4"/>
      <c r="F42" s="4"/>
      <c r="G42" s="4"/>
      <c r="H42" s="1"/>
      <c r="I42" s="1"/>
      <c r="J42" s="121"/>
      <c r="K42" s="1" t="s">
        <v>49</v>
      </c>
      <c r="L42" s="1"/>
    </row>
    <row r="43">
      <c r="A43" s="1"/>
      <c r="B43" s="1" t="s">
        <v>51</v>
      </c>
      <c r="C43" s="62">
        <v>12630</v>
      </c>
      <c r="D43" s="4"/>
      <c r="E43" s="4"/>
      <c r="F43" s="4"/>
      <c r="G43" s="4"/>
      <c r="H43" s="1"/>
      <c r="I43" s="1"/>
      <c r="J43" s="121"/>
      <c r="K43" s="1" t="s">
        <v>49</v>
      </c>
      <c r="L43" s="1"/>
    </row>
    <row r="44">
      <c r="A44" s="1"/>
      <c r="B44" s="1" t="s">
        <v>52</v>
      </c>
      <c r="C44" s="139">
        <v>1.85</v>
      </c>
      <c r="D44" s="49"/>
      <c r="E44" s="49"/>
      <c r="F44" s="49"/>
      <c r="G44" s="49"/>
      <c r="H44" s="1"/>
      <c r="I44" s="1"/>
      <c r="J44" s="121"/>
      <c r="K44" s="1" t="s">
        <v>53</v>
      </c>
      <c r="L44" s="1"/>
    </row>
    <row r="45" ht="29.25">
      <c r="A45" s="1"/>
      <c r="B45" s="181" t="s">
        <v>54</v>
      </c>
      <c r="C45" s="62">
        <v>22310</v>
      </c>
      <c r="D45" s="4"/>
      <c r="E45" s="4"/>
      <c r="F45" s="4"/>
      <c r="G45" s="4"/>
      <c r="H45" s="1"/>
      <c r="I45" s="1"/>
      <c r="J45" s="121"/>
      <c r="K45" s="1" t="s">
        <v>53</v>
      </c>
      <c r="L45" s="1"/>
    </row>
    <row r="46" ht="29.25">
      <c r="A46" s="1"/>
      <c r="B46" s="181" t="s">
        <v>55</v>
      </c>
      <c r="C46" s="139">
        <v>1.88</v>
      </c>
      <c r="D46" s="49"/>
      <c r="E46" s="49"/>
      <c r="F46" s="49"/>
      <c r="G46" s="49"/>
      <c r="H46" s="1"/>
      <c r="I46" s="1"/>
      <c r="J46" s="121"/>
      <c r="K46" s="1" t="s">
        <v>53</v>
      </c>
      <c r="L46" s="1"/>
    </row>
    <row r="47" ht="42">
      <c r="A47" s="1"/>
      <c r="B47" s="181" t="s">
        <v>56</v>
      </c>
      <c r="C47" s="62">
        <v>22610</v>
      </c>
      <c r="D47" s="4"/>
      <c r="E47" s="4"/>
      <c r="F47" s="4"/>
      <c r="G47" s="4"/>
      <c r="H47" s="1"/>
      <c r="I47" s="1"/>
      <c r="J47" s="121"/>
      <c r="K47" s="1" t="s">
        <v>53</v>
      </c>
      <c r="L47" s="1"/>
    </row>
    <row r="48" ht="42">
      <c r="A48" s="1"/>
      <c r="B48" s="181" t="s">
        <v>57</v>
      </c>
      <c r="C48" s="62">
        <v>1148</v>
      </c>
      <c r="D48" s="4"/>
      <c r="E48" s="4"/>
      <c r="F48" s="4"/>
      <c r="G48" s="4"/>
      <c r="H48" s="1"/>
      <c r="I48" s="1"/>
      <c r="J48" s="121"/>
      <c r="K48" s="1" t="s">
        <v>58</v>
      </c>
      <c r="L48" s="1"/>
    </row>
    <row r="49" ht="42">
      <c r="A49" s="1"/>
      <c r="B49" s="184" t="s">
        <v>59</v>
      </c>
      <c r="C49" s="120">
        <f>ROUND('Income Statement'!J225/'Income Statement'!J234-'Income Statement'!J236,6)</f>
        <v>0</v>
      </c>
      <c r="D49" s="30"/>
      <c r="E49" s="30"/>
      <c r="F49" s="30"/>
      <c r="G49" s="30"/>
      <c r="H49" s="6"/>
      <c r="I49" s="6"/>
      <c r="J49" s="122"/>
      <c r="K49" s="1"/>
      <c r="L49" s="1"/>
    </row>
    <row r="50" ht="29.25">
      <c r="A50" s="1"/>
      <c r="B50" s="184" t="s">
        <v>60</v>
      </c>
      <c r="C50" s="120">
        <f>C25-'Income Statement'!J259</f>
        <v>0</v>
      </c>
      <c r="D50" s="30"/>
      <c r="E50" s="30"/>
      <c r="F50" s="30"/>
      <c r="G50" s="30"/>
      <c r="H50" s="6"/>
      <c r="I50" s="6"/>
      <c r="J50" s="122"/>
      <c r="K50" s="1"/>
      <c r="L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21"/>
      <c r="K51" s="1"/>
      <c r="L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21"/>
      <c r="K52" s="1"/>
      <c r="L52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1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14" customWidth="1"/>
  </cols>
  <sheetData>
    <row r="1">
      <c r="A1" s="1"/>
      <c r="B1" s="3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9" t="s">
        <v>61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64" t="s">
        <v>62</v>
      </c>
      <c r="C4" s="29" t="s">
        <v>63</v>
      </c>
      <c r="D4" s="29" t="s">
        <v>64</v>
      </c>
      <c r="E4" s="29" t="s">
        <v>65</v>
      </c>
      <c r="F4" s="29" t="s">
        <v>66</v>
      </c>
      <c r="G4" s="29" t="s">
        <v>67</v>
      </c>
      <c r="H4" s="29" t="s">
        <v>68</v>
      </c>
      <c r="I4" s="29" t="s">
        <v>69</v>
      </c>
      <c r="J4" s="39" t="s">
        <v>70</v>
      </c>
      <c r="K4" s="131" t="s">
        <v>3</v>
      </c>
      <c r="L4" s="1"/>
    </row>
    <row r="5">
      <c r="A5" s="1"/>
      <c r="B5" s="67" t="s">
        <v>71</v>
      </c>
      <c r="C5" s="32">
        <v>45747</v>
      </c>
      <c r="D5" s="32">
        <v>45838</v>
      </c>
      <c r="E5" s="32">
        <v>45930</v>
      </c>
      <c r="F5" s="32">
        <v>46022</v>
      </c>
      <c r="G5" s="32">
        <v>46022</v>
      </c>
      <c r="H5" s="32">
        <v>46112</v>
      </c>
      <c r="I5" s="32">
        <v>46203</v>
      </c>
      <c r="J5" s="66">
        <v>46295</v>
      </c>
      <c r="K5" s="71"/>
      <c r="L5" s="1"/>
    </row>
    <row r="6">
      <c r="A6" s="1"/>
      <c r="B6" s="8" t="s">
        <v>72</v>
      </c>
      <c r="C6" s="20">
        <f>C5-EOMONTH(C5,-3)</f>
        <v>90</v>
      </c>
      <c r="D6" s="20">
        <f>D5-EOMONTH(D5,-3)</f>
        <v>91</v>
      </c>
      <c r="E6" s="20">
        <f>E5-EOMONTH(E5,-3)</f>
        <v>92</v>
      </c>
      <c r="F6" s="20">
        <f>F5-EOMONTH(F5,-3)</f>
        <v>92</v>
      </c>
      <c r="G6" s="20">
        <f>G5-DATE(YEAR(G5)-1,12,31)</f>
        <v>365</v>
      </c>
      <c r="H6" s="20">
        <f>H5-EOMONTH(H5,-3)</f>
        <v>90</v>
      </c>
      <c r="I6" s="20">
        <f>I5-EOMONTH(I5,-3)</f>
        <v>91</v>
      </c>
      <c r="J6" s="50">
        <f>J5-EOMONTH(J5,-3)</f>
        <v>92</v>
      </c>
      <c r="K6" s="7"/>
      <c r="L6" s="1"/>
    </row>
    <row r="7">
      <c r="A7" s="1"/>
      <c r="B7" s="1"/>
      <c r="C7" s="13"/>
      <c r="D7" s="13"/>
      <c r="E7" s="13"/>
      <c r="F7" s="13"/>
      <c r="G7" s="13"/>
      <c r="H7" s="13"/>
      <c r="I7" s="13"/>
      <c r="J7" s="27"/>
      <c r="K7" s="1"/>
      <c r="L7" s="1"/>
    </row>
    <row r="8">
      <c r="A8" s="1"/>
      <c r="B8" s="9" t="s">
        <v>73</v>
      </c>
      <c r="C8" s="25"/>
      <c r="D8" s="25"/>
      <c r="E8" s="25"/>
      <c r="F8" s="25"/>
      <c r="G8" s="25"/>
      <c r="H8" s="25"/>
      <c r="I8" s="25"/>
      <c r="J8" s="37"/>
      <c r="K8" s="1"/>
      <c r="L8" s="1"/>
    </row>
    <row r="9">
      <c r="A9" s="1"/>
      <c r="B9" s="9" t="s">
        <v>74</v>
      </c>
      <c r="C9" s="33">
        <f>'Income Statement'!C136</f>
        <v>20149</v>
      </c>
      <c r="D9" s="33">
        <f>'Income Statement'!D136</f>
        <v>20822</v>
      </c>
      <c r="E9" s="33">
        <f>'Income Statement'!E136</f>
        <v>21436</v>
      </c>
      <c r="F9" s="33">
        <f>'Income Statement'!F136</f>
        <v>21292</v>
      </c>
      <c r="G9" s="33">
        <f>'Income Statement'!G136</f>
        <v>83699</v>
      </c>
      <c r="H9" s="33">
        <f>'Income Statement'!H136</f>
        <v>21446</v>
      </c>
      <c r="I9" s="33">
        <f>'Income Statement'!I136</f>
        <v>22622</v>
      </c>
      <c r="J9" s="81">
        <f>'Income Statement'!J136</f>
        <v>22241.42316144841</v>
      </c>
      <c r="K9" s="1"/>
      <c r="L9" s="1"/>
    </row>
    <row r="10">
      <c r="A10" s="1"/>
      <c r="B10" s="6" t="s">
        <v>75</v>
      </c>
      <c r="C10" s="26"/>
      <c r="D10" s="26"/>
      <c r="E10" s="26"/>
      <c r="F10" s="26"/>
      <c r="G10" s="26"/>
      <c r="H10" s="26">
        <f>IFERROR(IF(OR(C9&lt;=0,H9&lt;0),"n/m",H9/C9-1),"n/m")</f>
        <v>0.06437044022035843</v>
      </c>
      <c r="I10" s="26">
        <f>IFERROR(IF(OR(D9&lt;=0,I9&lt;0),"n/m",I9/D9-1),"n/m")</f>
        <v>0.08644702718278752</v>
      </c>
      <c r="J10" s="47">
        <f>IFERROR(IF(OR(E9&lt;=0,J9&lt;0),"n/m",J9/E9-1),"n/m")</f>
        <v>0.037573388759489124</v>
      </c>
      <c r="K10" s="1"/>
      <c r="L10" s="1"/>
    </row>
    <row r="11">
      <c r="A11" s="1"/>
      <c r="B11" s="6" t="s">
        <v>76</v>
      </c>
      <c r="C11" s="26"/>
      <c r="D11" s="26">
        <f>IFERROR(IF(OR(C9&lt;=0,D9&lt;0),"n/m",D9/C9-1),"n/m")</f>
        <v>0.033401161347957675</v>
      </c>
      <c r="E11" s="26">
        <f>IFERROR(IF(OR(D9&lt;=0,E9&lt;0),"n/m",E9/D9-1),"n/m")</f>
        <v>0.02948804149457307</v>
      </c>
      <c r="F11" s="26">
        <f>IFERROR(IF(OR(E9&lt;=0,F9&lt;0),"n/m",F9/E9-1),"n/m")</f>
        <v>-0.006717671207314813</v>
      </c>
      <c r="G11" s="26"/>
      <c r="H11" s="26">
        <f>IFERROR(IF(OR(F9&lt;=0,H9&lt;0),"n/m",H9/F9-1),"n/m")</f>
        <v>0.007232763479241067</v>
      </c>
      <c r="I11" s="26">
        <f>IFERROR(IF(OR(H9&lt;=0,I9&lt;0),"n/m",I9/H9-1),"n/m")</f>
        <v>0.05483540054089331</v>
      </c>
      <c r="J11" s="47">
        <f>IFERROR(IF(OR(I9&lt;=0,J9&lt;0),"n/m",J9/I9-1),"n/m")</f>
        <v>-0.01682330645175456</v>
      </c>
      <c r="K11" s="1"/>
      <c r="L11" s="1"/>
    </row>
    <row r="12">
      <c r="A12" s="1"/>
      <c r="B12" s="6" t="s">
        <v>77</v>
      </c>
      <c r="C12" s="26"/>
      <c r="D12" s="26"/>
      <c r="E12" s="26"/>
      <c r="F12" s="26"/>
      <c r="G12" s="26"/>
      <c r="H12" s="26" t="s">
        <v>78</v>
      </c>
      <c r="I12" s="26" t="s">
        <v>78</v>
      </c>
      <c r="J12" s="47" t="s">
        <v>78</v>
      </c>
      <c r="K12" s="1"/>
      <c r="L12" s="1"/>
    </row>
    <row r="13">
      <c r="A13" s="1"/>
      <c r="B13" s="6" t="s">
        <v>79</v>
      </c>
      <c r="C13" s="26"/>
      <c r="D13" s="26"/>
      <c r="E13" s="26"/>
      <c r="F13" s="26"/>
      <c r="G13" s="26"/>
      <c r="H13" s="26" t="s">
        <v>78</v>
      </c>
      <c r="I13" s="26" t="s">
        <v>78</v>
      </c>
      <c r="J13" s="47" t="s">
        <v>78</v>
      </c>
      <c r="K13" s="1"/>
      <c r="L13" s="1"/>
    </row>
    <row r="14">
      <c r="A14" s="1"/>
      <c r="B14" s="6" t="s">
        <v>80</v>
      </c>
      <c r="C14" s="26"/>
      <c r="D14" s="26"/>
      <c r="E14" s="26"/>
      <c r="F14" s="26"/>
      <c r="G14" s="26"/>
      <c r="H14" s="26" t="s">
        <v>81</v>
      </c>
      <c r="I14" s="26" t="s">
        <v>81</v>
      </c>
      <c r="J14" s="47" t="s">
        <v>81</v>
      </c>
      <c r="K14" s="1"/>
      <c r="L14" s="1"/>
    </row>
    <row r="15">
      <c r="A15" s="1"/>
      <c r="B15" s="6"/>
      <c r="C15" s="26"/>
      <c r="D15" s="26"/>
      <c r="E15" s="26"/>
      <c r="F15" s="26"/>
      <c r="G15" s="26"/>
      <c r="H15" s="26"/>
      <c r="I15" s="26"/>
      <c r="J15" s="47"/>
      <c r="K15" s="1"/>
      <c r="L15" s="1"/>
    </row>
    <row r="16">
      <c r="A16" s="1"/>
      <c r="B16" s="1"/>
      <c r="C16" s="13"/>
      <c r="D16" s="13"/>
      <c r="E16" s="13"/>
      <c r="F16" s="13"/>
      <c r="G16" s="13"/>
      <c r="H16" s="13"/>
      <c r="I16" s="13"/>
      <c r="J16" s="27"/>
      <c r="K16" s="1"/>
      <c r="L16" s="1"/>
    </row>
    <row r="17">
      <c r="A17" s="1"/>
      <c r="B17" s="9" t="s">
        <v>82</v>
      </c>
      <c r="C17" s="25"/>
      <c r="D17" s="25"/>
      <c r="E17" s="25"/>
      <c r="F17" s="25"/>
      <c r="G17" s="25"/>
      <c r="H17" s="25"/>
      <c r="I17" s="25"/>
      <c r="J17" s="37"/>
      <c r="K17" s="1"/>
      <c r="L17" s="1"/>
    </row>
    <row r="18">
      <c r="A18" s="1"/>
      <c r="B18" s="1" t="s">
        <v>83</v>
      </c>
      <c r="C18" s="14">
        <f>'Segment - CBL'!C59</f>
        <v>9383</v>
      </c>
      <c r="D18" s="14">
        <f>'Segment - CBL'!D59</f>
        <v>9688</v>
      </c>
      <c r="E18" s="14">
        <f>'Segment - CBL'!E59</f>
        <v>10172</v>
      </c>
      <c r="F18" s="14">
        <f>'Segment - CBL'!F59</f>
        <v>10110</v>
      </c>
      <c r="G18" s="14">
        <f>'Segment - CBL'!G59</f>
        <v>39353</v>
      </c>
      <c r="H18" s="14">
        <f>'Segment - CBL'!H59</f>
        <v>9998</v>
      </c>
      <c r="I18" s="14">
        <f>'Segment - CBL'!I59</f>
        <v>10288</v>
      </c>
      <c r="J18" s="46">
        <f>'Segment - CBL'!J59</f>
        <v>10466.693721871121</v>
      </c>
      <c r="K18" s="1"/>
      <c r="L18" s="1"/>
    </row>
    <row r="19">
      <c r="A19" s="1"/>
      <c r="B19" s="6" t="s">
        <v>84</v>
      </c>
      <c r="C19" s="26"/>
      <c r="D19" s="26"/>
      <c r="E19" s="26"/>
      <c r="F19" s="26"/>
      <c r="G19" s="26"/>
      <c r="H19" s="26">
        <f>IFERROR(IF(OR(C18&lt;=0,H18&lt;0),"n/m",H18/C18-1),"n/m")</f>
        <v>0.0655440690610678</v>
      </c>
      <c r="I19" s="26">
        <f>IFERROR(IF(OR(D18&lt;=0,I18&lt;0),"n/m",I18/D18-1),"n/m")</f>
        <v>0.061932287365813465</v>
      </c>
      <c r="J19" s="47">
        <f>IFERROR(IF(OR(E18&lt;=0,J18&lt;0),"n/m",J18/E18-1),"n/m")</f>
        <v>0.028971069786779546</v>
      </c>
      <c r="K19" s="1"/>
      <c r="L19" s="1"/>
    </row>
    <row r="20">
      <c r="A20" s="1"/>
      <c r="B20" s="6" t="s">
        <v>85</v>
      </c>
      <c r="C20" s="26"/>
      <c r="D20" s="26">
        <f>IFERROR(IF(OR(C18&lt;=0,D18&lt;0),"n/m",D18/C18-1),"n/m")</f>
        <v>0.032505595225407635</v>
      </c>
      <c r="E20" s="26">
        <f>IFERROR(IF(OR(D18&lt;=0,E18&lt;0),"n/m",E18/D18-1),"n/m")</f>
        <v>0.04995871180842282</v>
      </c>
      <c r="F20" s="26">
        <f>IFERROR(IF(OR(E18&lt;=0,F18&lt;0),"n/m",F18/E18-1),"n/m")</f>
        <v>-0.006095163193079012</v>
      </c>
      <c r="G20" s="26"/>
      <c r="H20" s="26">
        <f>IFERROR(IF(OR(F18&lt;=0,H18&lt;0),"n/m",H18/F18-1),"n/m")</f>
        <v>-0.011078140454995</v>
      </c>
      <c r="I20" s="26">
        <f>IFERROR(IF(OR(H18&lt;=0,I18&lt;0),"n/m",I18/H18-1),"n/m")</f>
        <v>0.029005801160232103</v>
      </c>
      <c r="J20" s="47">
        <f>IFERROR(IF(OR(I18&lt;=0,J18&lt;0),"n/m",J18/I18-1),"n/m")</f>
        <v>0.017369140928374938</v>
      </c>
      <c r="K20" s="1"/>
      <c r="L20" s="1"/>
    </row>
    <row r="21">
      <c r="A21" s="1"/>
      <c r="B21" s="6" t="s">
        <v>86</v>
      </c>
      <c r="C21" s="26"/>
      <c r="D21" s="26"/>
      <c r="E21" s="26"/>
      <c r="F21" s="26"/>
      <c r="G21" s="26"/>
      <c r="H21" s="26" t="s">
        <v>78</v>
      </c>
      <c r="I21" s="26" t="s">
        <v>78</v>
      </c>
      <c r="J21" s="47" t="s">
        <v>78</v>
      </c>
      <c r="K21" s="1"/>
      <c r="L21" s="1"/>
    </row>
    <row r="22">
      <c r="A22" s="1"/>
      <c r="B22" s="6" t="s">
        <v>87</v>
      </c>
      <c r="C22" s="26"/>
      <c r="D22" s="26"/>
      <c r="E22" s="26"/>
      <c r="F22" s="26"/>
      <c r="G22" s="26"/>
      <c r="H22" s="26" t="s">
        <v>78</v>
      </c>
      <c r="I22" s="26" t="s">
        <v>78</v>
      </c>
      <c r="J22" s="47" t="s">
        <v>78</v>
      </c>
      <c r="K22" s="1"/>
      <c r="L22" s="1"/>
    </row>
    <row r="23">
      <c r="A23" s="1"/>
      <c r="B23" s="6" t="s">
        <v>88</v>
      </c>
      <c r="C23" s="26"/>
      <c r="D23" s="26"/>
      <c r="E23" s="26"/>
      <c r="F23" s="26"/>
      <c r="G23" s="26"/>
      <c r="H23" s="26" t="s">
        <v>81</v>
      </c>
      <c r="I23" s="26" t="s">
        <v>81</v>
      </c>
      <c r="J23" s="47" t="s">
        <v>81</v>
      </c>
      <c r="K23" s="1"/>
      <c r="L23" s="1"/>
    </row>
    <row r="24">
      <c r="A24" s="1"/>
      <c r="B24" s="6" t="s">
        <v>89</v>
      </c>
      <c r="C24" s="26">
        <f>C18/C9</f>
        <v>0.465680678941883</v>
      </c>
      <c r="D24" s="26">
        <f>D18/D9</f>
        <v>0.46527711074824707</v>
      </c>
      <c r="E24" s="26">
        <f>E18/E9</f>
        <v>0.47452883000559803</v>
      </c>
      <c r="F24" s="26">
        <f>F18/F9</f>
        <v>0.4748262258125117</v>
      </c>
      <c r="G24" s="26">
        <f>G18/G9</f>
        <v>0.47017288139643243</v>
      </c>
      <c r="H24" s="26">
        <f>H18/H9</f>
        <v>0.46619416208150705</v>
      </c>
      <c r="I24" s="26">
        <f>I18/I9</f>
        <v>0.45477853417027675</v>
      </c>
      <c r="J24" s="47">
        <f>J18/J9</f>
        <v>0.4705946038567034</v>
      </c>
      <c r="K24" s="1"/>
      <c r="L24" s="1"/>
    </row>
    <row r="25">
      <c r="A25" s="1"/>
      <c r="B25" s="1" t="s">
        <v>90</v>
      </c>
      <c r="C25" s="14">
        <f>'Segment - Commercial Banking'!C46</f>
        <v>2925</v>
      </c>
      <c r="D25" s="14">
        <f>'Segment - Commercial Banking'!D46</f>
        <v>2933</v>
      </c>
      <c r="E25" s="14">
        <f>'Segment - Commercial Banking'!E46</f>
        <v>3041</v>
      </c>
      <c r="F25" s="14">
        <f>'Segment - Commercial Banking'!F46</f>
        <v>3079</v>
      </c>
      <c r="G25" s="14">
        <f>'Segment - Commercial Banking'!G46</f>
        <v>11978</v>
      </c>
      <c r="H25" s="14">
        <f>'Segment - Commercial Banking'!H46</f>
        <v>3120</v>
      </c>
      <c r="I25" s="14">
        <f>'Segment - Commercial Banking'!I46</f>
        <v>3118</v>
      </c>
      <c r="J25" s="46">
        <f>'Segment - Commercial Banking'!J46</f>
        <v>3198.5179028854354</v>
      </c>
      <c r="K25" s="1"/>
      <c r="L25" s="1"/>
    </row>
    <row r="26">
      <c r="A26" s="1"/>
      <c r="B26" s="6" t="s">
        <v>84</v>
      </c>
      <c r="C26" s="26"/>
      <c r="D26" s="26"/>
      <c r="E26" s="26"/>
      <c r="F26" s="26"/>
      <c r="G26" s="26"/>
      <c r="H26" s="26">
        <f>IFERROR(IF(OR(C25&lt;=0,H25&lt;0),"n/m",H25/C25-1),"n/m")</f>
        <v>0.06666666666666665</v>
      </c>
      <c r="I26" s="26">
        <f>IFERROR(IF(OR(D25&lt;=0,I25&lt;0),"n/m",I25/D25-1),"n/m")</f>
        <v>0.06307534947153082</v>
      </c>
      <c r="J26" s="47">
        <f>IFERROR(IF(OR(E25&lt;=0,J25&lt;0),"n/m",J25/E25-1),"n/m")</f>
        <v>0.051798060797578316</v>
      </c>
      <c r="K26" s="1"/>
      <c r="L26" s="1"/>
    </row>
    <row r="27">
      <c r="A27" s="1"/>
      <c r="B27" s="6" t="s">
        <v>85</v>
      </c>
      <c r="C27" s="26"/>
      <c r="D27" s="26">
        <f>IFERROR(IF(OR(C25&lt;=0,D25&lt;0),"n/m",D25/C25-1),"n/m")</f>
        <v>0.0027350427350427697</v>
      </c>
      <c r="E27" s="26">
        <f>IFERROR(IF(OR(D25&lt;=0,E25&lt;0),"n/m",E25/D25-1),"n/m")</f>
        <v>0.03682236617797474</v>
      </c>
      <c r="F27" s="26">
        <f>IFERROR(IF(OR(E25&lt;=0,F25&lt;0),"n/m",F25/E25-1),"n/m")</f>
        <v>0.012495889510029556</v>
      </c>
      <c r="G27" s="26"/>
      <c r="H27" s="26">
        <f>IFERROR(IF(OR(F25&lt;=0,H25&lt;0),"n/m",H25/F25-1),"n/m")</f>
        <v>0.013316011692107832</v>
      </c>
      <c r="I27" s="26">
        <f>IFERROR(IF(OR(H25&lt;=0,I25&lt;0),"n/m",I25/H25-1),"n/m")</f>
        <v>-0.0006410256410256387</v>
      </c>
      <c r="J27" s="47">
        <f>IFERROR(IF(OR(I25&lt;=0,J25&lt;0),"n/m",J25/I25-1),"n/m")</f>
        <v>0.02582357372849109</v>
      </c>
      <c r="K27" s="1"/>
      <c r="L27" s="1"/>
    </row>
    <row r="28">
      <c r="A28" s="1"/>
      <c r="B28" s="6" t="s">
        <v>86</v>
      </c>
      <c r="C28" s="26"/>
      <c r="D28" s="26"/>
      <c r="E28" s="26"/>
      <c r="F28" s="26"/>
      <c r="G28" s="26"/>
      <c r="H28" s="26" t="s">
        <v>78</v>
      </c>
      <c r="I28" s="26" t="s">
        <v>78</v>
      </c>
      <c r="J28" s="47" t="s">
        <v>78</v>
      </c>
      <c r="K28" s="1"/>
      <c r="L28" s="1"/>
    </row>
    <row r="29">
      <c r="A29" s="1"/>
      <c r="B29" s="6" t="s">
        <v>87</v>
      </c>
      <c r="C29" s="26"/>
      <c r="D29" s="26"/>
      <c r="E29" s="26"/>
      <c r="F29" s="26"/>
      <c r="G29" s="26"/>
      <c r="H29" s="26" t="s">
        <v>78</v>
      </c>
      <c r="I29" s="26" t="s">
        <v>78</v>
      </c>
      <c r="J29" s="47" t="s">
        <v>78</v>
      </c>
      <c r="K29" s="1"/>
      <c r="L29" s="1"/>
    </row>
    <row r="30">
      <c r="A30" s="1"/>
      <c r="B30" s="6" t="s">
        <v>88</v>
      </c>
      <c r="C30" s="26"/>
      <c r="D30" s="26"/>
      <c r="E30" s="26"/>
      <c r="F30" s="26"/>
      <c r="G30" s="26"/>
      <c r="H30" s="26" t="s">
        <v>81</v>
      </c>
      <c r="I30" s="26" t="s">
        <v>81</v>
      </c>
      <c r="J30" s="47" t="s">
        <v>81</v>
      </c>
      <c r="K30" s="1"/>
      <c r="L30" s="1"/>
    </row>
    <row r="31">
      <c r="A31" s="1"/>
      <c r="B31" s="6" t="s">
        <v>89</v>
      </c>
      <c r="C31" s="26">
        <f>C25/C9</f>
        <v>0.14516849471437787</v>
      </c>
      <c r="D31" s="26">
        <f>D25/D9</f>
        <v>0.14086062818173087</v>
      </c>
      <c r="E31" s="26">
        <f>E25/E9</f>
        <v>0.14186415376002987</v>
      </c>
      <c r="F31" s="26">
        <f>F25/F9</f>
        <v>0.14460830358820215</v>
      </c>
      <c r="G31" s="26">
        <f>G25/G9</f>
        <v>0.14310804191208976</v>
      </c>
      <c r="H31" s="26">
        <f>H25/H9</f>
        <v>0.14548167490441108</v>
      </c>
      <c r="I31" s="26">
        <f>I25/I9</f>
        <v>0.13783043055432764</v>
      </c>
      <c r="J31" s="47">
        <f>J25/J9</f>
        <v>0.1438090485337963</v>
      </c>
      <c r="K31" s="1"/>
      <c r="L31" s="1"/>
    </row>
    <row r="32" ht="29.25">
      <c r="A32" s="1"/>
      <c r="B32" s="191" t="s">
        <v>91</v>
      </c>
      <c r="C32" s="14">
        <f>'Segment - CIB'!C52</f>
        <v>5064</v>
      </c>
      <c r="D32" s="14">
        <f>'Segment - CIB'!D52</f>
        <v>4673</v>
      </c>
      <c r="E32" s="14">
        <f>'Segment - CIB'!E52</f>
        <v>4879</v>
      </c>
      <c r="F32" s="14">
        <f>'Segment - CIB'!F52</f>
        <v>4616</v>
      </c>
      <c r="G32" s="14">
        <f>'Segment - CIB'!G52</f>
        <v>19232</v>
      </c>
      <c r="H32" s="14">
        <f>'Segment - CIB'!H52</f>
        <v>5278</v>
      </c>
      <c r="I32" s="14">
        <f>'Segment - CIB'!I52</f>
        <v>5425</v>
      </c>
      <c r="J32" s="46">
        <f>'Segment - CIB'!J52</f>
        <v>5146.680164835165</v>
      </c>
      <c r="K32" s="1"/>
      <c r="L32" s="1"/>
    </row>
    <row r="33">
      <c r="A33" s="1"/>
      <c r="B33" s="6" t="s">
        <v>84</v>
      </c>
      <c r="C33" s="26"/>
      <c r="D33" s="26"/>
      <c r="E33" s="26"/>
      <c r="F33" s="26"/>
      <c r="G33" s="26"/>
      <c r="H33" s="26">
        <f>IFERROR(IF(OR(C32&lt;=0,H32&lt;0),"n/m",H32/C32-1),"n/m")</f>
        <v>0.042259083728278135</v>
      </c>
      <c r="I33" s="26">
        <f>IFERROR(IF(OR(D32&lt;=0,I32&lt;0),"n/m",I32/D32-1),"n/m")</f>
        <v>0.1609244596618875</v>
      </c>
      <c r="J33" s="47">
        <f>IFERROR(IF(OR(E32&lt;=0,J32&lt;0),"n/m",J32/E32-1),"n/m")</f>
        <v>0.05486373536281297</v>
      </c>
      <c r="K33" s="1"/>
      <c r="L33" s="1"/>
    </row>
    <row r="34">
      <c r="A34" s="1"/>
      <c r="B34" s="6" t="s">
        <v>85</v>
      </c>
      <c r="C34" s="26"/>
      <c r="D34" s="26">
        <f>IFERROR(IF(OR(C32&lt;=0,D32&lt;0),"n/m",D32/C32-1),"n/m")</f>
        <v>-0.07721169036334918</v>
      </c>
      <c r="E34" s="26">
        <f>IFERROR(IF(OR(D32&lt;=0,E32&lt;0),"n/m",E32/D32-1),"n/m")</f>
        <v>0.044083030173336146</v>
      </c>
      <c r="F34" s="26">
        <f>IFERROR(IF(OR(E32&lt;=0,F32&lt;0),"n/m",F32/E32-1),"n/m")</f>
        <v>-0.053904488624718194</v>
      </c>
      <c r="G34" s="26"/>
      <c r="H34" s="26">
        <f>IFERROR(IF(OR(F32&lt;=0,H32&lt;0),"n/m",H32/F32-1),"n/m")</f>
        <v>0.14341421143847488</v>
      </c>
      <c r="I34" s="26">
        <f>IFERROR(IF(OR(H32&lt;=0,I32&lt;0),"n/m",I32/H32-1),"n/m")</f>
        <v>0.027851458885941538</v>
      </c>
      <c r="J34" s="47">
        <f>IFERROR(IF(OR(I32&lt;=0,J32&lt;0),"n/m",J32/I32-1),"n/m")</f>
        <v>-0.0513031954220895</v>
      </c>
      <c r="K34" s="1"/>
      <c r="L34" s="1"/>
    </row>
    <row r="35">
      <c r="A35" s="1"/>
      <c r="B35" s="6" t="s">
        <v>86</v>
      </c>
      <c r="C35" s="26"/>
      <c r="D35" s="26"/>
      <c r="E35" s="26"/>
      <c r="F35" s="26"/>
      <c r="G35" s="26"/>
      <c r="H35" s="26" t="s">
        <v>78</v>
      </c>
      <c r="I35" s="26" t="s">
        <v>78</v>
      </c>
      <c r="J35" s="47" t="s">
        <v>78</v>
      </c>
      <c r="K35" s="1"/>
      <c r="L35" s="1"/>
    </row>
    <row r="36">
      <c r="A36" s="1"/>
      <c r="B36" s="6" t="s">
        <v>87</v>
      </c>
      <c r="C36" s="26"/>
      <c r="D36" s="26"/>
      <c r="E36" s="26"/>
      <c r="F36" s="26"/>
      <c r="G36" s="26"/>
      <c r="H36" s="26" t="s">
        <v>78</v>
      </c>
      <c r="I36" s="26" t="s">
        <v>78</v>
      </c>
      <c r="J36" s="47" t="s">
        <v>78</v>
      </c>
      <c r="K36" s="1"/>
      <c r="L36" s="1"/>
    </row>
    <row r="37">
      <c r="A37" s="1"/>
      <c r="B37" s="6" t="s">
        <v>88</v>
      </c>
      <c r="C37" s="26"/>
      <c r="D37" s="26"/>
      <c r="E37" s="26"/>
      <c r="F37" s="26"/>
      <c r="G37" s="26"/>
      <c r="H37" s="26" t="s">
        <v>81</v>
      </c>
      <c r="I37" s="26" t="s">
        <v>81</v>
      </c>
      <c r="J37" s="47" t="s">
        <v>81</v>
      </c>
      <c r="K37" s="1"/>
      <c r="L37" s="1"/>
    </row>
    <row r="38">
      <c r="A38" s="1"/>
      <c r="B38" s="6" t="s">
        <v>89</v>
      </c>
      <c r="C38" s="26">
        <f>C32/C9</f>
        <v>0.25132760931063575</v>
      </c>
      <c r="D38" s="26">
        <f>D32/D9</f>
        <v>0.2244260877917587</v>
      </c>
      <c r="E38" s="26">
        <f>E32/E9</f>
        <v>0.227607762642284</v>
      </c>
      <c r="F38" s="26">
        <f>F32/F9</f>
        <v>0.2167950403907571</v>
      </c>
      <c r="G38" s="26">
        <f>G32/G9</f>
        <v>0.22977574403517365</v>
      </c>
      <c r="H38" s="26">
        <f>H32/H9</f>
        <v>0.24610650004662873</v>
      </c>
      <c r="I38" s="26">
        <f>I32/I9</f>
        <v>0.23981080364247193</v>
      </c>
      <c r="J38" s="47">
        <f>J32/J9</f>
        <v>0.23140066746070587</v>
      </c>
      <c r="K38" s="1"/>
      <c r="L38" s="1"/>
    </row>
    <row r="39" ht="29.25">
      <c r="A39" s="1"/>
      <c r="B39" s="191" t="s">
        <v>92</v>
      </c>
      <c r="C39" s="14">
        <f>'Segment - WIM'!C41</f>
        <v>3404</v>
      </c>
      <c r="D39" s="14">
        <f>'Segment - WIM'!D41</f>
        <v>3438</v>
      </c>
      <c r="E39" s="14">
        <f>'Segment - WIM'!E41</f>
        <v>3674</v>
      </c>
      <c r="F39" s="14">
        <f>'Segment - WIM'!F41</f>
        <v>3821</v>
      </c>
      <c r="G39" s="14">
        <f>'Segment - WIM'!G41</f>
        <v>14337</v>
      </c>
      <c r="H39" s="14">
        <f>'Segment - WIM'!H41</f>
        <v>3875</v>
      </c>
      <c r="I39" s="14">
        <f>'Segment - WIM'!I41</f>
        <v>3892</v>
      </c>
      <c r="J39" s="46">
        <f>'Segment - WIM'!J41</f>
        <v>4143.02452664654</v>
      </c>
      <c r="K39" s="1"/>
      <c r="L39" s="1"/>
    </row>
    <row r="40">
      <c r="A40" s="1"/>
      <c r="B40" s="6" t="s">
        <v>84</v>
      </c>
      <c r="C40" s="26"/>
      <c r="D40" s="26"/>
      <c r="E40" s="26"/>
      <c r="F40" s="26"/>
      <c r="G40" s="26"/>
      <c r="H40" s="26">
        <f>IFERROR(IF(OR(C39&lt;=0,H39&lt;0),"n/m",H39/C39-1),"n/m")</f>
        <v>0.1383666274970623</v>
      </c>
      <c r="I40" s="26">
        <f>IFERROR(IF(OR(D39&lt;=0,I39&lt;0),"n/m",I39/D39-1),"n/m")</f>
        <v>0.13205351948807453</v>
      </c>
      <c r="J40" s="47">
        <f>IFERROR(IF(OR(E39&lt;=0,J39&lt;0),"n/m",J39/E39-1),"n/m")</f>
        <v>0.12766045907635815</v>
      </c>
      <c r="K40" s="1"/>
      <c r="L40" s="1"/>
    </row>
    <row r="41">
      <c r="A41" s="1"/>
      <c r="B41" s="6" t="s">
        <v>85</v>
      </c>
      <c r="C41" s="26"/>
      <c r="D41" s="26">
        <f>IFERROR(IF(OR(C39&lt;=0,D39&lt;0),"n/m",D39/C39-1),"n/m")</f>
        <v>0.009988249118684012</v>
      </c>
      <c r="E41" s="26">
        <f>IFERROR(IF(OR(D39&lt;=0,E39&lt;0),"n/m",E39/D39-1),"n/m")</f>
        <v>0.06864456079115766</v>
      </c>
      <c r="F41" s="26">
        <f>IFERROR(IF(OR(E39&lt;=0,F39&lt;0),"n/m",F39/E39-1),"n/m")</f>
        <v>0.040010887316276555</v>
      </c>
      <c r="G41" s="26"/>
      <c r="H41" s="26">
        <f>IFERROR(IF(OR(F39&lt;=0,H39&lt;0),"n/m",H39/F39-1),"n/m")</f>
        <v>0.014132426066474801</v>
      </c>
      <c r="I41" s="26">
        <f>IFERROR(IF(OR(H39&lt;=0,I39&lt;0),"n/m",I39/H39-1),"n/m")</f>
        <v>0.004387096774193466</v>
      </c>
      <c r="J41" s="47">
        <f>IFERROR(IF(OR(I39&lt;=0,J39&lt;0),"n/m",J39/I39-1),"n/m")</f>
        <v>0.06449756594207079</v>
      </c>
      <c r="K41" s="1"/>
      <c r="L41" s="1"/>
    </row>
    <row r="42">
      <c r="A42" s="1"/>
      <c r="B42" s="6" t="s">
        <v>86</v>
      </c>
      <c r="C42" s="26"/>
      <c r="D42" s="26"/>
      <c r="E42" s="26"/>
      <c r="F42" s="26"/>
      <c r="G42" s="26"/>
      <c r="H42" s="26" t="s">
        <v>78</v>
      </c>
      <c r="I42" s="26" t="s">
        <v>78</v>
      </c>
      <c r="J42" s="47" t="s">
        <v>78</v>
      </c>
      <c r="K42" s="1"/>
      <c r="L42" s="1"/>
    </row>
    <row r="43">
      <c r="A43" s="1"/>
      <c r="B43" s="6" t="s">
        <v>87</v>
      </c>
      <c r="C43" s="26"/>
      <c r="D43" s="26"/>
      <c r="E43" s="26"/>
      <c r="F43" s="26"/>
      <c r="G43" s="26"/>
      <c r="H43" s="26" t="s">
        <v>78</v>
      </c>
      <c r="I43" s="26" t="s">
        <v>78</v>
      </c>
      <c r="J43" s="47" t="s">
        <v>78</v>
      </c>
      <c r="K43" s="1"/>
      <c r="L43" s="1"/>
    </row>
    <row r="44">
      <c r="A44" s="1"/>
      <c r="B44" s="6" t="s">
        <v>88</v>
      </c>
      <c r="C44" s="26"/>
      <c r="D44" s="26"/>
      <c r="E44" s="26"/>
      <c r="F44" s="26"/>
      <c r="G44" s="26"/>
      <c r="H44" s="26" t="s">
        <v>81</v>
      </c>
      <c r="I44" s="26" t="s">
        <v>81</v>
      </c>
      <c r="J44" s="47" t="s">
        <v>81</v>
      </c>
      <c r="K44" s="1"/>
      <c r="L44" s="1"/>
    </row>
    <row r="45">
      <c r="A45" s="1"/>
      <c r="B45" s="6" t="s">
        <v>89</v>
      </c>
      <c r="C45" s="26">
        <f>C39/C9</f>
        <v>0.1689413866693136</v>
      </c>
      <c r="D45" s="26">
        <f>D39/D9</f>
        <v>0.165113821919124</v>
      </c>
      <c r="E45" s="26">
        <f>E39/E9</f>
        <v>0.17139391677551782</v>
      </c>
      <c r="F45" s="26">
        <f>F39/F9</f>
        <v>0.17945707307909073</v>
      </c>
      <c r="G45" s="26">
        <f>G39/G9</f>
        <v>0.1712923690844574</v>
      </c>
      <c r="H45" s="26">
        <f>H39/H9</f>
        <v>0.1806863750816003</v>
      </c>
      <c r="I45" s="26">
        <f>I39/I9</f>
        <v>0.1720449120325347</v>
      </c>
      <c r="J45" s="47">
        <f>J39/J9</f>
        <v>0.18627515409300532</v>
      </c>
      <c r="K45" s="1"/>
      <c r="L45" s="1"/>
    </row>
    <row r="46" ht="29.25">
      <c r="A46" s="1"/>
      <c r="B46" s="191" t="s">
        <v>93</v>
      </c>
      <c r="C46" s="35">
        <v>-177</v>
      </c>
      <c r="D46" s="35">
        <v>559</v>
      </c>
      <c r="E46" s="35">
        <v>176</v>
      </c>
      <c r="F46" s="35">
        <v>189</v>
      </c>
      <c r="G46" s="5">
        <f>SUM(C46:F46)</f>
        <v>747</v>
      </c>
      <c r="H46" s="35">
        <v>-232</v>
      </c>
      <c r="I46" s="35">
        <v>413</v>
      </c>
      <c r="J46" s="15">
        <f>J9-J18-J25-J32-J39-J53</f>
        <v>-183.49315478985318</v>
      </c>
      <c r="K46" s="1" t="s">
        <v>94</v>
      </c>
      <c r="L46" s="1"/>
    </row>
    <row r="47">
      <c r="A47" s="1"/>
      <c r="B47" s="6" t="s">
        <v>84</v>
      </c>
      <c r="C47" s="26"/>
      <c r="D47" s="26"/>
      <c r="E47" s="26"/>
      <c r="F47" s="26"/>
      <c r="G47" s="26"/>
      <c r="H47" s="26" t="str">
        <f>IFERROR(IF(OR(C46&lt;=0,H46&lt;0),"n/m",H46/C46-1),"n/m")</f>
        <v>n/m</v>
      </c>
      <c r="I47" s="26">
        <f>IFERROR(IF(OR(D46&lt;=0,I46&lt;0),"n/m",I46/D46-1),"n/m")</f>
        <v>-0.261180679785331</v>
      </c>
      <c r="J47" s="47" t="str">
        <f>IFERROR(IF(OR(E46&lt;=0,J46&lt;0),"n/m",J46/E46-1),"n/m")</f>
        <v>n/m</v>
      </c>
      <c r="K47" s="1"/>
      <c r="L47" s="1"/>
    </row>
    <row r="48">
      <c r="A48" s="1"/>
      <c r="B48" s="6" t="s">
        <v>85</v>
      </c>
      <c r="C48" s="26"/>
      <c r="D48" s="26" t="str">
        <f>IFERROR(IF(OR(C46&lt;=0,D46&lt;0),"n/m",D46/C46-1),"n/m")</f>
        <v>n/m</v>
      </c>
      <c r="E48" s="26">
        <f>IFERROR(IF(OR(D46&lt;=0,E46&lt;0),"n/m",E46/D46-1),"n/m")</f>
        <v>-0.6851520572450804</v>
      </c>
      <c r="F48" s="26">
        <f>IFERROR(IF(OR(E46&lt;=0,F46&lt;0),"n/m",F46/E46-1),"n/m")</f>
        <v>0.07386363636363646</v>
      </c>
      <c r="G48" s="26"/>
      <c r="H48" s="26" t="str">
        <f>IFERROR(IF(OR(F46&lt;=0,H46&lt;0),"n/m",H46/F46-1),"n/m")</f>
        <v>n/m</v>
      </c>
      <c r="I48" s="26" t="str">
        <f>IFERROR(IF(OR(H46&lt;=0,I46&lt;0),"n/m",I46/H46-1),"n/m")</f>
        <v>n/m</v>
      </c>
      <c r="J48" s="47" t="str">
        <f>IFERROR(IF(OR(I46&lt;=0,J46&lt;0),"n/m",J46/I46-1),"n/m")</f>
        <v>n/m</v>
      </c>
      <c r="K48" s="1"/>
      <c r="L48" s="1"/>
    </row>
    <row r="49">
      <c r="A49" s="1"/>
      <c r="B49" s="6" t="s">
        <v>86</v>
      </c>
      <c r="C49" s="26"/>
      <c r="D49" s="26"/>
      <c r="E49" s="26"/>
      <c r="F49" s="26"/>
      <c r="G49" s="26"/>
      <c r="H49" s="26" t="s">
        <v>78</v>
      </c>
      <c r="I49" s="26" t="s">
        <v>78</v>
      </c>
      <c r="J49" s="47" t="s">
        <v>78</v>
      </c>
      <c r="K49" s="1"/>
      <c r="L49" s="1"/>
    </row>
    <row r="50">
      <c r="A50" s="1"/>
      <c r="B50" s="6" t="s">
        <v>87</v>
      </c>
      <c r="C50" s="26"/>
      <c r="D50" s="26"/>
      <c r="E50" s="26"/>
      <c r="F50" s="26"/>
      <c r="G50" s="26"/>
      <c r="H50" s="26" t="s">
        <v>78</v>
      </c>
      <c r="I50" s="26" t="s">
        <v>78</v>
      </c>
      <c r="J50" s="47" t="s">
        <v>78</v>
      </c>
      <c r="K50" s="1"/>
      <c r="L50" s="1"/>
    </row>
    <row r="51">
      <c r="A51" s="1"/>
      <c r="B51" s="6" t="s">
        <v>88</v>
      </c>
      <c r="C51" s="26"/>
      <c r="D51" s="26"/>
      <c r="E51" s="26"/>
      <c r="F51" s="26"/>
      <c r="G51" s="26"/>
      <c r="H51" s="26" t="s">
        <v>81</v>
      </c>
      <c r="I51" s="26" t="s">
        <v>81</v>
      </c>
      <c r="J51" s="47" t="s">
        <v>81</v>
      </c>
      <c r="K51" s="1"/>
      <c r="L51" s="1"/>
    </row>
    <row r="52">
      <c r="A52" s="1"/>
      <c r="B52" s="6" t="s">
        <v>89</v>
      </c>
      <c r="C52" s="26">
        <f>C46/C9</f>
        <v>-0.008784555064767482</v>
      </c>
      <c r="D52" s="26">
        <f>D46/D9</f>
        <v>0.026846604552876765</v>
      </c>
      <c r="E52" s="26">
        <f>E46/E9</f>
        <v>0.00821048703116253</v>
      </c>
      <c r="F52" s="26">
        <f>F46/F9</f>
        <v>0.008876573360886719</v>
      </c>
      <c r="G52" s="26">
        <f>G46/G9</f>
        <v>0.008924837811682337</v>
      </c>
      <c r="H52" s="26">
        <f>H46/H9</f>
        <v>-0.010817868133917746</v>
      </c>
      <c r="I52" s="26">
        <f>I46/I9</f>
        <v>0.018256564406330122</v>
      </c>
      <c r="J52" s="47">
        <f>J46/J9</f>
        <v>-0.008250063561935472</v>
      </c>
      <c r="K52" s="1"/>
      <c r="L52" s="1"/>
    </row>
    <row r="53" ht="29.25">
      <c r="A53" s="1"/>
      <c r="B53" s="191" t="s">
        <v>95</v>
      </c>
      <c r="C53" s="35">
        <v>-450</v>
      </c>
      <c r="D53" s="35">
        <v>-469</v>
      </c>
      <c r="E53" s="35">
        <v>-506</v>
      </c>
      <c r="F53" s="35">
        <v>-523</v>
      </c>
      <c r="G53" s="5">
        <f>SUM(C53:F53)</f>
        <v>-1948</v>
      </c>
      <c r="H53" s="35">
        <v>-593</v>
      </c>
      <c r="I53" s="35">
        <v>-514</v>
      </c>
      <c r="J53" s="38">
        <v>-530</v>
      </c>
      <c r="K53" s="1" t="s">
        <v>94</v>
      </c>
      <c r="L53" s="1"/>
    </row>
    <row r="54">
      <c r="A54" s="1"/>
      <c r="B54" s="6" t="s">
        <v>84</v>
      </c>
      <c r="C54" s="26"/>
      <c r="D54" s="26"/>
      <c r="E54" s="26"/>
      <c r="F54" s="26"/>
      <c r="G54" s="26"/>
      <c r="H54" s="26" t="str">
        <f>IFERROR(IF(OR(C53&lt;=0,H53&lt;0),"n/m",H53/C53-1),"n/m")</f>
        <v>n/m</v>
      </c>
      <c r="I54" s="26" t="str">
        <f>IFERROR(IF(OR(D53&lt;=0,I53&lt;0),"n/m",I53/D53-1),"n/m")</f>
        <v>n/m</v>
      </c>
      <c r="J54" s="47" t="str">
        <f>IFERROR(IF(OR(E53&lt;=0,J53&lt;0),"n/m",J53/E53-1),"n/m")</f>
        <v>n/m</v>
      </c>
      <c r="K54" s="1"/>
      <c r="L54" s="1"/>
    </row>
    <row r="55">
      <c r="A55" s="1"/>
      <c r="B55" s="6" t="s">
        <v>85</v>
      </c>
      <c r="C55" s="26"/>
      <c r="D55" s="26" t="str">
        <f>IFERROR(IF(OR(C53&lt;=0,D53&lt;0),"n/m",D53/C53-1),"n/m")</f>
        <v>n/m</v>
      </c>
      <c r="E55" s="26" t="str">
        <f>IFERROR(IF(OR(D53&lt;=0,E53&lt;0),"n/m",E53/D53-1),"n/m")</f>
        <v>n/m</v>
      </c>
      <c r="F55" s="26" t="str">
        <f>IFERROR(IF(OR(E53&lt;=0,F53&lt;0),"n/m",F53/E53-1),"n/m")</f>
        <v>n/m</v>
      </c>
      <c r="G55" s="26"/>
      <c r="H55" s="26" t="str">
        <f>IFERROR(IF(OR(F53&lt;=0,H53&lt;0),"n/m",H53/F53-1),"n/m")</f>
        <v>n/m</v>
      </c>
      <c r="I55" s="26" t="str">
        <f>IFERROR(IF(OR(H53&lt;=0,I53&lt;0),"n/m",I53/H53-1),"n/m")</f>
        <v>n/m</v>
      </c>
      <c r="J55" s="47" t="str">
        <f>IFERROR(IF(OR(I53&lt;=0,J53&lt;0),"n/m",J53/I53-1),"n/m")</f>
        <v>n/m</v>
      </c>
      <c r="K55" s="1"/>
      <c r="L55" s="1"/>
    </row>
    <row r="56">
      <c r="A56" s="1"/>
      <c r="B56" s="6" t="s">
        <v>86</v>
      </c>
      <c r="C56" s="26"/>
      <c r="D56" s="26"/>
      <c r="E56" s="26"/>
      <c r="F56" s="26"/>
      <c r="G56" s="26"/>
      <c r="H56" s="26" t="s">
        <v>78</v>
      </c>
      <c r="I56" s="26" t="s">
        <v>78</v>
      </c>
      <c r="J56" s="47" t="s">
        <v>78</v>
      </c>
      <c r="K56" s="1"/>
      <c r="L56" s="1"/>
    </row>
    <row r="57">
      <c r="A57" s="1"/>
      <c r="B57" s="6" t="s">
        <v>87</v>
      </c>
      <c r="C57" s="26"/>
      <c r="D57" s="26"/>
      <c r="E57" s="26"/>
      <c r="F57" s="26"/>
      <c r="G57" s="26"/>
      <c r="H57" s="26" t="s">
        <v>78</v>
      </c>
      <c r="I57" s="26" t="s">
        <v>78</v>
      </c>
      <c r="J57" s="47" t="s">
        <v>78</v>
      </c>
      <c r="K57" s="1"/>
      <c r="L57" s="1"/>
    </row>
    <row r="58">
      <c r="A58" s="1"/>
      <c r="B58" s="6" t="s">
        <v>88</v>
      </c>
      <c r="C58" s="26"/>
      <c r="D58" s="26"/>
      <c r="E58" s="26"/>
      <c r="F58" s="26"/>
      <c r="G58" s="26"/>
      <c r="H58" s="26" t="s">
        <v>81</v>
      </c>
      <c r="I58" s="26" t="s">
        <v>81</v>
      </c>
      <c r="J58" s="47" t="s">
        <v>81</v>
      </c>
      <c r="K58" s="1"/>
      <c r="L58" s="1"/>
    </row>
    <row r="59">
      <c r="A59" s="1"/>
      <c r="B59" s="6" t="s">
        <v>89</v>
      </c>
      <c r="C59" s="26">
        <f>C53/C9</f>
        <v>-0.022333614571442752</v>
      </c>
      <c r="D59" s="26">
        <f>D53/D9</f>
        <v>-0.022524253193737392</v>
      </c>
      <c r="E59" s="26">
        <f>E53/E9</f>
        <v>-0.023605150214592276</v>
      </c>
      <c r="F59" s="26">
        <f>F53/F9</f>
        <v>-0.024563216231448432</v>
      </c>
      <c r="G59" s="26">
        <f>G53/G9</f>
        <v>-0.023273874239835603</v>
      </c>
      <c r="H59" s="26">
        <f>H53/H9</f>
        <v>-0.027650843980229413</v>
      </c>
      <c r="I59" s="26">
        <f>I53/I9</f>
        <v>-0.02272124480594112</v>
      </c>
      <c r="J59" s="47">
        <f>J53/J9</f>
        <v>-0.023829410382275432</v>
      </c>
      <c r="K59" s="1"/>
      <c r="L59" s="1"/>
    </row>
    <row r="60" ht="29.25">
      <c r="A60" s="1"/>
      <c r="B60" s="193" t="s">
        <v>96</v>
      </c>
      <c r="C60" s="17">
        <f>C18+C25+C32+C39+C46+C53</f>
        <v>20149</v>
      </c>
      <c r="D60" s="17">
        <f>D18+D25+D32+D39+D46+D53</f>
        <v>20822</v>
      </c>
      <c r="E60" s="17">
        <f>E18+E25+E32+E39+E46+E53</f>
        <v>21436</v>
      </c>
      <c r="F60" s="17">
        <f>F18+F25+F32+F39+F46+F53</f>
        <v>21292</v>
      </c>
      <c r="G60" s="17">
        <f>G18+G25+G32+G39+G46+G53</f>
        <v>83699</v>
      </c>
      <c r="H60" s="17">
        <f>H18+H25+H32+H39+H46+H53</f>
        <v>21446</v>
      </c>
      <c r="I60" s="17">
        <f>I18+I25+I32+I39+I46+I53</f>
        <v>22622</v>
      </c>
      <c r="J60" s="42">
        <f>J18+J25+J32+J39+J46+J53</f>
        <v>22241.42316144841</v>
      </c>
      <c r="K60" s="1"/>
      <c r="L60" s="1"/>
    </row>
    <row r="61" ht="29.25">
      <c r="A61" s="1"/>
      <c r="B61" s="194" t="s">
        <v>97</v>
      </c>
      <c r="C61" s="197">
        <f>C60-C9</f>
        <v>0</v>
      </c>
      <c r="D61" s="197">
        <f>D60-D9</f>
        <v>0</v>
      </c>
      <c r="E61" s="197">
        <f>E60-E9</f>
        <v>0</v>
      </c>
      <c r="F61" s="197">
        <f>F60-F9</f>
        <v>0</v>
      </c>
      <c r="G61" s="197">
        <f>G60-G9</f>
        <v>0</v>
      </c>
      <c r="H61" s="197">
        <f>H60-H9</f>
        <v>0</v>
      </c>
      <c r="I61" s="197">
        <f>I60-I9</f>
        <v>0</v>
      </c>
      <c r="J61" s="196">
        <f>J60-J9</f>
        <v>0</v>
      </c>
      <c r="K61" s="1"/>
      <c r="L61" s="1"/>
    </row>
    <row r="62">
      <c r="A62" s="1"/>
      <c r="B62" s="1"/>
      <c r="C62" s="13"/>
      <c r="D62" s="13"/>
      <c r="E62" s="13"/>
      <c r="F62" s="13"/>
      <c r="G62" s="13"/>
      <c r="H62" s="13"/>
      <c r="I62" s="13"/>
      <c r="J62" s="27"/>
      <c r="K62" s="1"/>
      <c r="L62" s="1"/>
    </row>
    <row r="63">
      <c r="A63" s="1"/>
      <c r="B63" s="9" t="s">
        <v>98</v>
      </c>
      <c r="C63" s="25"/>
      <c r="D63" s="25"/>
      <c r="E63" s="25"/>
      <c r="F63" s="25"/>
      <c r="G63" s="25"/>
      <c r="H63" s="25"/>
      <c r="I63" s="25"/>
      <c r="J63" s="37"/>
      <c r="K63" s="1"/>
      <c r="L63" s="1"/>
    </row>
    <row r="64">
      <c r="A64" s="1"/>
      <c r="B64" s="1" t="s">
        <v>99</v>
      </c>
      <c r="C64" s="14">
        <f>'Income Statement'!C42</f>
        <v>11495</v>
      </c>
      <c r="D64" s="14">
        <f>'Income Statement'!D42</f>
        <v>11708</v>
      </c>
      <c r="E64" s="14">
        <f>'Income Statement'!E42</f>
        <v>11950</v>
      </c>
      <c r="F64" s="14">
        <f>'Income Statement'!F42</f>
        <v>12331</v>
      </c>
      <c r="G64" s="14">
        <f>'Income Statement'!G42</f>
        <v>47484</v>
      </c>
      <c r="H64" s="14">
        <f>'Income Statement'!H42</f>
        <v>12096</v>
      </c>
      <c r="I64" s="14">
        <f>'Income Statement'!I42</f>
        <v>12317</v>
      </c>
      <c r="J64" s="46">
        <f>'Income Statement'!J42</f>
        <v>12703.537161828766</v>
      </c>
      <c r="K64" s="1"/>
      <c r="L64" s="1"/>
    </row>
    <row r="65">
      <c r="A65" s="1"/>
      <c r="B65" s="6" t="s">
        <v>89</v>
      </c>
      <c r="C65" s="26">
        <f>C64/C9</f>
        <v>0.5704997766638543</v>
      </c>
      <c r="D65" s="26">
        <f>D64/D9</f>
        <v>0.5622898856978196</v>
      </c>
      <c r="E65" s="26">
        <f>E64/E9</f>
        <v>0.5574734092181377</v>
      </c>
      <c r="F65" s="26">
        <f>F64/F9</f>
        <v>0.5791377043020853</v>
      </c>
      <c r="G65" s="26">
        <f>G64/G9</f>
        <v>0.5673186059570604</v>
      </c>
      <c r="H65" s="26">
        <f>H64/H9</f>
        <v>0.5640212627063322</v>
      </c>
      <c r="I65" s="26">
        <f>I64/I9</f>
        <v>0.5444699849703828</v>
      </c>
      <c r="J65" s="47">
        <f>J64/J9</f>
        <v>0.5711656610107626</v>
      </c>
      <c r="K65" s="1"/>
      <c r="L65" s="1"/>
    </row>
    <row r="66">
      <c r="A66" s="1"/>
      <c r="B66" s="1" t="s">
        <v>100</v>
      </c>
      <c r="C66" s="14">
        <f>'Income Statement'!C130</f>
        <v>8654</v>
      </c>
      <c r="D66" s="14">
        <f>'Income Statement'!D130</f>
        <v>9114</v>
      </c>
      <c r="E66" s="14">
        <f>'Income Statement'!E130</f>
        <v>9486</v>
      </c>
      <c r="F66" s="14">
        <f>'Income Statement'!F130</f>
        <v>8961</v>
      </c>
      <c r="G66" s="14">
        <f>'Income Statement'!G130</f>
        <v>36215</v>
      </c>
      <c r="H66" s="14">
        <f>'Income Statement'!H130</f>
        <v>9350</v>
      </c>
      <c r="I66" s="14">
        <f>'Income Statement'!I130</f>
        <v>10305</v>
      </c>
      <c r="J66" s="46">
        <f>'Income Statement'!J130</f>
        <v>9537.885999619644</v>
      </c>
      <c r="K66" s="1"/>
      <c r="L66" s="1"/>
    </row>
    <row r="67">
      <c r="A67" s="1"/>
      <c r="B67" s="6" t="s">
        <v>89</v>
      </c>
      <c r="C67" s="26">
        <f>C66/C9</f>
        <v>0.42950022333614574</v>
      </c>
      <c r="D67" s="26">
        <f>D66/D9</f>
        <v>0.4377101143021804</v>
      </c>
      <c r="E67" s="26">
        <f>E66/E9</f>
        <v>0.4425265907818623</v>
      </c>
      <c r="F67" s="26">
        <f>F66/F9</f>
        <v>0.4208622956979147</v>
      </c>
      <c r="G67" s="26">
        <f>G66/G9</f>
        <v>0.4326813940429396</v>
      </c>
      <c r="H67" s="26">
        <f>H66/H9</f>
        <v>0.4359787372936678</v>
      </c>
      <c r="I67" s="26">
        <f>I66/I9</f>
        <v>0.4555300150296172</v>
      </c>
      <c r="J67" s="47">
        <f>J66/J9</f>
        <v>0.42883433898923745</v>
      </c>
      <c r="K67" s="1"/>
      <c r="L67" s="1"/>
    </row>
    <row r="68" ht="42">
      <c r="A68" s="1"/>
      <c r="B68" s="36" t="s">
        <v>101</v>
      </c>
      <c r="C68" s="52"/>
      <c r="D68" s="52"/>
      <c r="E68" s="52"/>
      <c r="F68" s="52"/>
      <c r="G68" s="52"/>
      <c r="H68" s="52"/>
      <c r="I68" s="52"/>
      <c r="J68" s="108"/>
      <c r="K68" s="1"/>
      <c r="L68" s="1"/>
    </row>
    <row r="69">
      <c r="A69" s="1"/>
      <c r="B69" s="1"/>
      <c r="C69" s="13"/>
      <c r="D69" s="13"/>
      <c r="E69" s="13"/>
      <c r="F69" s="13"/>
      <c r="G69" s="13"/>
      <c r="H69" s="13"/>
      <c r="I69" s="13"/>
      <c r="J69" s="27"/>
      <c r="K69" s="1"/>
      <c r="L69" s="1"/>
    </row>
    <row r="70">
      <c r="A70" s="1"/>
      <c r="B70" s="9" t="s">
        <v>102</v>
      </c>
      <c r="C70" s="25"/>
      <c r="D70" s="25"/>
      <c r="E70" s="25"/>
      <c r="F70" s="25"/>
      <c r="G70" s="25"/>
      <c r="H70" s="25"/>
      <c r="I70" s="25"/>
      <c r="J70" s="37"/>
      <c r="K70" s="1"/>
      <c r="L70" s="1"/>
    </row>
    <row r="71">
      <c r="A71" s="1"/>
      <c r="B71" s="1" t="s">
        <v>83</v>
      </c>
      <c r="C71" s="14">
        <f>'Segment - CBL'!C302</f>
        <v>1732</v>
      </c>
      <c r="D71" s="14">
        <f>'Segment - CBL'!D302</f>
        <v>1923</v>
      </c>
      <c r="E71" s="14">
        <f>'Segment - CBL'!E302</f>
        <v>2270</v>
      </c>
      <c r="F71" s="14">
        <f>'Segment - CBL'!F302</f>
        <v>2219</v>
      </c>
      <c r="G71" s="14">
        <f>'Segment - CBL'!G302</f>
        <v>8144</v>
      </c>
      <c r="H71" s="14">
        <f>'Segment - CBL'!H302</f>
        <v>1941</v>
      </c>
      <c r="I71" s="14">
        <f>'Segment - CBL'!I302</f>
        <v>2290</v>
      </c>
      <c r="J71" s="46">
        <f>'Segment - CBL'!J302</f>
        <v>2417.709623677313</v>
      </c>
      <c r="K71" s="1"/>
      <c r="L71" s="1"/>
    </row>
    <row r="72">
      <c r="A72" s="1"/>
      <c r="B72" s="6" t="s">
        <v>84</v>
      </c>
      <c r="C72" s="26"/>
      <c r="D72" s="26"/>
      <c r="E72" s="26"/>
      <c r="F72" s="26"/>
      <c r="G72" s="26"/>
      <c r="H72" s="26">
        <f>IFERROR(IF(OR(C71&lt;=0,H71&lt;0),"n/m",H71/C71-1),"n/m")</f>
        <v>0.12066974595842961</v>
      </c>
      <c r="I72" s="26">
        <f>IFERROR(IF(OR(D71&lt;=0,I71&lt;0),"n/m",I71/D71-1),"n/m")</f>
        <v>0.1908476339053562</v>
      </c>
      <c r="J72" s="47">
        <f>IFERROR(IF(OR(E71&lt;=0,J71&lt;0),"n/m",J71/E71-1),"n/m")</f>
        <v>0.06507031880057856</v>
      </c>
      <c r="K72" s="1"/>
      <c r="L72" s="1"/>
    </row>
    <row r="73">
      <c r="A73" s="1"/>
      <c r="B73" s="6" t="s">
        <v>85</v>
      </c>
      <c r="C73" s="26"/>
      <c r="D73" s="26">
        <f>IFERROR(IF(OR(C71&lt;=0,D71&lt;0),"n/m",D71/C71-1),"n/m")</f>
        <v>0.11027713625866054</v>
      </c>
      <c r="E73" s="26">
        <f>IFERROR(IF(OR(D71&lt;=0,E71&lt;0),"n/m",E71/D71-1),"n/m")</f>
        <v>0.18044721788871554</v>
      </c>
      <c r="F73" s="26">
        <f>IFERROR(IF(OR(E71&lt;=0,F71&lt;0),"n/m",F71/E71-1),"n/m")</f>
        <v>-0.022466960352422904</v>
      </c>
      <c r="G73" s="26"/>
      <c r="H73" s="26">
        <f>IFERROR(IF(OR(F71&lt;=0,H71&lt;0),"n/m",H71/F71-1),"n/m")</f>
        <v>-0.12528165840468675</v>
      </c>
      <c r="I73" s="26">
        <f>IFERROR(IF(OR(H71&lt;=0,I71&lt;0),"n/m",I71/H71-1),"n/m")</f>
        <v>0.17980422462648127</v>
      </c>
      <c r="J73" s="47">
        <f>IFERROR(IF(OR(I71&lt;=0,J71&lt;0),"n/m",J71/I71-1),"n/m")</f>
        <v>0.05576839461891403</v>
      </c>
      <c r="K73" s="1"/>
      <c r="L73" s="1"/>
    </row>
    <row r="74">
      <c r="A74" s="1"/>
      <c r="B74" s="1" t="s">
        <v>90</v>
      </c>
      <c r="C74" s="14">
        <f>'Segment - Commercial Banking'!C151</f>
        <v>794</v>
      </c>
      <c r="D74" s="14">
        <f>'Segment - Commercial Banking'!D151</f>
        <v>1086</v>
      </c>
      <c r="E74" s="14">
        <f>'Segment - Commercial Banking'!E151</f>
        <v>1162</v>
      </c>
      <c r="F74" s="14">
        <f>'Segment - Commercial Banking'!F151</f>
        <v>1142</v>
      </c>
      <c r="G74" s="14">
        <f>'Segment - Commercial Banking'!G151</f>
        <v>4184</v>
      </c>
      <c r="H74" s="14">
        <f>'Segment - Commercial Banking'!H151</f>
        <v>1017</v>
      </c>
      <c r="I74" s="14">
        <f>'Segment - Commercial Banking'!I151</f>
        <v>1176</v>
      </c>
      <c r="J74" s="46">
        <f>'Segment - Commercial Banking'!J151</f>
        <v>1225.3742683929358</v>
      </c>
      <c r="K74" s="1"/>
      <c r="L74" s="1"/>
    </row>
    <row r="75">
      <c r="A75" s="1"/>
      <c r="B75" s="6" t="s">
        <v>84</v>
      </c>
      <c r="C75" s="26"/>
      <c r="D75" s="26"/>
      <c r="E75" s="26"/>
      <c r="F75" s="26"/>
      <c r="G75" s="26"/>
      <c r="H75" s="26">
        <f>IFERROR(IF(OR(C74&lt;=0,H74&lt;0),"n/m",H74/C74-1),"n/m")</f>
        <v>0.28085642317380355</v>
      </c>
      <c r="I75" s="26">
        <f>IFERROR(IF(OR(D74&lt;=0,I74&lt;0),"n/m",I74/D74-1),"n/m")</f>
        <v>0.08287292817679548</v>
      </c>
      <c r="J75" s="47">
        <f>IFERROR(IF(OR(E74&lt;=0,J74&lt;0),"n/m",J74/E74-1),"n/m")</f>
        <v>0.0545389573088948</v>
      </c>
      <c r="K75" s="1"/>
      <c r="L75" s="1"/>
    </row>
    <row r="76">
      <c r="A76" s="1"/>
      <c r="B76" s="6" t="s">
        <v>85</v>
      </c>
      <c r="C76" s="26"/>
      <c r="D76" s="26">
        <f>IFERROR(IF(OR(C74&lt;=0,D74&lt;0),"n/m",D74/C74-1),"n/m")</f>
        <v>0.36775818639798485</v>
      </c>
      <c r="E76" s="26">
        <f>IFERROR(IF(OR(D74&lt;=0,E74&lt;0),"n/m",E74/D74-1),"n/m")</f>
        <v>0.06998158379373853</v>
      </c>
      <c r="F76" s="26">
        <f>IFERROR(IF(OR(E74&lt;=0,F74&lt;0),"n/m",F74/E74-1),"n/m")</f>
        <v>-0.01721170395869187</v>
      </c>
      <c r="G76" s="26"/>
      <c r="H76" s="26">
        <f>IFERROR(IF(OR(F74&lt;=0,H74&lt;0),"n/m",H74/F74-1),"n/m")</f>
        <v>-0.10945709281961469</v>
      </c>
      <c r="I76" s="26">
        <f>IFERROR(IF(OR(H74&lt;=0,I74&lt;0),"n/m",I74/H74-1),"n/m")</f>
        <v>0.15634218289085555</v>
      </c>
      <c r="J76" s="47">
        <f>IFERROR(IF(OR(I74&lt;=0,J74&lt;0),"n/m",J74/I74-1),"n/m")</f>
        <v>0.04198492210283655</v>
      </c>
      <c r="K76" s="1"/>
      <c r="L76" s="1"/>
    </row>
    <row r="77" ht="29.25">
      <c r="A77" s="1"/>
      <c r="B77" s="191" t="s">
        <v>91</v>
      </c>
      <c r="C77" s="14">
        <f>'Segment - CIB'!C209</f>
        <v>1941</v>
      </c>
      <c r="D77" s="14">
        <f>'Segment - CIB'!D209</f>
        <v>1737</v>
      </c>
      <c r="E77" s="14">
        <f>'Segment - CIB'!E209</f>
        <v>1966</v>
      </c>
      <c r="F77" s="14">
        <f>'Segment - CIB'!F209</f>
        <v>1639</v>
      </c>
      <c r="G77" s="14">
        <f>'Segment - CIB'!G209</f>
        <v>7283</v>
      </c>
      <c r="H77" s="14">
        <f>'Segment - CIB'!H209</f>
        <v>1809</v>
      </c>
      <c r="I77" s="14">
        <f>'Segment - CIB'!I209</f>
        <v>2329</v>
      </c>
      <c r="J77" s="46">
        <f>'Segment - CIB'!J209</f>
        <v>1992.9426284482915</v>
      </c>
      <c r="K77" s="1"/>
      <c r="L77" s="1"/>
    </row>
    <row r="78">
      <c r="A78" s="1"/>
      <c r="B78" s="6" t="s">
        <v>84</v>
      </c>
      <c r="C78" s="26"/>
      <c r="D78" s="26"/>
      <c r="E78" s="26"/>
      <c r="F78" s="26"/>
      <c r="G78" s="26"/>
      <c r="H78" s="26">
        <f>IFERROR(IF(OR(C77&lt;=0,H77&lt;0),"n/m",H77/C77-1),"n/m")</f>
        <v>-0.06800618238021638</v>
      </c>
      <c r="I78" s="26">
        <f>IFERROR(IF(OR(D77&lt;=0,I77&lt;0),"n/m",I77/D77-1),"n/m")</f>
        <v>0.34081750143926315</v>
      </c>
      <c r="J78" s="47">
        <f>IFERROR(IF(OR(E77&lt;=0,J77&lt;0),"n/m",J77/E77-1),"n/m")</f>
        <v>0.013704287104929547</v>
      </c>
      <c r="K78" s="1"/>
      <c r="L78" s="1"/>
    </row>
    <row r="79">
      <c r="A79" s="1"/>
      <c r="B79" s="6" t="s">
        <v>85</v>
      </c>
      <c r="C79" s="26"/>
      <c r="D79" s="26">
        <f>IFERROR(IF(OR(C77&lt;=0,D77&lt;0),"n/m",D77/C77-1),"n/m")</f>
        <v>-0.10510046367851622</v>
      </c>
      <c r="E79" s="26">
        <f>IFERROR(IF(OR(D77&lt;=0,E77&lt;0),"n/m",E77/D77-1),"n/m")</f>
        <v>0.13183649971214728</v>
      </c>
      <c r="F79" s="26">
        <f>IFERROR(IF(OR(E77&lt;=0,F77&lt;0),"n/m",F77/E77-1),"n/m")</f>
        <v>-0.16632756866734488</v>
      </c>
      <c r="G79" s="26"/>
      <c r="H79" s="26">
        <f>IFERROR(IF(OR(F77&lt;=0,H77&lt;0),"n/m",H77/F77-1),"n/m")</f>
        <v>0.10372178157413048</v>
      </c>
      <c r="I79" s="26">
        <f>IFERROR(IF(OR(H77&lt;=0,I77&lt;0),"n/m",I77/H77-1),"n/m")</f>
        <v>0.28745163073521285</v>
      </c>
      <c r="J79" s="47">
        <f>IFERROR(IF(OR(I77&lt;=0,J77&lt;0),"n/m",J77/I77-1),"n/m")</f>
        <v>-0.14429255970446908</v>
      </c>
      <c r="K79" s="1"/>
      <c r="L79" s="1"/>
    </row>
    <row r="80" ht="29.25">
      <c r="A80" s="1"/>
      <c r="B80" s="191" t="s">
        <v>92</v>
      </c>
      <c r="C80" s="14">
        <f>'Segment - WIM'!C120</f>
        <v>349</v>
      </c>
      <c r="D80" s="14">
        <f>'Segment - WIM'!D120</f>
        <v>420</v>
      </c>
      <c r="E80" s="14">
        <f>'Segment - WIM'!E120</f>
        <v>506</v>
      </c>
      <c r="F80" s="14">
        <f>'Segment - WIM'!F120</f>
        <v>565</v>
      </c>
      <c r="G80" s="14">
        <f>'Segment - WIM'!G120</f>
        <v>1840</v>
      </c>
      <c r="H80" s="14">
        <f>'Segment - WIM'!H120</f>
        <v>468</v>
      </c>
      <c r="I80" s="14">
        <f>'Segment - WIM'!I120</f>
        <v>537</v>
      </c>
      <c r="J80" s="46">
        <f>'Segment - WIM'!J120</f>
        <v>655.7619173797065</v>
      </c>
      <c r="K80" s="1"/>
      <c r="L80" s="1"/>
    </row>
    <row r="81">
      <c r="A81" s="1"/>
      <c r="B81" s="6" t="s">
        <v>84</v>
      </c>
      <c r="C81" s="26"/>
      <c r="D81" s="26"/>
      <c r="E81" s="26"/>
      <c r="F81" s="26"/>
      <c r="G81" s="26"/>
      <c r="H81" s="26">
        <f>IFERROR(IF(OR(C80&lt;=0,H80&lt;0),"n/m",H80/C80-1),"n/m")</f>
        <v>0.34097421203438394</v>
      </c>
      <c r="I81" s="26">
        <f>IFERROR(IF(OR(D80&lt;=0,I80&lt;0),"n/m",I80/D80-1),"n/m")</f>
        <v>0.27857142857142847</v>
      </c>
      <c r="J81" s="47">
        <f>IFERROR(IF(OR(E80&lt;=0,J80&lt;0),"n/m",J80/E80-1),"n/m")</f>
        <v>0.29597216873459775</v>
      </c>
      <c r="K81" s="1"/>
      <c r="L81" s="1"/>
    </row>
    <row r="82">
      <c r="A82" s="1"/>
      <c r="B82" s="6" t="s">
        <v>85</v>
      </c>
      <c r="C82" s="26"/>
      <c r="D82" s="26">
        <f>IFERROR(IF(OR(C80&lt;=0,D80&lt;0),"n/m",D80/C80-1),"n/m")</f>
        <v>0.20343839541547282</v>
      </c>
      <c r="E82" s="26">
        <f>IFERROR(IF(OR(D80&lt;=0,E80&lt;0),"n/m",E80/D80-1),"n/m")</f>
        <v>0.2047619047619047</v>
      </c>
      <c r="F82" s="26">
        <f>IFERROR(IF(OR(E80&lt;=0,F80&lt;0),"n/m",F80/E80-1),"n/m")</f>
        <v>0.11660079051383399</v>
      </c>
      <c r="G82" s="26"/>
      <c r="H82" s="26">
        <f>IFERROR(IF(OR(F80&lt;=0,H80&lt;0),"n/m",H80/F80-1),"n/m")</f>
        <v>-0.1716814159292035</v>
      </c>
      <c r="I82" s="26">
        <f>IFERROR(IF(OR(H80&lt;=0,I80&lt;0),"n/m",I80/H80-1),"n/m")</f>
        <v>0.14743589743589736</v>
      </c>
      <c r="J82" s="47">
        <f>IFERROR(IF(OR(I80&lt;=0,J80&lt;0),"n/m",J80/I80-1),"n/m")</f>
        <v>0.22115813292310338</v>
      </c>
      <c r="K82" s="1"/>
      <c r="L82" s="1"/>
    </row>
    <row r="83">
      <c r="A83" s="1"/>
      <c r="B83" s="1" t="s">
        <v>103</v>
      </c>
      <c r="C83" s="35">
        <v>78</v>
      </c>
      <c r="D83" s="35">
        <v>328</v>
      </c>
      <c r="E83" s="35">
        <v>-315</v>
      </c>
      <c r="F83" s="35">
        <v>-204</v>
      </c>
      <c r="G83" s="5">
        <f>SUM(C83:F83)</f>
        <v>-113</v>
      </c>
      <c r="H83" s="35">
        <v>18</v>
      </c>
      <c r="I83" s="35">
        <v>75</v>
      </c>
      <c r="J83" s="46">
        <f>'Income Statement'!J217-J71-J74-J77-J80</f>
        <v>-429.85883966508015</v>
      </c>
      <c r="K83" s="1" t="s">
        <v>94</v>
      </c>
      <c r="L83" s="1"/>
    </row>
    <row r="84">
      <c r="A84" s="1"/>
      <c r="B84" s="9" t="s">
        <v>104</v>
      </c>
      <c r="C84" s="17">
        <f>C71+C74+C77+C80+C83</f>
        <v>4894</v>
      </c>
      <c r="D84" s="17">
        <f>D71+D74+D77+D80+D83</f>
        <v>5494</v>
      </c>
      <c r="E84" s="17">
        <f>E71+E74+E77+E80+E83</f>
        <v>5589</v>
      </c>
      <c r="F84" s="17">
        <f>F71+F74+F77+F80+F83</f>
        <v>5361</v>
      </c>
      <c r="G84" s="17">
        <f>G71+G74+G77+G80+G83</f>
        <v>21338</v>
      </c>
      <c r="H84" s="17">
        <f>H71+H74+H77+H80+H83</f>
        <v>5253</v>
      </c>
      <c r="I84" s="17">
        <f>I71+I74+I77+I80+I83</f>
        <v>6407</v>
      </c>
      <c r="J84" s="42">
        <f>J71+J74+J77+J80+J83</f>
        <v>5861.929598233167</v>
      </c>
      <c r="K84" s="1"/>
      <c r="L84" s="1"/>
    </row>
    <row r="85" ht="29.25">
      <c r="A85" s="1"/>
      <c r="B85" s="194" t="s">
        <v>105</v>
      </c>
      <c r="C85" s="195">
        <f>C84-'Income Statement'!C217</f>
        <v>0</v>
      </c>
      <c r="D85" s="195">
        <f>D84-'Income Statement'!D217</f>
        <v>0</v>
      </c>
      <c r="E85" s="195">
        <f>E84-'Income Statement'!E217</f>
        <v>0</v>
      </c>
      <c r="F85" s="195">
        <f>F84-'Income Statement'!F217</f>
        <v>0</v>
      </c>
      <c r="G85" s="195">
        <f>G84-'Income Statement'!G217</f>
        <v>0</v>
      </c>
      <c r="H85" s="195">
        <f>H84-'Income Statement'!H217</f>
        <v>0</v>
      </c>
      <c r="I85" s="195">
        <f>I84-'Income Statement'!I217</f>
        <v>0</v>
      </c>
      <c r="J85" s="205">
        <f>J84-'Income Statement'!J217</f>
        <v>0</v>
      </c>
      <c r="K85" s="1"/>
      <c r="L85" s="1"/>
    </row>
    <row r="86">
      <c r="A86" s="1"/>
      <c r="B86" s="1"/>
      <c r="C86" s="13"/>
      <c r="D86" s="13"/>
      <c r="E86" s="13"/>
      <c r="F86" s="13"/>
      <c r="G86" s="13"/>
      <c r="H86" s="13"/>
      <c r="I86" s="13"/>
      <c r="J86" s="27"/>
      <c r="K86" s="1"/>
      <c r="L86" s="1"/>
    </row>
    <row r="87">
      <c r="A87" s="1"/>
      <c r="B87" s="135" t="s">
        <v>106</v>
      </c>
      <c r="C87" s="144"/>
      <c r="D87" s="144"/>
      <c r="E87" s="144"/>
      <c r="F87" s="144"/>
      <c r="G87" s="144"/>
      <c r="H87" s="144"/>
      <c r="I87" s="144"/>
      <c r="J87" s="173"/>
      <c r="K87" s="121"/>
      <c r="L87" s="1"/>
    </row>
    <row r="88">
      <c r="B88" s="121" t="s">
        <v>107</v>
      </c>
      <c r="C88" s="167">
        <f>'Income Statement'!C158</f>
        <v>932</v>
      </c>
      <c r="D88" s="167">
        <f>'Income Statement'!D158</f>
        <v>1005</v>
      </c>
      <c r="E88" s="167">
        <f>'Income Statement'!E158</f>
        <v>681</v>
      </c>
      <c r="F88" s="167">
        <f>'Income Statement'!F158</f>
        <v>1040</v>
      </c>
      <c r="G88" s="167">
        <f>'Income Statement'!G158</f>
        <v>3658</v>
      </c>
      <c r="H88" s="167">
        <f>'Income Statement'!H158</f>
        <v>1135</v>
      </c>
      <c r="I88" s="167">
        <f>'Income Statement'!I158</f>
        <v>914</v>
      </c>
      <c r="J88" s="171">
        <f>'Income Statement'!J158</f>
        <v>1114.7870789726026</v>
      </c>
      <c r="K88" s="121"/>
    </row>
    <row r="89">
      <c r="B89" s="121" t="s">
        <v>108</v>
      </c>
      <c r="C89" s="167">
        <f>'Segment - CBL'!C292+'Segment - Commercial Banking'!C138+'Segment - CIB'!C199+'Segment - WIM'!C111</f>
        <v>937</v>
      </c>
      <c r="D89" s="167">
        <f>'Segment - CBL'!D292+'Segment - Commercial Banking'!D138+'Segment - CIB'!D199+'Segment - WIM'!D111</f>
        <v>1017</v>
      </c>
      <c r="E89" s="167">
        <f>'Segment - CBL'!E292+'Segment - Commercial Banking'!E138+'Segment - CIB'!E199+'Segment - WIM'!E111</f>
        <v>685</v>
      </c>
      <c r="F89" s="167">
        <f>'Segment - CBL'!F292+'Segment - Commercial Banking'!F138+'Segment - CIB'!F199+'Segment - WIM'!F111</f>
        <v>1085</v>
      </c>
      <c r="G89" s="167">
        <f>'Segment - CBL'!G292+'Segment - Commercial Banking'!G138+'Segment - CIB'!G199+'Segment - WIM'!G111</f>
        <v>3724</v>
      </c>
      <c r="H89" s="167">
        <f>'Segment - CBL'!H292+'Segment - Commercial Banking'!H138+'Segment - CIB'!H199+'Segment - WIM'!H111</f>
        <v>1133</v>
      </c>
      <c r="I89" s="167">
        <f>'Segment - CBL'!I292+'Segment - Commercial Banking'!I138+'Segment - CIB'!I199+'Segment - WIM'!I111</f>
        <v>912</v>
      </c>
      <c r="J89" s="171">
        <f>'Segment - CBL'!J292+'Segment - Commercial Banking'!J138+'Segment - CIB'!J199+'Segment - WIM'!J111</f>
        <v>1073.1074297260272</v>
      </c>
      <c r="K89" s="121"/>
    </row>
    <row r="90">
      <c r="B90" s="121" t="s">
        <v>109</v>
      </c>
      <c r="C90" s="136">
        <f>C88-C89</f>
        <v>-5</v>
      </c>
      <c r="D90" s="136">
        <f>D88-D89</f>
        <v>-12</v>
      </c>
      <c r="E90" s="136">
        <f>E88-E89</f>
        <v>-4</v>
      </c>
      <c r="F90" s="136">
        <f>F88-F89</f>
        <v>-45</v>
      </c>
      <c r="G90" s="136">
        <f>G88-G89</f>
        <v>-66</v>
      </c>
      <c r="H90" s="136">
        <f>H88-H89</f>
        <v>2</v>
      </c>
      <c r="I90" s="136">
        <f>I88-I89</f>
        <v>2</v>
      </c>
      <c r="J90" s="169">
        <f>J88-J89</f>
        <v>41.67964924657531</v>
      </c>
      <c r="K90" s="121"/>
    </row>
    <row r="91">
      <c r="B91" s="121" t="s">
        <v>110</v>
      </c>
      <c r="C91" s="167">
        <f>'Income Statement'!C149</f>
        <v>1009</v>
      </c>
      <c r="D91" s="167">
        <f>'Income Statement'!D149</f>
        <v>997</v>
      </c>
      <c r="E91" s="167">
        <f>'Income Statement'!E149</f>
        <v>954</v>
      </c>
      <c r="F91" s="167">
        <f>'Income Statement'!F149</f>
        <v>1030</v>
      </c>
      <c r="G91" s="167">
        <f>'Income Statement'!G149</f>
        <v>3990</v>
      </c>
      <c r="H91" s="167">
        <f>'Income Statement'!H149</f>
        <v>1106</v>
      </c>
      <c r="I91" s="167">
        <f>'Income Statement'!I149</f>
        <v>883</v>
      </c>
      <c r="J91" s="171">
        <f>'Income Statement'!J149</f>
        <v>984.7870789726027</v>
      </c>
      <c r="K91" s="121"/>
    </row>
    <row r="92">
      <c r="B92" s="121" t="s">
        <v>111</v>
      </c>
      <c r="C92" s="167">
        <f>'Segment - CBL'!C283+'Segment - Commercial Banking'!C129+'Segment - CIB'!C190+'Segment - WIM'!C105</f>
        <v>1009</v>
      </c>
      <c r="D92" s="167">
        <f>'Segment - CBL'!D283+'Segment - Commercial Banking'!D129+'Segment - CIB'!D190+'Segment - WIM'!D105</f>
        <v>997</v>
      </c>
      <c r="E92" s="167">
        <f>'Segment - CBL'!E283+'Segment - Commercial Banking'!E129+'Segment - CIB'!E190+'Segment - WIM'!E105</f>
        <v>944</v>
      </c>
      <c r="F92" s="167">
        <f>'Segment - CBL'!F283+'Segment - Commercial Banking'!F129+'Segment - CIB'!F190+'Segment - WIM'!F105</f>
        <v>1053</v>
      </c>
      <c r="G92" s="167">
        <f>'Segment - CBL'!G283+'Segment - Commercial Banking'!G129+'Segment - CIB'!G190+'Segment - WIM'!G105</f>
        <v>4003</v>
      </c>
      <c r="H92" s="167">
        <f>'Segment - CBL'!H283+'Segment - Commercial Banking'!H129+'Segment - CIB'!H190+'Segment - WIM'!H105</f>
        <v>1101</v>
      </c>
      <c r="I92" s="167">
        <f>'Segment - CBL'!I283+'Segment - Commercial Banking'!I129+'Segment - CIB'!I190+'Segment - WIM'!I105</f>
        <v>876</v>
      </c>
      <c r="J92" s="171">
        <f>'Segment - CBL'!J283+'Segment - Commercial Banking'!J129+'Segment - CIB'!J190+'Segment - WIM'!J105</f>
        <v>998.1074297260275</v>
      </c>
      <c r="K92" s="121"/>
    </row>
    <row r="93">
      <c r="B93" s="121" t="s">
        <v>112</v>
      </c>
      <c r="C93" s="136">
        <f>C91-C92</f>
        <v>0</v>
      </c>
      <c r="D93" s="136">
        <f>D91-D92</f>
        <v>0</v>
      </c>
      <c r="E93" s="136">
        <f>E91-E92</f>
        <v>10</v>
      </c>
      <c r="F93" s="136">
        <f>F91-F92</f>
        <v>-23</v>
      </c>
      <c r="G93" s="136">
        <f>G91-G92</f>
        <v>-13</v>
      </c>
      <c r="H93" s="136">
        <f>H91-H92</f>
        <v>5</v>
      </c>
      <c r="I93" s="136">
        <f>I91-I92</f>
        <v>7</v>
      </c>
      <c r="J93" s="169">
        <f>J91-J92</f>
        <v>-13.320350753424805</v>
      </c>
      <c r="K93" s="121"/>
    </row>
    <row r="94">
      <c r="B94" s="121" t="s">
        <v>113</v>
      </c>
      <c r="C94" s="167">
        <f>'Balance Sheet'!C130</f>
        <v>1339328</v>
      </c>
      <c r="D94" s="167">
        <f>'Balance Sheet'!D130</f>
        <v>1331651</v>
      </c>
      <c r="E94" s="167">
        <f>'Balance Sheet'!E130</f>
        <v>1339939</v>
      </c>
      <c r="F94" s="167">
        <f>'Balance Sheet'!F130</f>
        <v>1377718</v>
      </c>
      <c r="G94" s="167">
        <f>'Balance Sheet'!G130</f>
        <v>1347245</v>
      </c>
      <c r="H94" s="167">
        <f>'Balance Sheet'!H130</f>
        <v>1415034</v>
      </c>
      <c r="I94" s="167">
        <f>'Balance Sheet'!I130</f>
        <v>1465600</v>
      </c>
      <c r="J94" s="171">
        <f>'Balance Sheet'!J130</f>
        <v>1494912</v>
      </c>
      <c r="K94" s="121"/>
    </row>
    <row r="95">
      <c r="B95" s="121" t="s">
        <v>114</v>
      </c>
      <c r="C95" s="167">
        <f>'Segment - CBL'!C124+'Segment - Commercial Banking'!C91+'Segment - CIB'!C154+'Segment - WIM'!C87</f>
        <v>1288752</v>
      </c>
      <c r="D95" s="167">
        <f>'Segment - CBL'!D124+'Segment - Commercial Banking'!D91+'Segment - CIB'!D154+'Segment - WIM'!D87</f>
        <v>1285409</v>
      </c>
      <c r="E95" s="167">
        <f>'Segment - CBL'!E124+'Segment - Commercial Banking'!E91+'Segment - CIB'!E154+'Segment - WIM'!E87</f>
        <v>1284738</v>
      </c>
      <c r="F95" s="167">
        <f>'Segment - CBL'!F124+'Segment - Commercial Banking'!F91+'Segment - CIB'!F154+'Segment - WIM'!F87</f>
        <v>1308694</v>
      </c>
      <c r="G95" s="167">
        <f>'Segment - CBL'!G124+'Segment - Commercial Banking'!G91+'Segment - CIB'!G154+'Segment - WIM'!G87</f>
        <v>1291933.2684931508</v>
      </c>
      <c r="H95" s="167">
        <f>'Segment - CBL'!H124+'Segment - Commercial Banking'!H91+'Segment - CIB'!H154+'Segment - WIM'!H87</f>
        <v>1328961</v>
      </c>
      <c r="I95" s="167">
        <f>'Segment - CBL'!I124+'Segment - Commercial Banking'!I91+'Segment - CIB'!I154+'Segment - WIM'!I87</f>
        <v>1362447</v>
      </c>
      <c r="J95" s="171">
        <f>'Segment - CBL'!J124+'Segment - Commercial Banking'!J91+'Segment - CIB'!J154+'Segment - WIM'!J87</f>
        <v>1374127.065</v>
      </c>
      <c r="K95" s="121"/>
    </row>
    <row r="96">
      <c r="B96" s="121" t="s">
        <v>115</v>
      </c>
      <c r="C96" s="136">
        <f>C94-C95</f>
        <v>50576</v>
      </c>
      <c r="D96" s="136">
        <f>D94-D95</f>
        <v>46242</v>
      </c>
      <c r="E96" s="136">
        <f>E94-E95</f>
        <v>55201</v>
      </c>
      <c r="F96" s="136">
        <f>F94-F95</f>
        <v>69024</v>
      </c>
      <c r="G96" s="136">
        <f>G94-G95</f>
        <v>55311.73150684917</v>
      </c>
      <c r="H96" s="136">
        <f>H94-H95</f>
        <v>86073</v>
      </c>
      <c r="I96" s="136">
        <f>I94-I95</f>
        <v>103153</v>
      </c>
      <c r="J96" s="169">
        <f>J94-J95</f>
        <v>120784.93500000006</v>
      </c>
      <c r="K96" s="121"/>
    </row>
    <row r="97">
      <c r="B97" s="122" t="s">
        <v>116</v>
      </c>
      <c r="C97" s="130"/>
      <c r="D97" s="130">
        <f>IFERROR(IF(OR(C94&lt;=0,D94&lt;0),"n/m",D94/C94-1),"n/m")</f>
        <v>-0.005731979022315703</v>
      </c>
      <c r="E97" s="130">
        <f>IFERROR(IF(OR(D94&lt;=0,E94&lt;0),"n/m",E94/D94-1),"n/m")</f>
        <v>0.006223852946455111</v>
      </c>
      <c r="F97" s="130">
        <f>IFERROR(IF(OR(E94&lt;=0,F94&lt;0),"n/m",F94/E94-1),"n/m")</f>
        <v>0.028194567066112786</v>
      </c>
      <c r="G97" s="130"/>
      <c r="H97" s="130">
        <f>IFERROR(IF(OR(F94&lt;=0,H94&lt;0),"n/m",H94/F94-1),"n/m")</f>
        <v>0.027085368703900325</v>
      </c>
      <c r="I97" s="130">
        <f>IFERROR(IF(OR(H94&lt;=0,I94&lt;0),"n/m",I94/H94-1),"n/m")</f>
        <v>0.03573483039983483</v>
      </c>
      <c r="J97" s="168">
        <f>IFERROR(IF(OR(I94&lt;=0,J94&lt;0),"n/m",J94/I94-1),"n/m")</f>
        <v>0.020000000000000018</v>
      </c>
      <c r="K97" s="121"/>
    </row>
    <row r="98">
      <c r="B98" s="122" t="s">
        <v>117</v>
      </c>
      <c r="C98" s="130"/>
      <c r="D98" s="130">
        <f>IFERROR(IF(OR(C95&lt;=0,D95&lt;0),"n/m",D95/C95-1),"n/m")</f>
        <v>-0.0025939823953716745</v>
      </c>
      <c r="E98" s="130">
        <f>IFERROR(IF(OR(D95&lt;=0,E95&lt;0),"n/m",E95/D95-1),"n/m")</f>
        <v>-0.0005220128379371802</v>
      </c>
      <c r="F98" s="130">
        <f>IFERROR(IF(OR(E95&lt;=0,F95&lt;0),"n/m",F95/E95-1),"n/m")</f>
        <v>0.018646603431983877</v>
      </c>
      <c r="G98" s="130"/>
      <c r="H98" s="130">
        <f>IFERROR(IF(OR(F95&lt;=0,H95&lt;0),"n/m",H95/F95-1),"n/m")</f>
        <v>0.015486431511109622</v>
      </c>
      <c r="I98" s="130">
        <f>IFERROR(IF(OR(H95&lt;=0,I95&lt;0),"n/m",I95/H95-1),"n/m")</f>
        <v>0.02519712768094773</v>
      </c>
      <c r="J98" s="168">
        <f>IFERROR(IF(OR(I95&lt;=0,J95&lt;0),"n/m",J95/I95-1),"n/m")</f>
        <v>0.008572858246962856</v>
      </c>
      <c r="K98" s="121"/>
    </row>
    <row r="99" ht="118.5">
      <c r="B99" s="187" t="str">
        <f>"  Note: 3Q26E segment and consolidated drivers are original, independently set assumptions (unchanged); Corporate revenue J46 and NI J83 absorb the gaps. Corporate revenue "&amp;TEXT(J46,"#,##0;(#,##0)")&amp;" vs 2Q26A "&amp;TEXT(I46,"#,##0;(#,##0)")&amp;" (consolidated equity-securities gains 2Q26A "&amp;TEXT('Income Statement'!I118,"#,##0;(#,##0)")&amp;" vs 3Q26E "&amp;TEXT('Income Statement'!J118,"#,##0;(#,##0)")&amp;"); Corp./other provision J90 "&amp;TEXT(J90,"#,##0;(#,##0)")&amp;" vs 1Q25A–2Q26A range "&amp;TEXT(MIN(C90:F90,H90:I90),"#,##0;(#,##0)")&amp;" to "&amp;TEXT(MAX(C90:F90,H90:I90),"#,##0;(#,##0)")&amp;"."</f>
        <v>  Note: 3Q26E segment and consolidated drivers are original, independently set assumptions (unchanged); Corporate revenue J46 and NI J83 absorb the gaps. Corporate revenue (183) vs 2Q26A 413 (consolidated equity-securities gains 2Q26A 847 vs 3Q26E 100); Corp./other provision J90 42 vs 1Q25A–2Q26A range (45) to 2.</v>
      </c>
      <c r="C99" s="170"/>
      <c r="D99" s="170"/>
      <c r="E99" s="170"/>
      <c r="F99" s="170"/>
      <c r="G99" s="170"/>
      <c r="H99" s="170"/>
      <c r="I99" s="170"/>
      <c r="J99" s="175"/>
      <c r="K99" s="121"/>
    </row>
    <row r="100" ht="80.25">
      <c r="B100" s="174" t="str">
        <f>"  3Q26E Corporate NI "&amp;TEXT(J83,"#,##0;(#,##0)")&amp;" vs 1Q25A–2Q26A range "&amp;TEXT(MIN(C83:F83,H83:I83),"#,##0;(#,##0)")&amp;" to "&amp;TEXT(MAX(C83:F83,H83:I83),"#,##0;(#,##0)")&amp;" ($ mm). FY25 avg deposits: consolidated = reported annual; segments = day-weighted. Disclosed residual, not a validation."</f>
        <v>  3Q26E Corporate NI (430) vs 1Q25A–2Q26A range (315) to 328 ($ mm). FY25 avg deposits: consolidated = reported annual; segments = day-weighted. Disclosed residual, not a validation.</v>
      </c>
      <c r="C100" s="170"/>
      <c r="D100" s="170"/>
      <c r="E100" s="170"/>
      <c r="F100" s="170"/>
      <c r="G100" s="170"/>
      <c r="H100" s="170"/>
      <c r="I100" s="170"/>
      <c r="J100" s="175"/>
      <c r="K100" s="121"/>
    </row>
    <row r="101" ht="105.75">
      <c r="B101" s="189" t="str">
        <f>"  3Q26E avg loans: consolidated "&amp;TEXT('Income Statement'!J145,"#,##0")&amp;" (Income Statement J145; independent +"&amp;TEXT('Income Statement'!J146,"0.0%")&amp;" Q/Q assumption J146) vs sum of segments "&amp;TEXT(('Segment - CBL'!J121+'Segment - Commercial Banking'!J88+'Segment - CIB'!J141+'Segment - WIM'!J83),"#,##0")&amp;"; implied Corp./other "&amp;TEXT('Income Statement'!J145-('Segment - CBL'!J121+'Segment - Commercial Banking'!J88+'Segment - CIB'!J141+'Segment - WIM'!J83),"#,##0;(#,##0)")&amp;" vs 2Q26A "&amp;TEXT('Income Statement'!I145-('Segment - CBL'!I121+'Segment - Commercial Banking'!I88+'Segment - CIB'!I141+'Segment - WIM'!I83),"#,##0;(#,##0)")&amp;". Both assumptions retained, no plug; holding the 2Q26A Corp./other level would add ~"&amp;TEXT((('Income Statement'!I145-('Segment - CBL'!I121+'Segment - Commercial Banking'!I88+'Segment - CIB'!I141+'Segment - WIM'!I83))-('Income Statement'!J145-('Segment - CBL'!J121+'Segment - Commercial Banking'!J88+'Segment - CIB'!J141+'Segment - WIM'!J83)))*'Income Statement'!J152*'Income Statement'!J16/365,"0.0")&amp;" $mm NCOs."</f>
        <v>  3Q26E avg loans: consolidated 1,041,876 (Income Statement J145; independent +1.5% Q/Q assumption J146) vs sum of segments 1,041,970; implied Corp./other (94) vs 2Q26A 1,008. Both assumptions retained, no plug; holding the 2Q26A Corp./other level would add ~1.0 $mm NCOs.</v>
      </c>
    </row>
  </sheetData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37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14" customWidth="1"/>
  </cols>
  <sheetData>
    <row r="1">
      <c r="A1" s="1"/>
      <c r="B1" s="3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9" t="s">
        <v>118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64" t="s">
        <v>62</v>
      </c>
      <c r="C4" s="29" t="s">
        <v>63</v>
      </c>
      <c r="D4" s="29" t="s">
        <v>64</v>
      </c>
      <c r="E4" s="29" t="s">
        <v>65</v>
      </c>
      <c r="F4" s="29" t="s">
        <v>66</v>
      </c>
      <c r="G4" s="29" t="s">
        <v>67</v>
      </c>
      <c r="H4" s="29" t="s">
        <v>68</v>
      </c>
      <c r="I4" s="29" t="s">
        <v>69</v>
      </c>
      <c r="J4" s="39" t="s">
        <v>70</v>
      </c>
      <c r="K4" s="131" t="s">
        <v>3</v>
      </c>
      <c r="L4" s="1"/>
    </row>
    <row r="5">
      <c r="A5" s="1"/>
      <c r="B5" s="67" t="s">
        <v>71</v>
      </c>
      <c r="C5" s="32">
        <v>45747</v>
      </c>
      <c r="D5" s="32">
        <v>45838</v>
      </c>
      <c r="E5" s="32">
        <v>45930</v>
      </c>
      <c r="F5" s="32">
        <v>46022</v>
      </c>
      <c r="G5" s="32">
        <v>46022</v>
      </c>
      <c r="H5" s="32">
        <v>46112</v>
      </c>
      <c r="I5" s="32">
        <v>46203</v>
      </c>
      <c r="J5" s="66">
        <v>46295</v>
      </c>
      <c r="K5" s="71"/>
      <c r="L5" s="1"/>
    </row>
    <row r="6">
      <c r="A6" s="1"/>
      <c r="B6" s="8" t="s">
        <v>72</v>
      </c>
      <c r="C6" s="20">
        <f>C5-EOMONTH(C5,-3)</f>
        <v>90</v>
      </c>
      <c r="D6" s="20">
        <f>D5-EOMONTH(D5,-3)</f>
        <v>91</v>
      </c>
      <c r="E6" s="20">
        <f>E5-EOMONTH(E5,-3)</f>
        <v>92</v>
      </c>
      <c r="F6" s="20">
        <f>F5-EOMONTH(F5,-3)</f>
        <v>92</v>
      </c>
      <c r="G6" s="20">
        <f>G5-DATE(YEAR(G5)-1,12,31)</f>
        <v>365</v>
      </c>
      <c r="H6" s="20">
        <f>H5-EOMONTH(H5,-3)</f>
        <v>90</v>
      </c>
      <c r="I6" s="20">
        <f>I5-EOMONTH(I5,-3)</f>
        <v>91</v>
      </c>
      <c r="J6" s="50">
        <f>J5-EOMONTH(J5,-3)</f>
        <v>92</v>
      </c>
      <c r="K6" s="7"/>
      <c r="L6" s="1"/>
    </row>
    <row r="7">
      <c r="A7" s="1"/>
      <c r="B7" s="1"/>
      <c r="C7" s="13"/>
      <c r="D7" s="13"/>
      <c r="E7" s="13"/>
      <c r="F7" s="13"/>
      <c r="G7" s="13"/>
      <c r="H7" s="13"/>
      <c r="I7" s="13"/>
      <c r="J7" s="27"/>
      <c r="K7" s="1"/>
      <c r="L7" s="1"/>
    </row>
    <row r="8" ht="54.75">
      <c r="A8" s="1"/>
      <c r="B8" s="28" t="s">
        <v>119</v>
      </c>
      <c r="C8" s="25"/>
      <c r="D8" s="25"/>
      <c r="E8" s="25"/>
      <c r="F8" s="25"/>
      <c r="G8" s="25"/>
      <c r="H8" s="25"/>
      <c r="I8" s="25"/>
      <c r="J8" s="37"/>
      <c r="K8" s="1"/>
      <c r="L8" s="1"/>
    </row>
    <row r="9">
      <c r="A9" s="1"/>
      <c r="B9" s="1" t="s">
        <v>120</v>
      </c>
      <c r="C9" s="107">
        <f>C6</f>
        <v>90</v>
      </c>
      <c r="D9" s="107">
        <f>D6</f>
        <v>91</v>
      </c>
      <c r="E9" s="107">
        <f>E6</f>
        <v>92</v>
      </c>
      <c r="F9" s="107">
        <f>F6</f>
        <v>92</v>
      </c>
      <c r="G9" s="107">
        <f>G6</f>
        <v>365</v>
      </c>
      <c r="H9" s="107">
        <f>H6</f>
        <v>90</v>
      </c>
      <c r="I9" s="107">
        <f>I6</f>
        <v>91</v>
      </c>
      <c r="J9" s="113">
        <f>J6</f>
        <v>92</v>
      </c>
      <c r="K9" s="1"/>
      <c r="L9" s="1"/>
    </row>
    <row r="10">
      <c r="A10" s="1"/>
      <c r="B10" s="1" t="s">
        <v>99</v>
      </c>
      <c r="C10" s="35">
        <v>7039</v>
      </c>
      <c r="D10" s="35">
        <v>7305</v>
      </c>
      <c r="E10" s="35">
        <v>7628</v>
      </c>
      <c r="F10" s="35">
        <v>7661</v>
      </c>
      <c r="G10" s="5">
        <f>SUM(C10:F10)</f>
        <v>29633</v>
      </c>
      <c r="H10" s="35">
        <v>7551</v>
      </c>
      <c r="I10" s="35">
        <v>7742</v>
      </c>
      <c r="J10" s="15">
        <f>J128*J131*J9/365</f>
        <v>7869.688276155845</v>
      </c>
      <c r="K10" s="1" t="s">
        <v>94</v>
      </c>
      <c r="L10" s="1"/>
    </row>
    <row r="11">
      <c r="A11" s="1"/>
      <c r="B11" s="6" t="s">
        <v>84</v>
      </c>
      <c r="C11" s="26"/>
      <c r="D11" s="26"/>
      <c r="E11" s="26"/>
      <c r="F11" s="26"/>
      <c r="G11" s="26"/>
      <c r="H11" s="26">
        <f>IFERROR(IF(OR(C10&lt;=0,H10&lt;0),"n/m",H10/C10-1),"n/m")</f>
        <v>0.0727376047734054</v>
      </c>
      <c r="I11" s="26">
        <f>IFERROR(IF(OR(D10&lt;=0,I10&lt;0),"n/m",I10/D10-1),"n/m")</f>
        <v>0.05982203969883648</v>
      </c>
      <c r="J11" s="47">
        <f>IFERROR(IF(OR(E10&lt;=0,J10&lt;0),"n/m",J10/E10-1),"n/m")</f>
        <v>0.03168435712583184</v>
      </c>
      <c r="K11" s="1"/>
      <c r="L11" s="1"/>
    </row>
    <row r="12">
      <c r="A12" s="1"/>
      <c r="B12" s="6" t="s">
        <v>85</v>
      </c>
      <c r="C12" s="26"/>
      <c r="D12" s="26">
        <f>IFERROR(IF(OR(C10&lt;=0,D10&lt;0),"n/m",D10/C10-1),"n/m")</f>
        <v>0.03778945872993322</v>
      </c>
      <c r="E12" s="26">
        <f>IFERROR(IF(OR(D10&lt;=0,E10&lt;0),"n/m",E10/D10-1),"n/m")</f>
        <v>0.04421629021218343</v>
      </c>
      <c r="F12" s="26">
        <f>IFERROR(IF(OR(E10&lt;=0,F10&lt;0),"n/m",F10/E10-1),"n/m")</f>
        <v>0.004326166754063943</v>
      </c>
      <c r="G12" s="26"/>
      <c r="H12" s="26">
        <f>IFERROR(IF(OR(F10&lt;=0,H10&lt;0),"n/m",H10/F10-1),"n/m")</f>
        <v>-0.01435843884610366</v>
      </c>
      <c r="I12" s="26">
        <f>IFERROR(IF(OR(H10&lt;=0,I10&lt;0),"n/m",I10/H10-1),"n/m")</f>
        <v>0.02529466295854843</v>
      </c>
      <c r="J12" s="47">
        <f>IFERROR(IF(OR(I10&lt;=0,J10&lt;0),"n/m",J10/I10-1),"n/m")</f>
        <v>0.016492931562366975</v>
      </c>
      <c r="K12" s="1"/>
      <c r="L12" s="1"/>
    </row>
    <row r="13">
      <c r="A13" s="1"/>
      <c r="B13" s="6" t="s">
        <v>86</v>
      </c>
      <c r="C13" s="26"/>
      <c r="D13" s="26"/>
      <c r="E13" s="26"/>
      <c r="F13" s="26"/>
      <c r="G13" s="26"/>
      <c r="H13" s="26" t="s">
        <v>78</v>
      </c>
      <c r="I13" s="26" t="s">
        <v>78</v>
      </c>
      <c r="J13" s="47" t="s">
        <v>78</v>
      </c>
      <c r="K13" s="1"/>
      <c r="L13" s="1"/>
    </row>
    <row r="14">
      <c r="A14" s="1"/>
      <c r="B14" s="6" t="s">
        <v>87</v>
      </c>
      <c r="C14" s="26"/>
      <c r="D14" s="26"/>
      <c r="E14" s="26"/>
      <c r="F14" s="26"/>
      <c r="G14" s="26"/>
      <c r="H14" s="26" t="s">
        <v>78</v>
      </c>
      <c r="I14" s="26" t="s">
        <v>78</v>
      </c>
      <c r="J14" s="47" t="s">
        <v>78</v>
      </c>
      <c r="K14" s="1"/>
      <c r="L14" s="1"/>
    </row>
    <row r="15">
      <c r="A15" s="1"/>
      <c r="B15" s="6" t="s">
        <v>88</v>
      </c>
      <c r="C15" s="26"/>
      <c r="D15" s="26"/>
      <c r="E15" s="26"/>
      <c r="F15" s="26"/>
      <c r="G15" s="26"/>
      <c r="H15" s="26" t="s">
        <v>81</v>
      </c>
      <c r="I15" s="26" t="s">
        <v>81</v>
      </c>
      <c r="J15" s="47" t="s">
        <v>81</v>
      </c>
      <c r="K15" s="1"/>
      <c r="L15" s="1"/>
    </row>
    <row r="16">
      <c r="A16" s="1"/>
      <c r="B16" s="1" t="s">
        <v>121</v>
      </c>
      <c r="C16" s="35">
        <v>651</v>
      </c>
      <c r="D16" s="35">
        <v>653</v>
      </c>
      <c r="E16" s="35">
        <v>698</v>
      </c>
      <c r="F16" s="35">
        <v>693</v>
      </c>
      <c r="G16" s="5">
        <f>SUM(C16:F16)</f>
        <v>2695</v>
      </c>
      <c r="H16" s="35">
        <v>720</v>
      </c>
      <c r="I16" s="35">
        <v>747</v>
      </c>
      <c r="J16" s="15">
        <f>J124*J134*J9/365</f>
        <v>758.9848351648352</v>
      </c>
      <c r="K16" s="1" t="s">
        <v>94</v>
      </c>
      <c r="L16" s="1"/>
    </row>
    <row r="17">
      <c r="A17" s="1"/>
      <c r="B17" s="6" t="s">
        <v>84</v>
      </c>
      <c r="C17" s="26"/>
      <c r="D17" s="26"/>
      <c r="E17" s="26"/>
      <c r="F17" s="26"/>
      <c r="G17" s="26"/>
      <c r="H17" s="26">
        <f>IFERROR(IF(OR(C16&lt;=0,H16&lt;0),"n/m",H16/C16-1),"n/m")</f>
        <v>0.10599078341013835</v>
      </c>
      <c r="I17" s="26">
        <f>IFERROR(IF(OR(D16&lt;=0,I16&lt;0),"n/m",I16/D16-1),"n/m")</f>
        <v>0.14395099540581935</v>
      </c>
      <c r="J17" s="47">
        <f>IFERROR(IF(OR(E16&lt;=0,J16&lt;0),"n/m",J16/E16-1),"n/m")</f>
        <v>0.08737082401838858</v>
      </c>
      <c r="K17" s="1"/>
      <c r="L17" s="1"/>
    </row>
    <row r="18">
      <c r="A18" s="1"/>
      <c r="B18" s="6" t="s">
        <v>85</v>
      </c>
      <c r="C18" s="26"/>
      <c r="D18" s="26">
        <f>IFERROR(IF(OR(C16&lt;=0,D16&lt;0),"n/m",D16/C16-1),"n/m")</f>
        <v>0.003072196620583778</v>
      </c>
      <c r="E18" s="26">
        <f>IFERROR(IF(OR(D16&lt;=0,E16&lt;0),"n/m",E16/D16-1),"n/m")</f>
        <v>0.06891271056661563</v>
      </c>
      <c r="F18" s="26">
        <f>IFERROR(IF(OR(E16&lt;=0,F16&lt;0),"n/m",F16/E16-1),"n/m")</f>
        <v>-0.007163323782234943</v>
      </c>
      <c r="G18" s="26"/>
      <c r="H18" s="26">
        <f>IFERROR(IF(OR(F16&lt;=0,H16&lt;0),"n/m",H16/F16-1),"n/m")</f>
        <v>0.03896103896103886</v>
      </c>
      <c r="I18" s="26">
        <f>IFERROR(IF(OR(H16&lt;=0,I16&lt;0),"n/m",I16/H16-1),"n/m")</f>
        <v>0.03750000000000009</v>
      </c>
      <c r="J18" s="47">
        <f>IFERROR(IF(OR(I16&lt;=0,J16&lt;0),"n/m",J16/I16-1),"n/m")</f>
        <v>0.01604395604395603</v>
      </c>
      <c r="K18" s="1"/>
      <c r="L18" s="1"/>
    </row>
    <row r="19">
      <c r="A19" s="1"/>
      <c r="B19" s="6" t="s">
        <v>86</v>
      </c>
      <c r="C19" s="26"/>
      <c r="D19" s="26"/>
      <c r="E19" s="26"/>
      <c r="F19" s="26"/>
      <c r="G19" s="26"/>
      <c r="H19" s="26" t="s">
        <v>78</v>
      </c>
      <c r="I19" s="26" t="s">
        <v>78</v>
      </c>
      <c r="J19" s="47" t="s">
        <v>78</v>
      </c>
      <c r="K19" s="1"/>
      <c r="L19" s="1"/>
    </row>
    <row r="20">
      <c r="A20" s="1"/>
      <c r="B20" s="6" t="s">
        <v>87</v>
      </c>
      <c r="C20" s="26"/>
      <c r="D20" s="26"/>
      <c r="E20" s="26"/>
      <c r="F20" s="26"/>
      <c r="G20" s="26"/>
      <c r="H20" s="26" t="s">
        <v>78</v>
      </c>
      <c r="I20" s="26" t="s">
        <v>78</v>
      </c>
      <c r="J20" s="47" t="s">
        <v>78</v>
      </c>
      <c r="K20" s="1"/>
      <c r="L20" s="1"/>
    </row>
    <row r="21">
      <c r="A21" s="1"/>
      <c r="B21" s="6" t="s">
        <v>88</v>
      </c>
      <c r="C21" s="26"/>
      <c r="D21" s="26"/>
      <c r="E21" s="26"/>
      <c r="F21" s="26"/>
      <c r="G21" s="26"/>
      <c r="H21" s="26" t="s">
        <v>81</v>
      </c>
      <c r="I21" s="26" t="s">
        <v>81</v>
      </c>
      <c r="J21" s="47" t="s">
        <v>81</v>
      </c>
      <c r="K21" s="1"/>
      <c r="L21" s="1"/>
    </row>
    <row r="22" ht="29.25">
      <c r="A22" s="1"/>
      <c r="B22" s="191" t="s">
        <v>122</v>
      </c>
      <c r="C22" s="35">
        <v>240</v>
      </c>
      <c r="D22" s="35">
        <v>232</v>
      </c>
      <c r="E22" s="35">
        <v>249</v>
      </c>
      <c r="F22" s="35">
        <v>253</v>
      </c>
      <c r="G22" s="5">
        <f>SUM(C22:F22)</f>
        <v>974</v>
      </c>
      <c r="H22" s="35">
        <v>264</v>
      </c>
      <c r="I22" s="35">
        <v>264</v>
      </c>
      <c r="J22" s="15">
        <f>J262*1000*J265</f>
        <v>285.2413793103448</v>
      </c>
      <c r="K22" s="1" t="s">
        <v>94</v>
      </c>
      <c r="L22" s="1"/>
    </row>
    <row r="23">
      <c r="A23" s="1"/>
      <c r="B23" s="6" t="s">
        <v>84</v>
      </c>
      <c r="C23" s="26"/>
      <c r="D23" s="26"/>
      <c r="E23" s="26"/>
      <c r="F23" s="26"/>
      <c r="G23" s="26"/>
      <c r="H23" s="26">
        <f>IFERROR(IF(OR(C22&lt;=0,H22&lt;0),"n/m",H22/C22-1),"n/m")</f>
        <v>0.10000000000000009</v>
      </c>
      <c r="I23" s="26">
        <f>IFERROR(IF(OR(D22&lt;=0,I22&lt;0),"n/m",I22/D22-1),"n/m")</f>
        <v>0.13793103448275867</v>
      </c>
      <c r="J23" s="47">
        <f>IFERROR(IF(OR(E22&lt;=0,J22&lt;0),"n/m",J22/E22-1),"n/m")</f>
        <v>0.145547708073674</v>
      </c>
      <c r="K23" s="1"/>
      <c r="L23" s="1"/>
    </row>
    <row r="24">
      <c r="A24" s="1"/>
      <c r="B24" s="6" t="s">
        <v>85</v>
      </c>
      <c r="C24" s="26"/>
      <c r="D24" s="26">
        <f>IFERROR(IF(OR(C22&lt;=0,D22&lt;0),"n/m",D22/C22-1),"n/m")</f>
        <v>-0.033333333333333326</v>
      </c>
      <c r="E24" s="26">
        <f>IFERROR(IF(OR(D22&lt;=0,E22&lt;0),"n/m",E22/D22-1),"n/m")</f>
        <v>0.07327586206896552</v>
      </c>
      <c r="F24" s="26">
        <f>IFERROR(IF(OR(E22&lt;=0,F22&lt;0),"n/m",F22/E22-1),"n/m")</f>
        <v>0.016064257028112428</v>
      </c>
      <c r="G24" s="26"/>
      <c r="H24" s="26">
        <f>IFERROR(IF(OR(F22&lt;=0,H22&lt;0),"n/m",H22/F22-1),"n/m")</f>
        <v>0.04347826086956519</v>
      </c>
      <c r="I24" s="26">
        <f>IFERROR(IF(OR(H22&lt;=0,I22&lt;0),"n/m",I22/H22-1),"n/m")</f>
        <v>0</v>
      </c>
      <c r="J24" s="47">
        <f>IFERROR(IF(OR(I22&lt;=0,J22&lt;0),"n/m",J22/I22-1),"n/m")</f>
        <v>0.08045977011494254</v>
      </c>
      <c r="K24" s="1"/>
      <c r="L24" s="1"/>
    </row>
    <row r="25">
      <c r="A25" s="1"/>
      <c r="B25" s="6" t="s">
        <v>86</v>
      </c>
      <c r="C25" s="26"/>
      <c r="D25" s="26"/>
      <c r="E25" s="26"/>
      <c r="F25" s="26"/>
      <c r="G25" s="26"/>
      <c r="H25" s="26" t="s">
        <v>78</v>
      </c>
      <c r="I25" s="26" t="s">
        <v>78</v>
      </c>
      <c r="J25" s="47" t="s">
        <v>78</v>
      </c>
      <c r="K25" s="1"/>
      <c r="L25" s="1"/>
    </row>
    <row r="26">
      <c r="A26" s="1"/>
      <c r="B26" s="6" t="s">
        <v>87</v>
      </c>
      <c r="C26" s="26"/>
      <c r="D26" s="26"/>
      <c r="E26" s="26"/>
      <c r="F26" s="26"/>
      <c r="G26" s="26"/>
      <c r="H26" s="26" t="s">
        <v>78</v>
      </c>
      <c r="I26" s="26" t="s">
        <v>78</v>
      </c>
      <c r="J26" s="47" t="s">
        <v>78</v>
      </c>
      <c r="K26" s="1"/>
      <c r="L26" s="1"/>
    </row>
    <row r="27">
      <c r="A27" s="1"/>
      <c r="B27" s="6" t="s">
        <v>88</v>
      </c>
      <c r="C27" s="26"/>
      <c r="D27" s="26"/>
      <c r="E27" s="26"/>
      <c r="F27" s="26"/>
      <c r="G27" s="26"/>
      <c r="H27" s="26" t="s">
        <v>81</v>
      </c>
      <c r="I27" s="26" t="s">
        <v>81</v>
      </c>
      <c r="J27" s="47" t="s">
        <v>81</v>
      </c>
      <c r="K27" s="1"/>
      <c r="L27" s="1"/>
    </row>
    <row r="28" ht="29.25">
      <c r="A28" s="1"/>
      <c r="B28" s="191" t="s">
        <v>123</v>
      </c>
      <c r="C28" s="35">
        <v>113</v>
      </c>
      <c r="D28" s="35">
        <v>111</v>
      </c>
      <c r="E28" s="35">
        <v>133</v>
      </c>
      <c r="F28" s="35">
        <v>118</v>
      </c>
      <c r="G28" s="5">
        <f>SUM(C28:F28)</f>
        <v>475</v>
      </c>
      <c r="H28" s="35">
        <v>115</v>
      </c>
      <c r="I28" s="35">
        <v>127</v>
      </c>
      <c r="J28" s="15">
        <f>I28*(1+J34)</f>
        <v>127</v>
      </c>
      <c r="K28" s="1" t="s">
        <v>94</v>
      </c>
      <c r="L28" s="1"/>
    </row>
    <row r="29">
      <c r="A29" s="1"/>
      <c r="B29" s="6" t="s">
        <v>84</v>
      </c>
      <c r="C29" s="26"/>
      <c r="D29" s="26"/>
      <c r="E29" s="26"/>
      <c r="F29" s="26"/>
      <c r="G29" s="26"/>
      <c r="H29" s="26">
        <f>IFERROR(IF(OR(C28&lt;=0,H28&lt;0),"n/m",H28/C28-1),"n/m")</f>
        <v>0.017699115044247815</v>
      </c>
      <c r="I29" s="26">
        <f>IFERROR(IF(OR(D28&lt;=0,I28&lt;0),"n/m",I28/D28-1),"n/m")</f>
        <v>0.14414414414414423</v>
      </c>
      <c r="J29" s="47">
        <f>IFERROR(IF(OR(E28&lt;=0,J28&lt;0),"n/m",J28/E28-1),"n/m")</f>
        <v>-0.045112781954887216</v>
      </c>
      <c r="K29" s="1"/>
      <c r="L29" s="1"/>
    </row>
    <row r="30">
      <c r="A30" s="1"/>
      <c r="B30" s="6" t="s">
        <v>85</v>
      </c>
      <c r="C30" s="26"/>
      <c r="D30" s="26">
        <f>IFERROR(IF(OR(C28&lt;=0,D28&lt;0),"n/m",D28/C28-1),"n/m")</f>
        <v>-0.017699115044247815</v>
      </c>
      <c r="E30" s="26">
        <f>IFERROR(IF(OR(D28&lt;=0,E28&lt;0),"n/m",E28/D28-1),"n/m")</f>
        <v>0.19819819819819817</v>
      </c>
      <c r="F30" s="26">
        <f>IFERROR(IF(OR(E28&lt;=0,F28&lt;0),"n/m",F28/E28-1),"n/m")</f>
        <v>-0.1127819548872181</v>
      </c>
      <c r="G30" s="26"/>
      <c r="H30" s="26">
        <f>IFERROR(IF(OR(F28&lt;=0,H28&lt;0),"n/m",H28/F28-1),"n/m")</f>
        <v>-0.025423728813559365</v>
      </c>
      <c r="I30" s="26">
        <f>IFERROR(IF(OR(H28&lt;=0,I28&lt;0),"n/m",I28/H28-1),"n/m")</f>
        <v>0.10434782608695659</v>
      </c>
      <c r="J30" s="47">
        <f>IFERROR(IF(OR(I28&lt;=0,J28&lt;0),"n/m",J28/I28-1),"n/m")</f>
        <v>0</v>
      </c>
      <c r="K30" s="1"/>
      <c r="L30" s="1"/>
    </row>
    <row r="31">
      <c r="A31" s="1"/>
      <c r="B31" s="6" t="s">
        <v>86</v>
      </c>
      <c r="C31" s="26"/>
      <c r="D31" s="26"/>
      <c r="E31" s="26"/>
      <c r="F31" s="26"/>
      <c r="G31" s="26"/>
      <c r="H31" s="26" t="s">
        <v>78</v>
      </c>
      <c r="I31" s="26" t="s">
        <v>78</v>
      </c>
      <c r="J31" s="47" t="s">
        <v>78</v>
      </c>
      <c r="K31" s="1"/>
      <c r="L31" s="1"/>
    </row>
    <row r="32">
      <c r="A32" s="1"/>
      <c r="B32" s="6" t="s">
        <v>87</v>
      </c>
      <c r="C32" s="26"/>
      <c r="D32" s="26"/>
      <c r="E32" s="26"/>
      <c r="F32" s="26"/>
      <c r="G32" s="26"/>
      <c r="H32" s="26" t="s">
        <v>78</v>
      </c>
      <c r="I32" s="26" t="s">
        <v>78</v>
      </c>
      <c r="J32" s="47" t="s">
        <v>78</v>
      </c>
      <c r="K32" s="1"/>
      <c r="L32" s="1"/>
    </row>
    <row r="33">
      <c r="A33" s="1"/>
      <c r="B33" s="6" t="s">
        <v>88</v>
      </c>
      <c r="C33" s="26"/>
      <c r="D33" s="26"/>
      <c r="E33" s="26"/>
      <c r="F33" s="26"/>
      <c r="G33" s="26"/>
      <c r="H33" s="26" t="s">
        <v>81</v>
      </c>
      <c r="I33" s="26" t="s">
        <v>81</v>
      </c>
      <c r="J33" s="47" t="s">
        <v>81</v>
      </c>
      <c r="K33" s="1"/>
      <c r="L33" s="1"/>
    </row>
    <row r="34">
      <c r="A34" s="1"/>
      <c r="B34" s="6" t="s">
        <v>124</v>
      </c>
      <c r="C34" s="26"/>
      <c r="D34" s="26">
        <f>D28/C28-1</f>
        <v>-0.017699115044247815</v>
      </c>
      <c r="E34" s="26">
        <f>E28/D28-1</f>
        <v>0.19819819819819817</v>
      </c>
      <c r="F34" s="26">
        <f>F28/E28-1</f>
        <v>-0.1127819548872181</v>
      </c>
      <c r="G34" s="26"/>
      <c r="H34" s="26">
        <f>H28/F28-1</f>
        <v>-0.025423728813559365</v>
      </c>
      <c r="I34" s="26">
        <f>I28/H28-1</f>
        <v>0.10434782608695659</v>
      </c>
      <c r="J34" s="202">
        <v>0</v>
      </c>
      <c r="K34" s="1"/>
      <c r="L34" s="1"/>
    </row>
    <row r="35">
      <c r="A35" s="1"/>
      <c r="B35" s="1" t="s">
        <v>125</v>
      </c>
      <c r="C35" s="35">
        <v>978</v>
      </c>
      <c r="D35" s="35">
        <v>1109</v>
      </c>
      <c r="E35" s="35">
        <v>1162</v>
      </c>
      <c r="F35" s="35">
        <v>1088</v>
      </c>
      <c r="G35" s="5">
        <f>SUM(C35:F35)</f>
        <v>4337</v>
      </c>
      <c r="H35" s="35">
        <v>1064</v>
      </c>
      <c r="I35" s="35">
        <v>1148</v>
      </c>
      <c r="J35" s="15">
        <f>J189*1000*J192</f>
        <v>1166.3992312400965</v>
      </c>
      <c r="K35" s="1" t="s">
        <v>94</v>
      </c>
      <c r="L35" s="1"/>
    </row>
    <row r="36">
      <c r="A36" s="1"/>
      <c r="B36" s="6" t="s">
        <v>84</v>
      </c>
      <c r="C36" s="26"/>
      <c r="D36" s="26"/>
      <c r="E36" s="26"/>
      <c r="F36" s="26"/>
      <c r="G36" s="26"/>
      <c r="H36" s="26">
        <f>IFERROR(IF(OR(C35&lt;=0,H35&lt;0),"n/m",H35/C35-1),"n/m")</f>
        <v>0.08793456032719837</v>
      </c>
      <c r="I36" s="26">
        <f>IFERROR(IF(OR(D35&lt;=0,I35&lt;0),"n/m",I35/D35-1),"n/m")</f>
        <v>0.035166816952209246</v>
      </c>
      <c r="J36" s="47">
        <f>IFERROR(IF(OR(E35&lt;=0,J35&lt;0),"n/m",J35/E35-1),"n/m")</f>
        <v>0.0037859132875184276</v>
      </c>
      <c r="K36" s="1"/>
      <c r="L36" s="1"/>
    </row>
    <row r="37">
      <c r="A37" s="1"/>
      <c r="B37" s="6" t="s">
        <v>85</v>
      </c>
      <c r="C37" s="26"/>
      <c r="D37" s="26">
        <f>IFERROR(IF(OR(C35&lt;=0,D35&lt;0),"n/m",D35/C35-1),"n/m")</f>
        <v>0.13394683026584864</v>
      </c>
      <c r="E37" s="26">
        <f>IFERROR(IF(OR(D35&lt;=0,E35&lt;0),"n/m",E35/D35-1),"n/m")</f>
        <v>0.04779080252479706</v>
      </c>
      <c r="F37" s="26">
        <f>IFERROR(IF(OR(E35&lt;=0,F35&lt;0),"n/m",F35/E35-1),"n/m")</f>
        <v>-0.0636833046471601</v>
      </c>
      <c r="G37" s="26"/>
      <c r="H37" s="26">
        <f>IFERROR(IF(OR(F35&lt;=0,H35&lt;0),"n/m",H35/F35-1),"n/m")</f>
        <v>-0.022058823529411797</v>
      </c>
      <c r="I37" s="26">
        <f>IFERROR(IF(OR(H35&lt;=0,I35&lt;0),"n/m",I35/H35-1),"n/m")</f>
        <v>0.07894736842105265</v>
      </c>
      <c r="J37" s="47">
        <f>IFERROR(IF(OR(I35&lt;=0,J35&lt;0),"n/m",J35/I35-1),"n/m")</f>
        <v>0.016027204912975934</v>
      </c>
      <c r="K37" s="1"/>
      <c r="L37" s="1"/>
    </row>
    <row r="38">
      <c r="A38" s="1"/>
      <c r="B38" s="6" t="s">
        <v>86</v>
      </c>
      <c r="C38" s="26"/>
      <c r="D38" s="26"/>
      <c r="E38" s="26"/>
      <c r="F38" s="26"/>
      <c r="G38" s="26"/>
      <c r="H38" s="26" t="s">
        <v>78</v>
      </c>
      <c r="I38" s="26" t="s">
        <v>78</v>
      </c>
      <c r="J38" s="47" t="s">
        <v>78</v>
      </c>
      <c r="K38" s="1"/>
      <c r="L38" s="1"/>
    </row>
    <row r="39">
      <c r="A39" s="1"/>
      <c r="B39" s="6" t="s">
        <v>87</v>
      </c>
      <c r="C39" s="26"/>
      <c r="D39" s="26"/>
      <c r="E39" s="26"/>
      <c r="F39" s="26"/>
      <c r="G39" s="26"/>
      <c r="H39" s="26" t="s">
        <v>78</v>
      </c>
      <c r="I39" s="26" t="s">
        <v>78</v>
      </c>
      <c r="J39" s="47" t="s">
        <v>78</v>
      </c>
      <c r="K39" s="1"/>
      <c r="L39" s="1"/>
    </row>
    <row r="40">
      <c r="A40" s="1"/>
      <c r="B40" s="6" t="s">
        <v>88</v>
      </c>
      <c r="C40" s="26"/>
      <c r="D40" s="26"/>
      <c r="E40" s="26"/>
      <c r="F40" s="26"/>
      <c r="G40" s="26"/>
      <c r="H40" s="26" t="s">
        <v>81</v>
      </c>
      <c r="I40" s="26" t="s">
        <v>81</v>
      </c>
      <c r="J40" s="47" t="s">
        <v>81</v>
      </c>
      <c r="K40" s="1"/>
      <c r="L40" s="1"/>
    </row>
    <row r="41">
      <c r="A41" s="1"/>
      <c r="B41" s="1" t="s">
        <v>126</v>
      </c>
      <c r="C41" s="35">
        <v>222</v>
      </c>
      <c r="D41" s="35">
        <v>169</v>
      </c>
      <c r="E41" s="35">
        <v>199</v>
      </c>
      <c r="F41" s="35">
        <v>179</v>
      </c>
      <c r="G41" s="5">
        <f>SUM(C41:F41)</f>
        <v>769</v>
      </c>
      <c r="H41" s="35">
        <v>163</v>
      </c>
      <c r="I41" s="35">
        <v>154</v>
      </c>
      <c r="J41" s="15">
        <f>J249*1000*J253</f>
        <v>149.38</v>
      </c>
      <c r="K41" s="1" t="s">
        <v>94</v>
      </c>
      <c r="L41" s="1"/>
    </row>
    <row r="42">
      <c r="A42" s="1"/>
      <c r="B42" s="6" t="s">
        <v>84</v>
      </c>
      <c r="C42" s="26"/>
      <c r="D42" s="26"/>
      <c r="E42" s="26"/>
      <c r="F42" s="26"/>
      <c r="G42" s="26"/>
      <c r="H42" s="26">
        <f>IFERROR(IF(OR(C41&lt;=0,H41&lt;0),"n/m",H41/C41-1),"n/m")</f>
        <v>-0.2657657657657657</v>
      </c>
      <c r="I42" s="26">
        <f>IFERROR(IF(OR(D41&lt;=0,I41&lt;0),"n/m",I41/D41-1),"n/m")</f>
        <v>-0.08875739644970415</v>
      </c>
      <c r="J42" s="47">
        <f>IFERROR(IF(OR(E41&lt;=0,J41&lt;0),"n/m",J41/E41-1),"n/m")</f>
        <v>-0.2493467336683417</v>
      </c>
      <c r="K42" s="1"/>
      <c r="L42" s="1"/>
    </row>
    <row r="43">
      <c r="A43" s="1"/>
      <c r="B43" s="6" t="s">
        <v>85</v>
      </c>
      <c r="C43" s="26"/>
      <c r="D43" s="26">
        <f>IFERROR(IF(OR(C41&lt;=0,D41&lt;0),"n/m",D41/C41-1),"n/m")</f>
        <v>-0.23873873873873874</v>
      </c>
      <c r="E43" s="26">
        <f>IFERROR(IF(OR(D41&lt;=0,E41&lt;0),"n/m",E41/D41-1),"n/m")</f>
        <v>0.1775147928994083</v>
      </c>
      <c r="F43" s="26">
        <f>IFERROR(IF(OR(E41&lt;=0,F41&lt;0),"n/m",F41/E41-1),"n/m")</f>
        <v>-0.10050251256281406</v>
      </c>
      <c r="G43" s="26"/>
      <c r="H43" s="26">
        <f>IFERROR(IF(OR(F41&lt;=0,H41&lt;0),"n/m",H41/F41-1),"n/m")</f>
        <v>-0.08938547486033521</v>
      </c>
      <c r="I43" s="26">
        <f>IFERROR(IF(OR(H41&lt;=0,I41&lt;0),"n/m",I41/H41-1),"n/m")</f>
        <v>-0.05521472392638038</v>
      </c>
      <c r="J43" s="47">
        <f>IFERROR(IF(OR(I41&lt;=0,J41&lt;0),"n/m",J41/I41-1),"n/m")</f>
        <v>-0.030000000000000027</v>
      </c>
      <c r="K43" s="1"/>
      <c r="L43" s="1"/>
    </row>
    <row r="44">
      <c r="A44" s="1"/>
      <c r="B44" s="6" t="s">
        <v>86</v>
      </c>
      <c r="C44" s="26"/>
      <c r="D44" s="26"/>
      <c r="E44" s="26"/>
      <c r="F44" s="26"/>
      <c r="G44" s="26"/>
      <c r="H44" s="26" t="s">
        <v>78</v>
      </c>
      <c r="I44" s="26" t="s">
        <v>78</v>
      </c>
      <c r="J44" s="47" t="s">
        <v>78</v>
      </c>
      <c r="K44" s="1"/>
      <c r="L44" s="1"/>
    </row>
    <row r="45">
      <c r="A45" s="1"/>
      <c r="B45" s="6" t="s">
        <v>87</v>
      </c>
      <c r="C45" s="26"/>
      <c r="D45" s="26"/>
      <c r="E45" s="26"/>
      <c r="F45" s="26"/>
      <c r="G45" s="26"/>
      <c r="H45" s="26" t="s">
        <v>78</v>
      </c>
      <c r="I45" s="26" t="s">
        <v>78</v>
      </c>
      <c r="J45" s="47" t="s">
        <v>78</v>
      </c>
      <c r="K45" s="1"/>
      <c r="L45" s="1"/>
    </row>
    <row r="46">
      <c r="A46" s="1"/>
      <c r="B46" s="6" t="s">
        <v>88</v>
      </c>
      <c r="C46" s="26"/>
      <c r="D46" s="26"/>
      <c r="E46" s="26"/>
      <c r="F46" s="26"/>
      <c r="G46" s="26"/>
      <c r="H46" s="26" t="s">
        <v>81</v>
      </c>
      <c r="I46" s="26" t="s">
        <v>81</v>
      </c>
      <c r="J46" s="47" t="s">
        <v>81</v>
      </c>
      <c r="K46" s="1"/>
      <c r="L46" s="1"/>
    </row>
    <row r="47">
      <c r="A47" s="1"/>
      <c r="B47" s="1" t="s">
        <v>127</v>
      </c>
      <c r="C47" s="35">
        <v>140</v>
      </c>
      <c r="D47" s="35">
        <v>109</v>
      </c>
      <c r="E47" s="35">
        <v>103</v>
      </c>
      <c r="F47" s="35">
        <v>118</v>
      </c>
      <c r="G47" s="5">
        <f>SUM(C47:F47)</f>
        <v>470</v>
      </c>
      <c r="H47" s="35">
        <v>121</v>
      </c>
      <c r="I47" s="35">
        <v>106</v>
      </c>
      <c r="J47" s="38">
        <v>110</v>
      </c>
      <c r="K47" s="1" t="s">
        <v>94</v>
      </c>
      <c r="L47" s="1"/>
    </row>
    <row r="48">
      <c r="A48" s="1"/>
      <c r="B48" s="6" t="s">
        <v>84</v>
      </c>
      <c r="C48" s="26"/>
      <c r="D48" s="26"/>
      <c r="E48" s="26"/>
      <c r="F48" s="26"/>
      <c r="G48" s="26"/>
      <c r="H48" s="26">
        <f>IFERROR(IF(OR(C47&lt;=0,H47&lt;0),"n/m",H47/C47-1),"n/m")</f>
        <v>-0.13571428571428568</v>
      </c>
      <c r="I48" s="26">
        <f>IFERROR(IF(OR(D47&lt;=0,I47&lt;0),"n/m",I47/D47-1),"n/m")</f>
        <v>-0.02752293577981646</v>
      </c>
      <c r="J48" s="47">
        <f>IFERROR(IF(OR(E47&lt;=0,J47&lt;0),"n/m",J47/E47-1),"n/m")</f>
        <v>0.06796116504854366</v>
      </c>
      <c r="K48" s="1"/>
      <c r="L48" s="1"/>
    </row>
    <row r="49">
      <c r="A49" s="1"/>
      <c r="B49" s="6" t="s">
        <v>85</v>
      </c>
      <c r="C49" s="26"/>
      <c r="D49" s="26">
        <f>IFERROR(IF(OR(C47&lt;=0,D47&lt;0),"n/m",D47/C47-1),"n/m")</f>
        <v>-0.22142857142857142</v>
      </c>
      <c r="E49" s="26">
        <f>IFERROR(IF(OR(D47&lt;=0,E47&lt;0),"n/m",E47/D47-1),"n/m")</f>
        <v>-0.05504587155963303</v>
      </c>
      <c r="F49" s="26">
        <f>IFERROR(IF(OR(E47&lt;=0,F47&lt;0),"n/m",F47/E47-1),"n/m")</f>
        <v>0.14563106796116498</v>
      </c>
      <c r="G49" s="26"/>
      <c r="H49" s="26">
        <f>IFERROR(IF(OR(F47&lt;=0,H47&lt;0),"n/m",H47/F47-1),"n/m")</f>
        <v>0.025423728813559254</v>
      </c>
      <c r="I49" s="26">
        <f>IFERROR(IF(OR(H47&lt;=0,I47&lt;0),"n/m",I47/H47-1),"n/m")</f>
        <v>-0.12396694214876036</v>
      </c>
      <c r="J49" s="47">
        <f>IFERROR(IF(OR(I47&lt;=0,J47&lt;0),"n/m",J47/I47-1),"n/m")</f>
        <v>0.037735849056603765</v>
      </c>
      <c r="K49" s="1"/>
      <c r="L49" s="1"/>
    </row>
    <row r="50">
      <c r="A50" s="1"/>
      <c r="B50" s="6" t="s">
        <v>86</v>
      </c>
      <c r="C50" s="26"/>
      <c r="D50" s="26"/>
      <c r="E50" s="26"/>
      <c r="F50" s="26"/>
      <c r="G50" s="26"/>
      <c r="H50" s="26" t="s">
        <v>78</v>
      </c>
      <c r="I50" s="26" t="s">
        <v>78</v>
      </c>
      <c r="J50" s="47" t="s">
        <v>78</v>
      </c>
      <c r="K50" s="1"/>
      <c r="L50" s="1"/>
    </row>
    <row r="51">
      <c r="A51" s="1"/>
      <c r="B51" s="6" t="s">
        <v>87</v>
      </c>
      <c r="C51" s="26"/>
      <c r="D51" s="26"/>
      <c r="E51" s="26"/>
      <c r="F51" s="26"/>
      <c r="G51" s="26"/>
      <c r="H51" s="26" t="s">
        <v>78</v>
      </c>
      <c r="I51" s="26" t="s">
        <v>78</v>
      </c>
      <c r="J51" s="47" t="s">
        <v>78</v>
      </c>
      <c r="K51" s="1"/>
      <c r="L51" s="1"/>
    </row>
    <row r="52">
      <c r="A52" s="1"/>
      <c r="B52" s="6" t="s">
        <v>88</v>
      </c>
      <c r="C52" s="26"/>
      <c r="D52" s="26"/>
      <c r="E52" s="26"/>
      <c r="F52" s="26"/>
      <c r="G52" s="26"/>
      <c r="H52" s="26" t="s">
        <v>81</v>
      </c>
      <c r="I52" s="26" t="s">
        <v>81</v>
      </c>
      <c r="J52" s="47" t="s">
        <v>81</v>
      </c>
      <c r="K52" s="1"/>
      <c r="L52" s="1"/>
    </row>
    <row r="53">
      <c r="A53" s="1"/>
      <c r="B53" s="9" t="s">
        <v>128</v>
      </c>
      <c r="C53" s="17">
        <f>C16+C22+C28+C35+C41+C47</f>
        <v>2344</v>
      </c>
      <c r="D53" s="17">
        <f>D16+D22+D28+D35+D41+D47</f>
        <v>2383</v>
      </c>
      <c r="E53" s="17">
        <f>E16+E22+E28+E35+E41+E47</f>
        <v>2544</v>
      </c>
      <c r="F53" s="17">
        <f>F16+F22+F28+F35+F41+F47</f>
        <v>2449</v>
      </c>
      <c r="G53" s="17">
        <f>G16+G22+G28+G35+G41+G47</f>
        <v>9720</v>
      </c>
      <c r="H53" s="17">
        <f>H16+H22+H28+H35+H41+H47</f>
        <v>2447</v>
      </c>
      <c r="I53" s="17">
        <f>I16+I22+I28+I35+I41+I47</f>
        <v>2546</v>
      </c>
      <c r="J53" s="42">
        <f>J16+J22+J28+J35+J41+J47</f>
        <v>2597.0054457152764</v>
      </c>
      <c r="K53" s="1"/>
      <c r="L53" s="1"/>
    </row>
    <row r="54">
      <c r="A54" s="1"/>
      <c r="B54" s="6" t="s">
        <v>75</v>
      </c>
      <c r="C54" s="26"/>
      <c r="D54" s="26"/>
      <c r="E54" s="26"/>
      <c r="F54" s="26"/>
      <c r="G54" s="26"/>
      <c r="H54" s="26">
        <f>IFERROR(IF(OR(C53&lt;=0,H53&lt;0),"n/m",H53/C53-1),"n/m")</f>
        <v>0.04394197952218426</v>
      </c>
      <c r="I54" s="26">
        <f>IFERROR(IF(OR(D53&lt;=0,I53&lt;0),"n/m",I53/D53-1),"n/m")</f>
        <v>0.06840117498950904</v>
      </c>
      <c r="J54" s="47">
        <f>IFERROR(IF(OR(E53&lt;=0,J53&lt;0),"n/m",J53/E53-1),"n/m")</f>
        <v>0.020835473944684102</v>
      </c>
      <c r="K54" s="1"/>
      <c r="L54" s="1"/>
    </row>
    <row r="55">
      <c r="A55" s="1"/>
      <c r="B55" s="6" t="s">
        <v>76</v>
      </c>
      <c r="C55" s="26"/>
      <c r="D55" s="26">
        <f>IFERROR(IF(OR(C53&lt;=0,D53&lt;0),"n/m",D53/C53-1),"n/m")</f>
        <v>0.016638225255972694</v>
      </c>
      <c r="E55" s="26">
        <f>IFERROR(IF(OR(D53&lt;=0,E53&lt;0),"n/m",E53/D53-1),"n/m")</f>
        <v>0.06756189676877877</v>
      </c>
      <c r="F55" s="26">
        <f>IFERROR(IF(OR(E53&lt;=0,F53&lt;0),"n/m",F53/E53-1),"n/m")</f>
        <v>-0.03734276729559749</v>
      </c>
      <c r="G55" s="26"/>
      <c r="H55" s="26">
        <f>IFERROR(IF(OR(F53&lt;=0,H53&lt;0),"n/m",H53/F53-1),"n/m")</f>
        <v>-0.0008166598611678566</v>
      </c>
      <c r="I55" s="26">
        <f>IFERROR(IF(OR(H53&lt;=0,I53&lt;0),"n/m",I53/H53-1),"n/m")</f>
        <v>0.04045770331017562</v>
      </c>
      <c r="J55" s="47">
        <f>IFERROR(IF(OR(I53&lt;=0,J53&lt;0),"n/m",J53/I53-1),"n/m")</f>
        <v>0.020033560767979797</v>
      </c>
      <c r="K55" s="1"/>
      <c r="L55" s="1"/>
    </row>
    <row r="56">
      <c r="A56" s="1"/>
      <c r="B56" s="6" t="s">
        <v>77</v>
      </c>
      <c r="C56" s="26"/>
      <c r="D56" s="26"/>
      <c r="E56" s="26"/>
      <c r="F56" s="26"/>
      <c r="G56" s="26"/>
      <c r="H56" s="26" t="s">
        <v>78</v>
      </c>
      <c r="I56" s="26" t="s">
        <v>78</v>
      </c>
      <c r="J56" s="47" t="s">
        <v>78</v>
      </c>
      <c r="K56" s="1"/>
      <c r="L56" s="1"/>
    </row>
    <row r="57">
      <c r="A57" s="1"/>
      <c r="B57" s="6" t="s">
        <v>79</v>
      </c>
      <c r="C57" s="26"/>
      <c r="D57" s="26"/>
      <c r="E57" s="26"/>
      <c r="F57" s="26"/>
      <c r="G57" s="26"/>
      <c r="H57" s="26" t="s">
        <v>78</v>
      </c>
      <c r="I57" s="26" t="s">
        <v>78</v>
      </c>
      <c r="J57" s="47" t="s">
        <v>78</v>
      </c>
      <c r="K57" s="1"/>
      <c r="L57" s="1"/>
    </row>
    <row r="58">
      <c r="A58" s="1"/>
      <c r="B58" s="6" t="s">
        <v>80</v>
      </c>
      <c r="C58" s="26"/>
      <c r="D58" s="26"/>
      <c r="E58" s="26"/>
      <c r="F58" s="26"/>
      <c r="G58" s="26"/>
      <c r="H58" s="26" t="s">
        <v>81</v>
      </c>
      <c r="I58" s="26" t="s">
        <v>81</v>
      </c>
      <c r="J58" s="47" t="s">
        <v>81</v>
      </c>
      <c r="K58" s="1"/>
      <c r="L58" s="1"/>
    </row>
    <row r="59">
      <c r="A59" s="1"/>
      <c r="B59" s="9" t="s">
        <v>74</v>
      </c>
      <c r="C59" s="17">
        <f>C10+C53</f>
        <v>9383</v>
      </c>
      <c r="D59" s="17">
        <f>D10+D53</f>
        <v>9688</v>
      </c>
      <c r="E59" s="17">
        <f>E10+E53</f>
        <v>10172</v>
      </c>
      <c r="F59" s="17">
        <f>F10+F53</f>
        <v>10110</v>
      </c>
      <c r="G59" s="17">
        <f>G10+G53</f>
        <v>39353</v>
      </c>
      <c r="H59" s="17">
        <f>H10+H53</f>
        <v>9998</v>
      </c>
      <c r="I59" s="17">
        <f>I10+I53</f>
        <v>10288</v>
      </c>
      <c r="J59" s="42">
        <f>J10+J53</f>
        <v>10466.693721871121</v>
      </c>
      <c r="K59" s="1"/>
      <c r="L59" s="1"/>
    </row>
    <row r="60">
      <c r="A60" s="1"/>
      <c r="B60" s="6" t="s">
        <v>75</v>
      </c>
      <c r="C60" s="26"/>
      <c r="D60" s="26"/>
      <c r="E60" s="26"/>
      <c r="F60" s="26"/>
      <c r="G60" s="26"/>
      <c r="H60" s="26">
        <f>IFERROR(IF(OR(C59&lt;=0,H59&lt;0),"n/m",H59/C59-1),"n/m")</f>
        <v>0.0655440690610678</v>
      </c>
      <c r="I60" s="26">
        <f>IFERROR(IF(OR(D59&lt;=0,I59&lt;0),"n/m",I59/D59-1),"n/m")</f>
        <v>0.061932287365813465</v>
      </c>
      <c r="J60" s="47">
        <f>IFERROR(IF(OR(E59&lt;=0,J59&lt;0),"n/m",J59/E59-1),"n/m")</f>
        <v>0.028971069786779546</v>
      </c>
      <c r="K60" s="1"/>
      <c r="L60" s="1"/>
    </row>
    <row r="61">
      <c r="A61" s="1"/>
      <c r="B61" s="6" t="s">
        <v>76</v>
      </c>
      <c r="C61" s="26"/>
      <c r="D61" s="26">
        <f>IFERROR(IF(OR(C59&lt;=0,D59&lt;0),"n/m",D59/C59-1),"n/m")</f>
        <v>0.032505595225407635</v>
      </c>
      <c r="E61" s="26">
        <f>IFERROR(IF(OR(D59&lt;=0,E59&lt;0),"n/m",E59/D59-1),"n/m")</f>
        <v>0.04995871180842282</v>
      </c>
      <c r="F61" s="26">
        <f>IFERROR(IF(OR(E59&lt;=0,F59&lt;0),"n/m",F59/E59-1),"n/m")</f>
        <v>-0.006095163193079012</v>
      </c>
      <c r="G61" s="26"/>
      <c r="H61" s="26">
        <f>IFERROR(IF(OR(F59&lt;=0,H59&lt;0),"n/m",H59/F59-1),"n/m")</f>
        <v>-0.011078140454995</v>
      </c>
      <c r="I61" s="26">
        <f>IFERROR(IF(OR(H59&lt;=0,I59&lt;0),"n/m",I59/H59-1),"n/m")</f>
        <v>0.029005801160232103</v>
      </c>
      <c r="J61" s="47">
        <f>IFERROR(IF(OR(I59&lt;=0,J59&lt;0),"n/m",J59/I59-1),"n/m")</f>
        <v>0.017369140928374938</v>
      </c>
      <c r="K61" s="1"/>
      <c r="L61" s="1"/>
    </row>
    <row r="62">
      <c r="A62" s="1"/>
      <c r="B62" s="6" t="s">
        <v>77</v>
      </c>
      <c r="C62" s="26"/>
      <c r="D62" s="26"/>
      <c r="E62" s="26"/>
      <c r="F62" s="26"/>
      <c r="G62" s="26"/>
      <c r="H62" s="26" t="s">
        <v>78</v>
      </c>
      <c r="I62" s="26" t="s">
        <v>78</v>
      </c>
      <c r="J62" s="47" t="s">
        <v>78</v>
      </c>
      <c r="K62" s="1"/>
      <c r="L62" s="1"/>
    </row>
    <row r="63">
      <c r="A63" s="1"/>
      <c r="B63" s="6" t="s">
        <v>79</v>
      </c>
      <c r="C63" s="26"/>
      <c r="D63" s="26"/>
      <c r="E63" s="26"/>
      <c r="F63" s="26"/>
      <c r="G63" s="26"/>
      <c r="H63" s="26" t="s">
        <v>78</v>
      </c>
      <c r="I63" s="26" t="s">
        <v>78</v>
      </c>
      <c r="J63" s="47" t="s">
        <v>78</v>
      </c>
      <c r="K63" s="1"/>
      <c r="L63" s="1"/>
    </row>
    <row r="64">
      <c r="A64" s="1"/>
      <c r="B64" s="6" t="s">
        <v>80</v>
      </c>
      <c r="C64" s="26"/>
      <c r="D64" s="26"/>
      <c r="E64" s="26"/>
      <c r="F64" s="26"/>
      <c r="G64" s="26"/>
      <c r="H64" s="26" t="s">
        <v>81</v>
      </c>
      <c r="I64" s="26" t="s">
        <v>81</v>
      </c>
      <c r="J64" s="47" t="s">
        <v>81</v>
      </c>
      <c r="K64" s="1"/>
      <c r="L64" s="1"/>
    </row>
    <row r="65">
      <c r="A65" s="1"/>
      <c r="B65" s="1"/>
      <c r="C65" s="13"/>
      <c r="D65" s="13"/>
      <c r="E65" s="13"/>
      <c r="F65" s="13"/>
      <c r="G65" s="13"/>
      <c r="H65" s="13"/>
      <c r="I65" s="13"/>
      <c r="J65" s="27"/>
      <c r="K65" s="1"/>
      <c r="L65" s="1"/>
    </row>
    <row r="66">
      <c r="A66" s="1"/>
      <c r="B66" s="9" t="s">
        <v>129</v>
      </c>
      <c r="C66" s="25"/>
      <c r="D66" s="25"/>
      <c r="E66" s="25"/>
      <c r="F66" s="25"/>
      <c r="G66" s="25"/>
      <c r="H66" s="25"/>
      <c r="I66" s="25"/>
      <c r="J66" s="37"/>
      <c r="K66" s="1"/>
      <c r="L66" s="1"/>
    </row>
    <row r="67">
      <c r="A67" s="1"/>
      <c r="B67" s="1" t="s">
        <v>130</v>
      </c>
      <c r="C67" s="35">
        <v>1524</v>
      </c>
      <c r="D67" s="35">
        <v>1588</v>
      </c>
      <c r="E67" s="35">
        <v>1663</v>
      </c>
      <c r="F67" s="35">
        <v>1600</v>
      </c>
      <c r="G67" s="5">
        <f>SUM(C67:F67)</f>
        <v>6375</v>
      </c>
      <c r="H67" s="35">
        <v>1595</v>
      </c>
      <c r="I67" s="35">
        <v>1614</v>
      </c>
      <c r="J67" s="15">
        <f>J105*J140*J9/365</f>
        <v>1656.2123076923076</v>
      </c>
      <c r="K67" s="1" t="s">
        <v>94</v>
      </c>
      <c r="L67" s="1"/>
    </row>
    <row r="68">
      <c r="A68" s="1"/>
      <c r="B68" s="6" t="s">
        <v>84</v>
      </c>
      <c r="C68" s="26"/>
      <c r="D68" s="26"/>
      <c r="E68" s="26"/>
      <c r="F68" s="26"/>
      <c r="G68" s="26"/>
      <c r="H68" s="26">
        <f>IFERROR(IF(OR(C67&lt;=0,H67&lt;0),"n/m",H67/C67-1),"n/m")</f>
        <v>0.04658792650918642</v>
      </c>
      <c r="I68" s="26">
        <f>IFERROR(IF(OR(D67&lt;=0,I67&lt;0),"n/m",I67/D67-1),"n/m")</f>
        <v>0.016372795969773257</v>
      </c>
      <c r="J68" s="47">
        <f>IFERROR(IF(OR(E67&lt;=0,J67&lt;0),"n/m",J67/E67-1),"n/m")</f>
        <v>-0.004081594893380891</v>
      </c>
      <c r="K68" s="1"/>
      <c r="L68" s="1"/>
    </row>
    <row r="69">
      <c r="A69" s="1"/>
      <c r="B69" s="6" t="s">
        <v>85</v>
      </c>
      <c r="C69" s="26"/>
      <c r="D69" s="26">
        <f>IFERROR(IF(OR(C67&lt;=0,D67&lt;0),"n/m",D67/C67-1),"n/m")</f>
        <v>0.04199475065616798</v>
      </c>
      <c r="E69" s="26">
        <f>IFERROR(IF(OR(D67&lt;=0,E67&lt;0),"n/m",E67/D67-1),"n/m")</f>
        <v>0.047229219143576806</v>
      </c>
      <c r="F69" s="26">
        <f>IFERROR(IF(OR(E67&lt;=0,F67&lt;0),"n/m",F67/E67-1),"n/m")</f>
        <v>-0.03788334335538179</v>
      </c>
      <c r="G69" s="26"/>
      <c r="H69" s="26">
        <f>IFERROR(IF(OR(F67&lt;=0,H67&lt;0),"n/m",H67/F67-1),"n/m")</f>
        <v>-0.0031250000000000444</v>
      </c>
      <c r="I69" s="26">
        <f>IFERROR(IF(OR(H67&lt;=0,I67&lt;0),"n/m",I67/H67-1),"n/m")</f>
        <v>0.011912225705329238</v>
      </c>
      <c r="J69" s="47">
        <f>IFERROR(IF(OR(I67&lt;=0,J67&lt;0),"n/m",J67/I67-1),"n/m")</f>
        <v>0.026153846153846194</v>
      </c>
      <c r="K69" s="1"/>
      <c r="L69" s="1"/>
    </row>
    <row r="70">
      <c r="A70" s="1"/>
      <c r="B70" s="6" t="s">
        <v>86</v>
      </c>
      <c r="C70" s="26"/>
      <c r="D70" s="26"/>
      <c r="E70" s="26"/>
      <c r="F70" s="26"/>
      <c r="G70" s="26"/>
      <c r="H70" s="26" t="s">
        <v>78</v>
      </c>
      <c r="I70" s="26" t="s">
        <v>78</v>
      </c>
      <c r="J70" s="47" t="s">
        <v>78</v>
      </c>
      <c r="K70" s="1"/>
      <c r="L70" s="1"/>
    </row>
    <row r="71">
      <c r="A71" s="1"/>
      <c r="B71" s="6" t="s">
        <v>87</v>
      </c>
      <c r="C71" s="26"/>
      <c r="D71" s="26"/>
      <c r="E71" s="26"/>
      <c r="F71" s="26"/>
      <c r="G71" s="26"/>
      <c r="H71" s="26" t="s">
        <v>78</v>
      </c>
      <c r="I71" s="26" t="s">
        <v>78</v>
      </c>
      <c r="J71" s="47" t="s">
        <v>78</v>
      </c>
      <c r="K71" s="1"/>
      <c r="L71" s="1"/>
    </row>
    <row r="72">
      <c r="A72" s="1"/>
      <c r="B72" s="6" t="s">
        <v>88</v>
      </c>
      <c r="C72" s="26"/>
      <c r="D72" s="26"/>
      <c r="E72" s="26"/>
      <c r="F72" s="26"/>
      <c r="G72" s="26"/>
      <c r="H72" s="26" t="s">
        <v>81</v>
      </c>
      <c r="I72" s="26" t="s">
        <v>81</v>
      </c>
      <c r="J72" s="47" t="s">
        <v>81</v>
      </c>
      <c r="K72" s="1"/>
      <c r="L72" s="1"/>
    </row>
    <row r="73">
      <c r="A73" s="1"/>
      <c r="B73" s="1" t="s">
        <v>131</v>
      </c>
      <c r="C73" s="35">
        <v>866</v>
      </c>
      <c r="D73" s="35">
        <v>821</v>
      </c>
      <c r="E73" s="35">
        <v>870</v>
      </c>
      <c r="F73" s="35">
        <v>807</v>
      </c>
      <c r="G73" s="5">
        <f>SUM(C73:F73)</f>
        <v>3364</v>
      </c>
      <c r="H73" s="35">
        <v>787</v>
      </c>
      <c r="I73" s="35">
        <v>762</v>
      </c>
      <c r="J73" s="15">
        <f>J109*J143*J9/365</f>
        <v>766.5217582417582</v>
      </c>
      <c r="K73" s="1" t="s">
        <v>94</v>
      </c>
      <c r="L73" s="1"/>
    </row>
    <row r="74">
      <c r="A74" s="1"/>
      <c r="B74" s="6" t="s">
        <v>84</v>
      </c>
      <c r="C74" s="26"/>
      <c r="D74" s="26"/>
      <c r="E74" s="26"/>
      <c r="F74" s="26"/>
      <c r="G74" s="26"/>
      <c r="H74" s="26">
        <f>IFERROR(IF(OR(C73&lt;=0,H73&lt;0),"n/m",H73/C73-1),"n/m")</f>
        <v>-0.09122401847575057</v>
      </c>
      <c r="I74" s="26">
        <f>IFERROR(IF(OR(D73&lt;=0,I73&lt;0),"n/m",I73/D73-1),"n/m")</f>
        <v>-0.07186358099878198</v>
      </c>
      <c r="J74" s="47">
        <f>IFERROR(IF(OR(E73&lt;=0,J73&lt;0),"n/m",J73/E73-1),"n/m")</f>
        <v>-0.11894050776809395</v>
      </c>
      <c r="K74" s="1"/>
      <c r="L74" s="1"/>
    </row>
    <row r="75">
      <c r="A75" s="1"/>
      <c r="B75" s="6" t="s">
        <v>85</v>
      </c>
      <c r="C75" s="26"/>
      <c r="D75" s="26">
        <f>IFERROR(IF(OR(C73&lt;=0,D73&lt;0),"n/m",D73/C73-1),"n/m")</f>
        <v>-0.051963048498845255</v>
      </c>
      <c r="E75" s="26">
        <f>IFERROR(IF(OR(D73&lt;=0,E73&lt;0),"n/m",E73/D73-1),"n/m")</f>
        <v>0.05968331303288665</v>
      </c>
      <c r="F75" s="26">
        <f>IFERROR(IF(OR(E73&lt;=0,F73&lt;0),"n/m",F73/E73-1),"n/m")</f>
        <v>-0.07241379310344831</v>
      </c>
      <c r="G75" s="26"/>
      <c r="H75" s="26">
        <f>IFERROR(IF(OR(F73&lt;=0,H73&lt;0),"n/m",H73/F73-1),"n/m")</f>
        <v>-0.024783147459727428</v>
      </c>
      <c r="I75" s="26">
        <f>IFERROR(IF(OR(H73&lt;=0,I73&lt;0),"n/m",I73/H73-1),"n/m")</f>
        <v>-0.031766200762388785</v>
      </c>
      <c r="J75" s="47">
        <f>IFERROR(IF(OR(I73&lt;=0,J73&lt;0),"n/m",J73/I73-1),"n/m")</f>
        <v>0.005934065934065869</v>
      </c>
      <c r="K75" s="1"/>
      <c r="L75" s="1"/>
    </row>
    <row r="76">
      <c r="A76" s="1"/>
      <c r="B76" s="6" t="s">
        <v>86</v>
      </c>
      <c r="C76" s="26"/>
      <c r="D76" s="26"/>
      <c r="E76" s="26"/>
      <c r="F76" s="26"/>
      <c r="G76" s="26"/>
      <c r="H76" s="26" t="s">
        <v>78</v>
      </c>
      <c r="I76" s="26" t="s">
        <v>78</v>
      </c>
      <c r="J76" s="47" t="s">
        <v>78</v>
      </c>
      <c r="K76" s="1"/>
      <c r="L76" s="1"/>
    </row>
    <row r="77">
      <c r="A77" s="1"/>
      <c r="B77" s="6" t="s">
        <v>87</v>
      </c>
      <c r="C77" s="26"/>
      <c r="D77" s="26"/>
      <c r="E77" s="26"/>
      <c r="F77" s="26"/>
      <c r="G77" s="26"/>
      <c r="H77" s="26" t="s">
        <v>78</v>
      </c>
      <c r="I77" s="26" t="s">
        <v>78</v>
      </c>
      <c r="J77" s="47" t="s">
        <v>78</v>
      </c>
      <c r="K77" s="1"/>
      <c r="L77" s="1"/>
    </row>
    <row r="78">
      <c r="A78" s="1"/>
      <c r="B78" s="6" t="s">
        <v>88</v>
      </c>
      <c r="C78" s="26"/>
      <c r="D78" s="26"/>
      <c r="E78" s="26"/>
      <c r="F78" s="26"/>
      <c r="G78" s="26"/>
      <c r="H78" s="26" t="s">
        <v>81</v>
      </c>
      <c r="I78" s="26" t="s">
        <v>81</v>
      </c>
      <c r="J78" s="47" t="s">
        <v>81</v>
      </c>
      <c r="K78" s="1"/>
      <c r="L78" s="1"/>
    </row>
    <row r="79">
      <c r="A79" s="1"/>
      <c r="B79" s="1" t="s">
        <v>132</v>
      </c>
      <c r="C79" s="35">
        <v>237</v>
      </c>
      <c r="D79" s="35">
        <v>241</v>
      </c>
      <c r="E79" s="35">
        <v>256</v>
      </c>
      <c r="F79" s="35">
        <v>282</v>
      </c>
      <c r="G79" s="5">
        <f>SUM(C79:F79)</f>
        <v>1016</v>
      </c>
      <c r="H79" s="35">
        <v>295</v>
      </c>
      <c r="I79" s="35">
        <v>320</v>
      </c>
      <c r="J79" s="15">
        <f>J113*J146*J9/365</f>
        <v>336.4571428571428</v>
      </c>
      <c r="K79" s="1" t="s">
        <v>94</v>
      </c>
      <c r="L79" s="1"/>
    </row>
    <row r="80">
      <c r="A80" s="1"/>
      <c r="B80" s="6" t="s">
        <v>84</v>
      </c>
      <c r="C80" s="26"/>
      <c r="D80" s="26"/>
      <c r="E80" s="26"/>
      <c r="F80" s="26"/>
      <c r="G80" s="26"/>
      <c r="H80" s="26">
        <f>IFERROR(IF(OR(C79&lt;=0,H79&lt;0),"n/m",H79/C79-1),"n/m")</f>
        <v>0.24472573839662437</v>
      </c>
      <c r="I80" s="26">
        <f>IFERROR(IF(OR(D79&lt;=0,I79&lt;0),"n/m",I79/D79-1),"n/m")</f>
        <v>0.3278008298755186</v>
      </c>
      <c r="J80" s="47">
        <f>IFERROR(IF(OR(E79&lt;=0,J79&lt;0),"n/m",J79/E79-1),"n/m")</f>
        <v>0.31428571428571406</v>
      </c>
      <c r="K80" s="1"/>
      <c r="L80" s="1"/>
    </row>
    <row r="81">
      <c r="A81" s="1"/>
      <c r="B81" s="6" t="s">
        <v>85</v>
      </c>
      <c r="C81" s="26"/>
      <c r="D81" s="26">
        <f>IFERROR(IF(OR(C79&lt;=0,D79&lt;0),"n/m",D79/C79-1),"n/m")</f>
        <v>0.016877637130801704</v>
      </c>
      <c r="E81" s="26">
        <f>IFERROR(IF(OR(D79&lt;=0,E79&lt;0),"n/m",E79/D79-1),"n/m")</f>
        <v>0.06224066390041494</v>
      </c>
      <c r="F81" s="26">
        <f>IFERROR(IF(OR(E79&lt;=0,F79&lt;0),"n/m",F79/E79-1),"n/m")</f>
        <v>0.1015625</v>
      </c>
      <c r="G81" s="26"/>
      <c r="H81" s="26">
        <f>IFERROR(IF(OR(F79&lt;=0,H79&lt;0),"n/m",H79/F79-1),"n/m")</f>
        <v>0.046099290780141855</v>
      </c>
      <c r="I81" s="26">
        <f>IFERROR(IF(OR(H79&lt;=0,I79&lt;0),"n/m",I79/H79-1),"n/m")</f>
        <v>0.0847457627118644</v>
      </c>
      <c r="J81" s="47">
        <f>IFERROR(IF(OR(I79&lt;=0,J79&lt;0),"n/m",J79/I79-1),"n/m")</f>
        <v>0.05142857142857116</v>
      </c>
      <c r="K81" s="1"/>
      <c r="L81" s="1"/>
    </row>
    <row r="82">
      <c r="A82" s="1"/>
      <c r="B82" s="6" t="s">
        <v>86</v>
      </c>
      <c r="C82" s="26"/>
      <c r="D82" s="26"/>
      <c r="E82" s="26"/>
      <c r="F82" s="26"/>
      <c r="G82" s="26"/>
      <c r="H82" s="26" t="s">
        <v>78</v>
      </c>
      <c r="I82" s="26" t="s">
        <v>78</v>
      </c>
      <c r="J82" s="47" t="s">
        <v>78</v>
      </c>
      <c r="K82" s="1"/>
      <c r="L82" s="1"/>
    </row>
    <row r="83">
      <c r="A83" s="1"/>
      <c r="B83" s="6" t="s">
        <v>87</v>
      </c>
      <c r="C83" s="26"/>
      <c r="D83" s="26"/>
      <c r="E83" s="26"/>
      <c r="F83" s="26"/>
      <c r="G83" s="26"/>
      <c r="H83" s="26" t="s">
        <v>78</v>
      </c>
      <c r="I83" s="26" t="s">
        <v>78</v>
      </c>
      <c r="J83" s="47" t="s">
        <v>78</v>
      </c>
      <c r="K83" s="1"/>
      <c r="L83" s="1"/>
    </row>
    <row r="84">
      <c r="A84" s="1"/>
      <c r="B84" s="6" t="s">
        <v>88</v>
      </c>
      <c r="C84" s="26"/>
      <c r="D84" s="26"/>
      <c r="E84" s="26"/>
      <c r="F84" s="26"/>
      <c r="G84" s="26"/>
      <c r="H84" s="26" t="s">
        <v>81</v>
      </c>
      <c r="I84" s="26" t="s">
        <v>81</v>
      </c>
      <c r="J84" s="47" t="s">
        <v>81</v>
      </c>
      <c r="K84" s="1"/>
      <c r="L84" s="1"/>
    </row>
    <row r="85">
      <c r="A85" s="1"/>
      <c r="B85" s="1" t="s">
        <v>133</v>
      </c>
      <c r="C85" s="35">
        <v>305</v>
      </c>
      <c r="D85" s="35">
        <v>290</v>
      </c>
      <c r="E85" s="35">
        <v>294</v>
      </c>
      <c r="F85" s="35">
        <v>291</v>
      </c>
      <c r="G85" s="5">
        <f>SUM(C85:F85)</f>
        <v>1180</v>
      </c>
      <c r="H85" s="35">
        <v>302</v>
      </c>
      <c r="I85" s="35">
        <v>284</v>
      </c>
      <c r="J85" s="15">
        <f>J117*J149*J9/365</f>
        <v>287.12087912087907</v>
      </c>
      <c r="K85" s="1" t="s">
        <v>94</v>
      </c>
      <c r="L85" s="1"/>
    </row>
    <row r="86">
      <c r="A86" s="1"/>
      <c r="B86" s="6" t="s">
        <v>84</v>
      </c>
      <c r="C86" s="26"/>
      <c r="D86" s="26"/>
      <c r="E86" s="26"/>
      <c r="F86" s="26"/>
      <c r="G86" s="26"/>
      <c r="H86" s="26">
        <f>IFERROR(IF(OR(C85&lt;=0,H85&lt;0),"n/m",H85/C85-1),"n/m")</f>
        <v>-0.00983606557377048</v>
      </c>
      <c r="I86" s="26">
        <f>IFERROR(IF(OR(D85&lt;=0,I85&lt;0),"n/m",I85/D85-1),"n/m")</f>
        <v>-0.020689655172413834</v>
      </c>
      <c r="J86" s="47">
        <f>IFERROR(IF(OR(E85&lt;=0,J85&lt;0),"n/m",J85/E85-1),"n/m")</f>
        <v>-0.02339837033714598</v>
      </c>
      <c r="K86" s="1"/>
      <c r="L86" s="1"/>
    </row>
    <row r="87">
      <c r="A87" s="1"/>
      <c r="B87" s="6" t="s">
        <v>85</v>
      </c>
      <c r="C87" s="26"/>
      <c r="D87" s="26">
        <f>IFERROR(IF(OR(C85&lt;=0,D85&lt;0),"n/m",D85/C85-1),"n/m")</f>
        <v>-0.049180327868852514</v>
      </c>
      <c r="E87" s="26">
        <f>IFERROR(IF(OR(D85&lt;=0,E85&lt;0),"n/m",E85/D85-1),"n/m")</f>
        <v>0.01379310344827589</v>
      </c>
      <c r="F87" s="26">
        <f>IFERROR(IF(OR(E85&lt;=0,F85&lt;0),"n/m",F85/E85-1),"n/m")</f>
        <v>-0.010204081632653073</v>
      </c>
      <c r="G87" s="26"/>
      <c r="H87" s="26">
        <f>IFERROR(IF(OR(F85&lt;=0,H85&lt;0),"n/m",H85/F85-1),"n/m")</f>
        <v>0.037800687285223455</v>
      </c>
      <c r="I87" s="26">
        <f>IFERROR(IF(OR(H85&lt;=0,I85&lt;0),"n/m",I85/H85-1),"n/m")</f>
        <v>-0.05960264900662249</v>
      </c>
      <c r="J87" s="47">
        <f>IFERROR(IF(OR(I85&lt;=0,J85&lt;0),"n/m",J85/I85-1),"n/m")</f>
        <v>0.010989010989010728</v>
      </c>
      <c r="K87" s="1"/>
      <c r="L87" s="1"/>
    </row>
    <row r="88">
      <c r="A88" s="1"/>
      <c r="B88" s="6" t="s">
        <v>86</v>
      </c>
      <c r="C88" s="26"/>
      <c r="D88" s="26"/>
      <c r="E88" s="26"/>
      <c r="F88" s="26"/>
      <c r="G88" s="26"/>
      <c r="H88" s="26" t="s">
        <v>78</v>
      </c>
      <c r="I88" s="26" t="s">
        <v>78</v>
      </c>
      <c r="J88" s="47" t="s">
        <v>78</v>
      </c>
      <c r="K88" s="1"/>
      <c r="L88" s="1"/>
    </row>
    <row r="89">
      <c r="A89" s="1"/>
      <c r="B89" s="6" t="s">
        <v>87</v>
      </c>
      <c r="C89" s="26"/>
      <c r="D89" s="26"/>
      <c r="E89" s="26"/>
      <c r="F89" s="26"/>
      <c r="G89" s="26"/>
      <c r="H89" s="26" t="s">
        <v>78</v>
      </c>
      <c r="I89" s="26" t="s">
        <v>78</v>
      </c>
      <c r="J89" s="47" t="s">
        <v>78</v>
      </c>
      <c r="K89" s="1"/>
      <c r="L89" s="1"/>
    </row>
    <row r="90">
      <c r="A90" s="1"/>
      <c r="B90" s="6" t="s">
        <v>88</v>
      </c>
      <c r="C90" s="26"/>
      <c r="D90" s="26"/>
      <c r="E90" s="26"/>
      <c r="F90" s="26"/>
      <c r="G90" s="26"/>
      <c r="H90" s="26" t="s">
        <v>81</v>
      </c>
      <c r="I90" s="26" t="s">
        <v>81</v>
      </c>
      <c r="J90" s="47" t="s">
        <v>81</v>
      </c>
      <c r="K90" s="1"/>
      <c r="L90" s="1"/>
    </row>
    <row r="91" ht="29.25">
      <c r="A91" s="1"/>
      <c r="B91" s="191" t="s">
        <v>134</v>
      </c>
      <c r="C91" s="35">
        <v>6451</v>
      </c>
      <c r="D91" s="35">
        <v>6748</v>
      </c>
      <c r="E91" s="35">
        <v>7089</v>
      </c>
      <c r="F91" s="35">
        <v>7130</v>
      </c>
      <c r="G91" s="5">
        <f>SUM(C91:F91)</f>
        <v>27418</v>
      </c>
      <c r="H91" s="35">
        <v>7019</v>
      </c>
      <c r="I91" s="35">
        <v>7308</v>
      </c>
      <c r="J91" s="15">
        <f>J59-J67-J73-J79-J85</f>
        <v>7420.381633959034</v>
      </c>
      <c r="K91" s="1" t="s">
        <v>94</v>
      </c>
      <c r="L91" s="1"/>
    </row>
    <row r="92">
      <c r="A92" s="1"/>
      <c r="B92" s="6" t="s">
        <v>84</v>
      </c>
      <c r="C92" s="26"/>
      <c r="D92" s="26"/>
      <c r="E92" s="26"/>
      <c r="F92" s="26"/>
      <c r="G92" s="26"/>
      <c r="H92" s="26">
        <f>IFERROR(IF(OR(C91&lt;=0,H91&lt;0),"n/m",H91/C91-1),"n/m")</f>
        <v>0.08804836459463639</v>
      </c>
      <c r="I92" s="26">
        <f>IFERROR(IF(OR(D91&lt;=0,I91&lt;0),"n/m",I91/D91-1),"n/m")</f>
        <v>0.08298755186721984</v>
      </c>
      <c r="J92" s="47">
        <f>IFERROR(IF(OR(E91&lt;=0,J91&lt;0),"n/m",J91/E91-1),"n/m")</f>
        <v>0.04674589278587016</v>
      </c>
      <c r="K92" s="1"/>
      <c r="L92" s="1"/>
    </row>
    <row r="93">
      <c r="A93" s="1"/>
      <c r="B93" s="6" t="s">
        <v>85</v>
      </c>
      <c r="C93" s="26"/>
      <c r="D93" s="26">
        <f>IFERROR(IF(OR(C91&lt;=0,D91&lt;0),"n/m",D91/C91-1),"n/m")</f>
        <v>0.046039373740505374</v>
      </c>
      <c r="E93" s="26">
        <f>IFERROR(IF(OR(D91&lt;=0,E91&lt;0),"n/m",E91/D91-1),"n/m")</f>
        <v>0.05053349140486074</v>
      </c>
      <c r="F93" s="26">
        <f>IFERROR(IF(OR(E91&lt;=0,F91&lt;0),"n/m",F91/E91-1),"n/m")</f>
        <v>0.005783608407391672</v>
      </c>
      <c r="G93" s="26"/>
      <c r="H93" s="26">
        <f>IFERROR(IF(OR(F91&lt;=0,H91&lt;0),"n/m",H91/F91-1),"n/m")</f>
        <v>-0.015568022440392681</v>
      </c>
      <c r="I93" s="26">
        <f>IFERROR(IF(OR(H91&lt;=0,I91&lt;0),"n/m",I91/H91-1),"n/m")</f>
        <v>0.041173956404046086</v>
      </c>
      <c r="J93" s="47">
        <f>IFERROR(IF(OR(I91&lt;=0,J91&lt;0),"n/m",J91/I91-1),"n/m")</f>
        <v>0.015377891893682882</v>
      </c>
      <c r="K93" s="1"/>
      <c r="L93" s="1"/>
    </row>
    <row r="94">
      <c r="A94" s="1"/>
      <c r="B94" s="6" t="s">
        <v>86</v>
      </c>
      <c r="C94" s="26"/>
      <c r="D94" s="26"/>
      <c r="E94" s="26"/>
      <c r="F94" s="26"/>
      <c r="G94" s="26"/>
      <c r="H94" s="26" t="s">
        <v>78</v>
      </c>
      <c r="I94" s="26" t="s">
        <v>78</v>
      </c>
      <c r="J94" s="47" t="s">
        <v>78</v>
      </c>
      <c r="K94" s="1"/>
      <c r="L94" s="1"/>
    </row>
    <row r="95">
      <c r="A95" s="1"/>
      <c r="B95" s="6" t="s">
        <v>87</v>
      </c>
      <c r="C95" s="26"/>
      <c r="D95" s="26"/>
      <c r="E95" s="26"/>
      <c r="F95" s="26"/>
      <c r="G95" s="26"/>
      <c r="H95" s="26" t="s">
        <v>78</v>
      </c>
      <c r="I95" s="26" t="s">
        <v>78</v>
      </c>
      <c r="J95" s="47" t="s">
        <v>78</v>
      </c>
      <c r="K95" s="1"/>
      <c r="L95" s="1"/>
    </row>
    <row r="96">
      <c r="A96" s="1"/>
      <c r="B96" s="6" t="s">
        <v>88</v>
      </c>
      <c r="C96" s="26"/>
      <c r="D96" s="26"/>
      <c r="E96" s="26"/>
      <c r="F96" s="26"/>
      <c r="G96" s="26"/>
      <c r="H96" s="26" t="s">
        <v>81</v>
      </c>
      <c r="I96" s="26" t="s">
        <v>81</v>
      </c>
      <c r="J96" s="47" t="s">
        <v>81</v>
      </c>
      <c r="K96" s="1"/>
      <c r="L96" s="1"/>
    </row>
    <row r="97">
      <c r="A97" s="1"/>
      <c r="B97" s="9" t="s">
        <v>135</v>
      </c>
      <c r="C97" s="17">
        <f>C91+C67+C73+C79+C85</f>
        <v>9383</v>
      </c>
      <c r="D97" s="17">
        <f>D91+D67+D73+D79+D85</f>
        <v>9688</v>
      </c>
      <c r="E97" s="17">
        <f>E91+E67+E73+E79+E85</f>
        <v>10172</v>
      </c>
      <c r="F97" s="17">
        <f>F91+F67+F73+F79+F85</f>
        <v>10110</v>
      </c>
      <c r="G97" s="17">
        <f>G91+G67+G73+G79+G85</f>
        <v>39353</v>
      </c>
      <c r="H97" s="17">
        <f>H91+H67+H73+H79+H85</f>
        <v>9998</v>
      </c>
      <c r="I97" s="17">
        <f>I91+I67+I73+I79+I85</f>
        <v>10288</v>
      </c>
      <c r="J97" s="42">
        <f>J91+J67+J73+J79+J85</f>
        <v>10466.693721871123</v>
      </c>
      <c r="K97" s="1"/>
      <c r="L97" s="1"/>
    </row>
    <row r="98" ht="29.25">
      <c r="A98" s="1"/>
      <c r="B98" s="194" t="s">
        <v>136</v>
      </c>
      <c r="C98" s="197">
        <f>C97-C59</f>
        <v>0</v>
      </c>
      <c r="D98" s="197">
        <f>D97-D59</f>
        <v>0</v>
      </c>
      <c r="E98" s="197">
        <f>E97-E59</f>
        <v>0</v>
      </c>
      <c r="F98" s="197">
        <f>F97-F59</f>
        <v>0</v>
      </c>
      <c r="G98" s="197">
        <f>G97-G59</f>
        <v>0</v>
      </c>
      <c r="H98" s="197">
        <f>H97-H59</f>
        <v>0</v>
      </c>
      <c r="I98" s="197">
        <f>I97-I59</f>
        <v>0</v>
      </c>
      <c r="J98" s="196">
        <f>J97-J59</f>
        <v>0</v>
      </c>
      <c r="K98" s="1"/>
      <c r="L98" s="1"/>
    </row>
    <row r="99">
      <c r="A99" s="1"/>
      <c r="B99" s="1"/>
      <c r="C99" s="13"/>
      <c r="D99" s="13"/>
      <c r="E99" s="13"/>
      <c r="F99" s="13"/>
      <c r="G99" s="13"/>
      <c r="H99" s="13"/>
      <c r="I99" s="13"/>
      <c r="J99" s="27"/>
      <c r="K99" s="1"/>
      <c r="L99" s="1"/>
    </row>
    <row r="100" ht="54.75">
      <c r="A100" s="1"/>
      <c r="B100" s="28" t="s">
        <v>137</v>
      </c>
      <c r="C100" s="25"/>
      <c r="D100" s="25"/>
      <c r="E100" s="25"/>
      <c r="F100" s="25"/>
      <c r="G100" s="25"/>
      <c r="H100" s="25"/>
      <c r="I100" s="25"/>
      <c r="J100" s="37"/>
      <c r="K100" s="1"/>
      <c r="L100" s="1"/>
    </row>
    <row r="101" ht="29.25">
      <c r="A101" s="1"/>
      <c r="B101" s="191" t="s">
        <v>138</v>
      </c>
      <c r="C101" s="35">
        <v>9448</v>
      </c>
      <c r="D101" s="35">
        <v>9513</v>
      </c>
      <c r="E101" s="35">
        <v>17520</v>
      </c>
      <c r="F101" s="35">
        <v>17201</v>
      </c>
      <c r="G101" s="5">
        <f>(C101*C$6+D101*D$6+E101*E$6+F101*F$6)/G$6</f>
        <v>13452.972602739726</v>
      </c>
      <c r="H101" s="35">
        <v>17399</v>
      </c>
      <c r="I101" s="35">
        <v>17892</v>
      </c>
      <c r="J101" s="15">
        <f>I101*(1+J102)</f>
        <v>18070.920000000002</v>
      </c>
      <c r="K101" s="1" t="s">
        <v>94</v>
      </c>
      <c r="L101" s="1"/>
    </row>
    <row r="102">
      <c r="A102" s="1"/>
      <c r="B102" s="6" t="s">
        <v>124</v>
      </c>
      <c r="C102" s="26"/>
      <c r="D102" s="26">
        <f>D101/C101-1</f>
        <v>0.006879762912785692</v>
      </c>
      <c r="E102" s="26">
        <f>E101/D101-1</f>
        <v>0.8416903185115105</v>
      </c>
      <c r="F102" s="26">
        <f>F101/E101-1</f>
        <v>-0.018207762557077678</v>
      </c>
      <c r="G102" s="26"/>
      <c r="H102" s="26">
        <f>H101/F101-1</f>
        <v>0.011510958665193805</v>
      </c>
      <c r="I102" s="26">
        <f>I101/H101-1</f>
        <v>0.028334961779412637</v>
      </c>
      <c r="J102" s="106">
        <v>0.01</v>
      </c>
      <c r="K102" s="1"/>
      <c r="L102" s="1"/>
    </row>
    <row r="103">
      <c r="A103" s="1"/>
      <c r="B103" s="1" t="s">
        <v>139</v>
      </c>
      <c r="C103" s="5"/>
      <c r="D103" s="5"/>
      <c r="E103" s="5"/>
      <c r="F103" s="5"/>
      <c r="G103" s="5"/>
      <c r="H103" s="5">
        <f>H101-C101</f>
        <v>7951</v>
      </c>
      <c r="I103" s="5">
        <f>I101-D101</f>
        <v>8379</v>
      </c>
      <c r="J103" s="15">
        <f>J101-E101</f>
        <v>550.9200000000019</v>
      </c>
      <c r="K103" s="1"/>
      <c r="L103" s="1"/>
    </row>
    <row r="104">
      <c r="A104" s="1"/>
      <c r="B104" s="1" t="s">
        <v>140</v>
      </c>
      <c r="C104" s="5"/>
      <c r="D104" s="5">
        <f>D101-C101</f>
        <v>65</v>
      </c>
      <c r="E104" s="5">
        <f>E101-D101</f>
        <v>8007</v>
      </c>
      <c r="F104" s="5">
        <f>F101-E101</f>
        <v>-319</v>
      </c>
      <c r="G104" s="5"/>
      <c r="H104" s="5">
        <f>H101-F101</f>
        <v>198</v>
      </c>
      <c r="I104" s="5">
        <f>I101-H101</f>
        <v>493</v>
      </c>
      <c r="J104" s="15">
        <f>J101-I101</f>
        <v>178.9200000000019</v>
      </c>
      <c r="K104" s="1"/>
      <c r="L104" s="1"/>
    </row>
    <row r="105">
      <c r="A105" s="1"/>
      <c r="B105" s="1" t="s">
        <v>141</v>
      </c>
      <c r="C105" s="35">
        <v>50109</v>
      </c>
      <c r="D105" s="35">
        <v>49947</v>
      </c>
      <c r="E105" s="35">
        <v>51121</v>
      </c>
      <c r="F105" s="35">
        <v>52898</v>
      </c>
      <c r="G105" s="5">
        <f>(C105*C$6+D105*D$6+E105*E$6+F105*F$6)/G$6</f>
        <v>51026.67123287671</v>
      </c>
      <c r="H105" s="35">
        <v>53041</v>
      </c>
      <c r="I105" s="35">
        <v>52655</v>
      </c>
      <c r="J105" s="15">
        <f>I105*(1+J106)</f>
        <v>53444.825</v>
      </c>
      <c r="K105" s="1" t="s">
        <v>94</v>
      </c>
      <c r="L105" s="1"/>
    </row>
    <row r="106">
      <c r="A106" s="1"/>
      <c r="B106" s="6" t="s">
        <v>124</v>
      </c>
      <c r="C106" s="26"/>
      <c r="D106" s="26">
        <f>D105/C105-1</f>
        <v>-0.003232952164281877</v>
      </c>
      <c r="E106" s="26">
        <f>E105/D105-1</f>
        <v>0.023504915210122768</v>
      </c>
      <c r="F106" s="26">
        <f>F105/E105-1</f>
        <v>0.03476066587116833</v>
      </c>
      <c r="G106" s="26"/>
      <c r="H106" s="26">
        <f>H105/F105-1</f>
        <v>0.002703315815342666</v>
      </c>
      <c r="I106" s="26">
        <f>I105/H105-1</f>
        <v>-0.007277389189494943</v>
      </c>
      <c r="J106" s="106">
        <v>0.015</v>
      </c>
      <c r="K106" s="1"/>
      <c r="L106" s="1"/>
    </row>
    <row r="107">
      <c r="A107" s="1"/>
      <c r="B107" s="1" t="s">
        <v>139</v>
      </c>
      <c r="C107" s="5"/>
      <c r="D107" s="5"/>
      <c r="E107" s="5"/>
      <c r="F107" s="5"/>
      <c r="G107" s="5"/>
      <c r="H107" s="5">
        <f>H105-C105</f>
        <v>2932</v>
      </c>
      <c r="I107" s="5">
        <f>I105-D105</f>
        <v>2708</v>
      </c>
      <c r="J107" s="15">
        <f>J105-E105</f>
        <v>2323.824999999997</v>
      </c>
      <c r="K107" s="1"/>
      <c r="L107" s="1"/>
    </row>
    <row r="108">
      <c r="A108" s="1"/>
      <c r="B108" s="1" t="s">
        <v>140</v>
      </c>
      <c r="C108" s="5"/>
      <c r="D108" s="5">
        <f>D105-C105</f>
        <v>-162</v>
      </c>
      <c r="E108" s="5">
        <f>E105-D105</f>
        <v>1174</v>
      </c>
      <c r="F108" s="5">
        <f>F105-E105</f>
        <v>1777</v>
      </c>
      <c r="G108" s="5"/>
      <c r="H108" s="5">
        <f>H105-F105</f>
        <v>143</v>
      </c>
      <c r="I108" s="5">
        <f>I105-H105</f>
        <v>-386</v>
      </c>
      <c r="J108" s="15">
        <f>J105-I105</f>
        <v>789.8249999999971</v>
      </c>
      <c r="K108" s="1"/>
      <c r="L108" s="1"/>
    </row>
    <row r="109">
      <c r="A109" s="1"/>
      <c r="B109" s="1" t="s">
        <v>142</v>
      </c>
      <c r="C109" s="35">
        <v>205507</v>
      </c>
      <c r="D109" s="35">
        <v>203556</v>
      </c>
      <c r="E109" s="35">
        <v>201803</v>
      </c>
      <c r="F109" s="35">
        <v>200226</v>
      </c>
      <c r="G109" s="5">
        <f>(C109*C$6+D109*D$6+E109*E$6+F109*F$6)/G$6</f>
        <v>202755.87397260274</v>
      </c>
      <c r="H109" s="35">
        <v>198493</v>
      </c>
      <c r="I109" s="35">
        <v>197949</v>
      </c>
      <c r="J109" s="15">
        <f>I109*(1+J110)</f>
        <v>196959.255</v>
      </c>
      <c r="K109" s="1" t="s">
        <v>94</v>
      </c>
      <c r="L109" s="1"/>
    </row>
    <row r="110">
      <c r="A110" s="1"/>
      <c r="B110" s="6" t="s">
        <v>124</v>
      </c>
      <c r="C110" s="26"/>
      <c r="D110" s="26">
        <f>D109/C109-1</f>
        <v>-0.009493593892178853</v>
      </c>
      <c r="E110" s="26">
        <f>E109/D109-1</f>
        <v>-0.008611880760085677</v>
      </c>
      <c r="F110" s="26">
        <f>F109/E109-1</f>
        <v>-0.007814551815384263</v>
      </c>
      <c r="G110" s="26"/>
      <c r="H110" s="26">
        <f>H109/F109-1</f>
        <v>-0.008655219601849895</v>
      </c>
      <c r="I110" s="26">
        <f>I109/H109-1</f>
        <v>-0.002740650803806699</v>
      </c>
      <c r="J110" s="106">
        <v>-0.005</v>
      </c>
      <c r="K110" s="1"/>
      <c r="L110" s="1"/>
    </row>
    <row r="111">
      <c r="A111" s="1"/>
      <c r="B111" s="1" t="s">
        <v>139</v>
      </c>
      <c r="C111" s="5"/>
      <c r="D111" s="5"/>
      <c r="E111" s="5"/>
      <c r="F111" s="5"/>
      <c r="G111" s="5"/>
      <c r="H111" s="5">
        <f>H109-C109</f>
        <v>-7014</v>
      </c>
      <c r="I111" s="5">
        <f>I109-D109</f>
        <v>-5607</v>
      </c>
      <c r="J111" s="15">
        <f>J109-E109</f>
        <v>-4843.744999999995</v>
      </c>
      <c r="K111" s="1"/>
      <c r="L111" s="1"/>
    </row>
    <row r="112">
      <c r="A112" s="1"/>
      <c r="B112" s="1" t="s">
        <v>140</v>
      </c>
      <c r="C112" s="5"/>
      <c r="D112" s="5">
        <f>D109-C109</f>
        <v>-1951</v>
      </c>
      <c r="E112" s="5">
        <f>E109-D109</f>
        <v>-1753</v>
      </c>
      <c r="F112" s="5">
        <f>F109-E109</f>
        <v>-1577</v>
      </c>
      <c r="G112" s="5"/>
      <c r="H112" s="5">
        <f>H109-F109</f>
        <v>-1733</v>
      </c>
      <c r="I112" s="5">
        <f>I109-H109</f>
        <v>-544</v>
      </c>
      <c r="J112" s="15">
        <f>J109-I109</f>
        <v>-989.7449999999953</v>
      </c>
      <c r="K112" s="1"/>
      <c r="L112" s="1"/>
    </row>
    <row r="113">
      <c r="A113" s="1"/>
      <c r="B113" s="1" t="s">
        <v>143</v>
      </c>
      <c r="C113" s="35">
        <v>42498</v>
      </c>
      <c r="D113" s="35">
        <v>42366</v>
      </c>
      <c r="E113" s="35">
        <v>44775</v>
      </c>
      <c r="F113" s="35">
        <v>48699</v>
      </c>
      <c r="G113" s="5">
        <f>(C113*C$6+D113*D$6+E113*E$6+F113*F$6)/G$6</f>
        <v>44602.01095890411</v>
      </c>
      <c r="H113" s="35">
        <v>52567</v>
      </c>
      <c r="I113" s="35">
        <v>55701</v>
      </c>
      <c r="J113" s="15">
        <f>I113*(1+J114)</f>
        <v>57929.04</v>
      </c>
      <c r="K113" s="1" t="s">
        <v>94</v>
      </c>
      <c r="L113" s="1"/>
    </row>
    <row r="114">
      <c r="A114" s="1"/>
      <c r="B114" s="6" t="s">
        <v>124</v>
      </c>
      <c r="C114" s="26"/>
      <c r="D114" s="26">
        <f>D113/C113-1</f>
        <v>-0.0031060285189891124</v>
      </c>
      <c r="E114" s="26">
        <f>E113/D113-1</f>
        <v>0.056861634329415045</v>
      </c>
      <c r="F114" s="26">
        <f>F113/E113-1</f>
        <v>0.08763819095477388</v>
      </c>
      <c r="G114" s="26"/>
      <c r="H114" s="26">
        <f>H113/F113-1</f>
        <v>0.07942668227273653</v>
      </c>
      <c r="I114" s="26">
        <f>I113/H113-1</f>
        <v>0.05961915270036333</v>
      </c>
      <c r="J114" s="106">
        <v>0.04</v>
      </c>
      <c r="K114" s="1"/>
      <c r="L114" s="1"/>
    </row>
    <row r="115">
      <c r="A115" s="1"/>
      <c r="B115" s="1" t="s">
        <v>139</v>
      </c>
      <c r="C115" s="5"/>
      <c r="D115" s="5"/>
      <c r="E115" s="5"/>
      <c r="F115" s="5"/>
      <c r="G115" s="5"/>
      <c r="H115" s="5">
        <f>H113-C113</f>
        <v>10069</v>
      </c>
      <c r="I115" s="5">
        <f>I113-D113</f>
        <v>13335</v>
      </c>
      <c r="J115" s="15">
        <f>J113-E113</f>
        <v>13154.04</v>
      </c>
      <c r="K115" s="1"/>
      <c r="L115" s="1"/>
    </row>
    <row r="116">
      <c r="A116" s="1"/>
      <c r="B116" s="1" t="s">
        <v>140</v>
      </c>
      <c r="C116" s="5"/>
      <c r="D116" s="5">
        <f>D113-C113</f>
        <v>-132</v>
      </c>
      <c r="E116" s="5">
        <f>E113-D113</f>
        <v>2409</v>
      </c>
      <c r="F116" s="5">
        <f>F113-E113</f>
        <v>3924</v>
      </c>
      <c r="G116" s="5"/>
      <c r="H116" s="5">
        <f>H113-F113</f>
        <v>3868</v>
      </c>
      <c r="I116" s="5">
        <f>I113-H113</f>
        <v>3134</v>
      </c>
      <c r="J116" s="15">
        <f>J113-I113</f>
        <v>2228.040000000001</v>
      </c>
      <c r="K116" s="1"/>
      <c r="L116" s="1"/>
    </row>
    <row r="117">
      <c r="A117" s="1"/>
      <c r="B117" s="1" t="s">
        <v>144</v>
      </c>
      <c r="C117" s="35">
        <v>13902</v>
      </c>
      <c r="D117" s="35">
        <v>13651</v>
      </c>
      <c r="E117" s="35">
        <v>13880</v>
      </c>
      <c r="F117" s="35">
        <v>13977</v>
      </c>
      <c r="G117" s="5">
        <f>(C117*C$6+D117*D$6+E117*E$6+F117*F$6)/G$6</f>
        <v>13852.780821917808</v>
      </c>
      <c r="H117" s="35">
        <v>13765</v>
      </c>
      <c r="I117" s="35">
        <v>13631</v>
      </c>
      <c r="J117" s="15">
        <f>I117*(1+J118)</f>
        <v>13631</v>
      </c>
      <c r="K117" s="1" t="s">
        <v>94</v>
      </c>
      <c r="L117" s="1"/>
    </row>
    <row r="118">
      <c r="A118" s="1"/>
      <c r="B118" s="6" t="s">
        <v>124</v>
      </c>
      <c r="C118" s="26"/>
      <c r="D118" s="26">
        <f>D117/C117-1</f>
        <v>-0.018054956121421384</v>
      </c>
      <c r="E118" s="26">
        <f>E117/D117-1</f>
        <v>0.01677532781481217</v>
      </c>
      <c r="F118" s="26">
        <f>F117/E117-1</f>
        <v>0.006988472622478481</v>
      </c>
      <c r="G118" s="26"/>
      <c r="H118" s="26">
        <f>H117/F117-1</f>
        <v>-0.015167775631394487</v>
      </c>
      <c r="I118" s="26">
        <f>I117/H117-1</f>
        <v>-0.00973483472575376</v>
      </c>
      <c r="J118" s="202">
        <v>0</v>
      </c>
      <c r="K118" s="1"/>
      <c r="L118" s="1"/>
    </row>
    <row r="119">
      <c r="A119" s="1"/>
      <c r="B119" s="1" t="s">
        <v>139</v>
      </c>
      <c r="C119" s="5"/>
      <c r="D119" s="5"/>
      <c r="E119" s="5"/>
      <c r="F119" s="5"/>
      <c r="G119" s="5"/>
      <c r="H119" s="5">
        <f>H117-C117</f>
        <v>-137</v>
      </c>
      <c r="I119" s="5">
        <f>I117-D117</f>
        <v>-20</v>
      </c>
      <c r="J119" s="15">
        <f>J117-E117</f>
        <v>-249</v>
      </c>
      <c r="K119" s="1"/>
      <c r="L119" s="1"/>
    </row>
    <row r="120">
      <c r="A120" s="1"/>
      <c r="B120" s="1" t="s">
        <v>140</v>
      </c>
      <c r="C120" s="5"/>
      <c r="D120" s="5">
        <f>D117-C117</f>
        <v>-251</v>
      </c>
      <c r="E120" s="5">
        <f>E117-D117</f>
        <v>229</v>
      </c>
      <c r="F120" s="5">
        <f>F117-E117</f>
        <v>97</v>
      </c>
      <c r="G120" s="5"/>
      <c r="H120" s="5">
        <f>H117-F117</f>
        <v>-212</v>
      </c>
      <c r="I120" s="5">
        <f>I117-H117</f>
        <v>-134</v>
      </c>
      <c r="J120" s="15">
        <f>J117-I117</f>
        <v>0</v>
      </c>
      <c r="K120" s="1"/>
      <c r="L120" s="1"/>
    </row>
    <row r="121">
      <c r="A121" s="1"/>
      <c r="B121" s="9" t="s">
        <v>145</v>
      </c>
      <c r="C121" s="17">
        <f>C101+C105+C109+C113+C117</f>
        <v>321464</v>
      </c>
      <c r="D121" s="17">
        <f>D101+D105+D109+D113+D117</f>
        <v>319033</v>
      </c>
      <c r="E121" s="17">
        <f>E101+E105+E109+E113+E117</f>
        <v>329099</v>
      </c>
      <c r="F121" s="17">
        <f>F101+F105+F109+F113+F117</f>
        <v>333001</v>
      </c>
      <c r="G121" s="17">
        <f>G101+G105+G109+G113+G117</f>
        <v>325690.3095890411</v>
      </c>
      <c r="H121" s="17">
        <f>H101+H105+H109+H113+H117</f>
        <v>335265</v>
      </c>
      <c r="I121" s="17">
        <f>I101+I105+I109+I113+I117</f>
        <v>337828</v>
      </c>
      <c r="J121" s="42">
        <f>J101+J105+J109+J113+J117</f>
        <v>340035.04</v>
      </c>
      <c r="K121" s="1"/>
      <c r="L121" s="1"/>
    </row>
    <row r="122">
      <c r="A122" s="1"/>
      <c r="B122" s="1" t="s">
        <v>146</v>
      </c>
      <c r="C122" s="5"/>
      <c r="D122" s="5"/>
      <c r="E122" s="5"/>
      <c r="F122" s="5"/>
      <c r="G122" s="5"/>
      <c r="H122" s="5">
        <f>H121-C121</f>
        <v>13801</v>
      </c>
      <c r="I122" s="5">
        <f>I121-D121</f>
        <v>18795</v>
      </c>
      <c r="J122" s="15">
        <f>J121-E121</f>
        <v>10936.039999999979</v>
      </c>
      <c r="K122" s="1"/>
      <c r="L122" s="1"/>
    </row>
    <row r="123">
      <c r="A123" s="1"/>
      <c r="B123" s="1" t="s">
        <v>147</v>
      </c>
      <c r="C123" s="5"/>
      <c r="D123" s="5">
        <f>D121-C121</f>
        <v>-2431</v>
      </c>
      <c r="E123" s="5">
        <f>E121-D121</f>
        <v>10066</v>
      </c>
      <c r="F123" s="5">
        <f>F121-E121</f>
        <v>3902</v>
      </c>
      <c r="G123" s="5"/>
      <c r="H123" s="5">
        <f>H121-F121</f>
        <v>2264</v>
      </c>
      <c r="I123" s="5">
        <f>I121-H121</f>
        <v>2563</v>
      </c>
      <c r="J123" s="15">
        <f>J121-I121</f>
        <v>2207.039999999979</v>
      </c>
      <c r="K123" s="1"/>
      <c r="L123" s="1"/>
    </row>
    <row r="124">
      <c r="A124" s="1"/>
      <c r="B124" s="1" t="s">
        <v>148</v>
      </c>
      <c r="C124" s="35">
        <v>799882</v>
      </c>
      <c r="D124" s="35">
        <v>805537</v>
      </c>
      <c r="E124" s="35">
        <v>808942</v>
      </c>
      <c r="F124" s="35">
        <v>807643</v>
      </c>
      <c r="G124" s="5">
        <f>(C124*C$6+D124*D$6+E124*E$6+F124*F$6)/G$6</f>
        <v>805531.690410959</v>
      </c>
      <c r="H124" s="35">
        <v>816621</v>
      </c>
      <c r="I124" s="35">
        <v>828363</v>
      </c>
      <c r="J124" s="15">
        <f>I124*(1+J125)</f>
        <v>832504.815</v>
      </c>
      <c r="K124" s="1" t="s">
        <v>94</v>
      </c>
      <c r="L124" s="1"/>
    </row>
    <row r="125">
      <c r="A125" s="1"/>
      <c r="B125" s="6" t="s">
        <v>124</v>
      </c>
      <c r="C125" s="26"/>
      <c r="D125" s="26">
        <f>D124/C124-1</f>
        <v>0.007069792794437202</v>
      </c>
      <c r="E125" s="26">
        <f>E124/D124-1</f>
        <v>0.004226993918342581</v>
      </c>
      <c r="F125" s="26">
        <f>F124/E124-1</f>
        <v>-0.0016058011575613707</v>
      </c>
      <c r="G125" s="26"/>
      <c r="H125" s="26">
        <f>H124/F124-1</f>
        <v>0.011116297671124542</v>
      </c>
      <c r="I125" s="26">
        <f>I124/H124-1</f>
        <v>0.014378763220637136</v>
      </c>
      <c r="J125" s="106">
        <v>0.005</v>
      </c>
      <c r="K125" s="1"/>
      <c r="L125" s="1"/>
    </row>
    <row r="126">
      <c r="A126" s="1"/>
      <c r="B126" s="1" t="s">
        <v>139</v>
      </c>
      <c r="C126" s="5"/>
      <c r="D126" s="5"/>
      <c r="E126" s="5"/>
      <c r="F126" s="5"/>
      <c r="G126" s="5"/>
      <c r="H126" s="5">
        <f>H124-C124</f>
        <v>16739</v>
      </c>
      <c r="I126" s="5">
        <f>I124-D124</f>
        <v>22826</v>
      </c>
      <c r="J126" s="15">
        <f>J124-E124</f>
        <v>23562.814999999944</v>
      </c>
      <c r="K126" s="1"/>
      <c r="L126" s="1"/>
    </row>
    <row r="127">
      <c r="A127" s="1"/>
      <c r="B127" s="1" t="s">
        <v>140</v>
      </c>
      <c r="C127" s="5"/>
      <c r="D127" s="5">
        <f>D124-C124</f>
        <v>5655</v>
      </c>
      <c r="E127" s="5">
        <f>E124-D124</f>
        <v>3405</v>
      </c>
      <c r="F127" s="5">
        <f>F124-E124</f>
        <v>-1299</v>
      </c>
      <c r="G127" s="5"/>
      <c r="H127" s="5">
        <f>H124-F124</f>
        <v>8978</v>
      </c>
      <c r="I127" s="5">
        <f>I124-H124</f>
        <v>11742</v>
      </c>
      <c r="J127" s="15">
        <f>J124-I124</f>
        <v>4141.814999999944</v>
      </c>
      <c r="K127" s="1"/>
      <c r="L127" s="1"/>
    </row>
    <row r="128" ht="29.25">
      <c r="A128" s="1"/>
      <c r="B128" s="191" t="s">
        <v>149</v>
      </c>
      <c r="C128" s="5">
        <f>C121+C124</f>
        <v>1121346</v>
      </c>
      <c r="D128" s="5">
        <f>D121+D124</f>
        <v>1124570</v>
      </c>
      <c r="E128" s="5">
        <f>E121+E124</f>
        <v>1138041</v>
      </c>
      <c r="F128" s="5">
        <f>F121+F124</f>
        <v>1140644</v>
      </c>
      <c r="G128" s="5">
        <f>G121+G124</f>
        <v>1131222</v>
      </c>
      <c r="H128" s="5">
        <f>H121+H124</f>
        <v>1151886</v>
      </c>
      <c r="I128" s="5">
        <f>I121+I124</f>
        <v>1166191</v>
      </c>
      <c r="J128" s="15">
        <f>J121+J124</f>
        <v>1172539.855</v>
      </c>
      <c r="K128" s="1"/>
      <c r="L128" s="1"/>
    </row>
    <row r="129">
      <c r="A129" s="1"/>
      <c r="B129" s="1" t="s">
        <v>139</v>
      </c>
      <c r="C129" s="5"/>
      <c r="D129" s="5"/>
      <c r="E129" s="5"/>
      <c r="F129" s="5"/>
      <c r="G129" s="5"/>
      <c r="H129" s="5">
        <f>H128-C128</f>
        <v>30540</v>
      </c>
      <c r="I129" s="5">
        <f>I128-D128</f>
        <v>41621</v>
      </c>
      <c r="J129" s="15">
        <f>J128-E128</f>
        <v>34498.85499999998</v>
      </c>
      <c r="K129" s="1"/>
      <c r="L129" s="1"/>
    </row>
    <row r="130">
      <c r="A130" s="1"/>
      <c r="B130" s="1" t="s">
        <v>140</v>
      </c>
      <c r="C130" s="5"/>
      <c r="D130" s="5">
        <f>D128-C128</f>
        <v>3224</v>
      </c>
      <c r="E130" s="5">
        <f>E128-D128</f>
        <v>13471</v>
      </c>
      <c r="F130" s="5">
        <f>F128-E128</f>
        <v>2603</v>
      </c>
      <c r="G130" s="5"/>
      <c r="H130" s="5">
        <f>H128-F128</f>
        <v>11242</v>
      </c>
      <c r="I130" s="5">
        <f>I128-H128</f>
        <v>14305</v>
      </c>
      <c r="J130" s="15">
        <f>J128-I128</f>
        <v>6348.854999999981</v>
      </c>
      <c r="K130" s="1"/>
      <c r="L130" s="1"/>
    </row>
    <row r="131" ht="29.25">
      <c r="A131" s="1"/>
      <c r="B131" s="194" t="s">
        <v>150</v>
      </c>
      <c r="C131" s="200">
        <f>C10/C128*365/C9</f>
        <v>0.025457847582776017</v>
      </c>
      <c r="D131" s="200">
        <f>D10/D128*365/D9</f>
        <v>0.026054647309882648</v>
      </c>
      <c r="E131" s="200">
        <f>E10/E128*365/E9</f>
        <v>0.026592417030287325</v>
      </c>
      <c r="F131" s="200">
        <f>F10/F128*365/F9</f>
        <v>0.026646512656542002</v>
      </c>
      <c r="G131" s="200">
        <f>G10/G128*365/G9</f>
        <v>0.026195565503499756</v>
      </c>
      <c r="H131" s="200">
        <f>H10/H128*365/H9</f>
        <v>0.0265855301653115</v>
      </c>
      <c r="I131" s="200">
        <f>I10/I128*365/I9</f>
        <v>0.0266277796030641</v>
      </c>
      <c r="J131" s="201">
        <f>I131</f>
        <v>0.0266277796030641</v>
      </c>
      <c r="K131" s="1"/>
      <c r="L131" s="1"/>
    </row>
    <row r="132">
      <c r="A132" s="1"/>
      <c r="B132" s="1" t="s">
        <v>151</v>
      </c>
      <c r="C132" s="5"/>
      <c r="D132" s="5"/>
      <c r="E132" s="5"/>
      <c r="F132" s="5"/>
      <c r="G132" s="5"/>
      <c r="H132" s="5">
        <f>(H131-C131)*10000</f>
        <v>11.27682582535483</v>
      </c>
      <c r="I132" s="5">
        <f>(I131-D131)*10000</f>
        <v>5.7313229318145185</v>
      </c>
      <c r="J132" s="15">
        <f>(J131-E131)*10000</f>
        <v>0.35362572776774515</v>
      </c>
      <c r="K132" s="1"/>
      <c r="L132" s="1"/>
    </row>
    <row r="133">
      <c r="A133" s="1"/>
      <c r="B133" s="1" t="s">
        <v>152</v>
      </c>
      <c r="C133" s="5"/>
      <c r="D133" s="5">
        <f>(D131-C131)*10000</f>
        <v>5.967997271066304</v>
      </c>
      <c r="E133" s="5">
        <f>(E131-D131)*10000</f>
        <v>5.377697204046774</v>
      </c>
      <c r="F133" s="5">
        <f>(F131-E131)*10000</f>
        <v>0.5409562625467712</v>
      </c>
      <c r="G133" s="5"/>
      <c r="H133" s="5">
        <f>(H131-F131)*10000</f>
        <v>-0.6098249123050181</v>
      </c>
      <c r="I133" s="5">
        <f>(I131-H131)*10000</f>
        <v>0.42249437752599206</v>
      </c>
      <c r="J133" s="15">
        <f>(J131-I131)*10000</f>
        <v>0</v>
      </c>
      <c r="K133" s="1"/>
      <c r="L133" s="1"/>
    </row>
    <row r="134" ht="29.25">
      <c r="A134" s="1"/>
      <c r="B134" s="194" t="s">
        <v>153</v>
      </c>
      <c r="C134" s="200">
        <f>C16/C124*365/C9</f>
        <v>0.0033006951858732497</v>
      </c>
      <c r="D134" s="200">
        <f>D16/D124*365/D9</f>
        <v>0.0032514655741149373</v>
      </c>
      <c r="E134" s="200">
        <f>E16/E124*365/E9</f>
        <v>0.003423285143353643</v>
      </c>
      <c r="F134" s="200">
        <f>F16/F124*365/F9</f>
        <v>0.0034042295592397183</v>
      </c>
      <c r="G134" s="200">
        <f>G16/G124*365/G9</f>
        <v>0.003345616357594931</v>
      </c>
      <c r="H134" s="200">
        <f>H16/H124*365/H9</f>
        <v>0.003575710151955436</v>
      </c>
      <c r="I134" s="200">
        <f>I16/I124*365/I9</f>
        <v>0.0036170239269605127</v>
      </c>
      <c r="J134" s="201">
        <f>I134</f>
        <v>0.0036170239269605127</v>
      </c>
      <c r="K134" s="1"/>
      <c r="L134" s="1"/>
    </row>
    <row r="135">
      <c r="A135" s="1"/>
      <c r="B135" s="1" t="s">
        <v>151</v>
      </c>
      <c r="C135" s="5"/>
      <c r="D135" s="5"/>
      <c r="E135" s="5"/>
      <c r="F135" s="5"/>
      <c r="G135" s="5"/>
      <c r="H135" s="5">
        <f>(H134-C134)*10000</f>
        <v>2.750149660821861</v>
      </c>
      <c r="I135" s="5">
        <f>(I134-D134)*10000</f>
        <v>3.6555835284557543</v>
      </c>
      <c r="J135" s="15">
        <f>(J134-E134)*10000</f>
        <v>1.9373878360686965</v>
      </c>
      <c r="K135" s="1"/>
      <c r="L135" s="1"/>
    </row>
    <row r="136">
      <c r="A136" s="1"/>
      <c r="B136" s="1" t="s">
        <v>152</v>
      </c>
      <c r="C136" s="5"/>
      <c r="D136" s="5">
        <f>(D134-C134)*10000</f>
        <v>-0.49229611758312436</v>
      </c>
      <c r="E136" s="5">
        <f>(E134-D134)*10000</f>
        <v>1.7181956923870578</v>
      </c>
      <c r="F136" s="5">
        <f>(F134-E134)*10000</f>
        <v>-0.1905558411392479</v>
      </c>
      <c r="G136" s="5"/>
      <c r="H136" s="5">
        <f>(H134-F134)*10000</f>
        <v>1.7148059271571754</v>
      </c>
      <c r="I136" s="5">
        <f>(I134-H134)*10000</f>
        <v>0.4131377500507689</v>
      </c>
      <c r="J136" s="15">
        <f>(J134-I134)*10000</f>
        <v>0</v>
      </c>
      <c r="K136" s="1"/>
      <c r="L136" s="1"/>
    </row>
    <row r="137">
      <c r="A137" s="1"/>
      <c r="B137" s="6" t="s">
        <v>154</v>
      </c>
      <c r="C137" s="199">
        <v>0.0244</v>
      </c>
      <c r="D137" s="199">
        <v>0.0253</v>
      </c>
      <c r="E137" s="199">
        <v>0.0259</v>
      </c>
      <c r="F137" s="199">
        <v>0.026</v>
      </c>
      <c r="G137" s="209"/>
      <c r="H137" s="199">
        <v>0.0258</v>
      </c>
      <c r="I137" s="199">
        <v>0.026</v>
      </c>
      <c r="J137" s="201"/>
      <c r="K137" s="1" t="s">
        <v>94</v>
      </c>
      <c r="L137" s="1"/>
    </row>
    <row r="138">
      <c r="A138" s="1"/>
      <c r="B138" s="1" t="s">
        <v>151</v>
      </c>
      <c r="C138" s="5"/>
      <c r="D138" s="5"/>
      <c r="E138" s="5"/>
      <c r="F138" s="5"/>
      <c r="G138" s="5"/>
      <c r="H138" s="5">
        <f>(H137-C137)*10000</f>
        <v>13.999999999999984</v>
      </c>
      <c r="I138" s="5">
        <f>(I137-D137)*10000</f>
        <v>6.999999999999992</v>
      </c>
      <c r="J138" s="15"/>
      <c r="K138" s="1"/>
      <c r="L138" s="1"/>
    </row>
    <row r="139">
      <c r="A139" s="1"/>
      <c r="B139" s="1" t="s">
        <v>152</v>
      </c>
      <c r="C139" s="5"/>
      <c r="D139" s="5">
        <f>(D137-C137)*10000</f>
        <v>8.99999999999998</v>
      </c>
      <c r="E139" s="5">
        <f>(E137-D137)*10000</f>
        <v>5.999999999999998</v>
      </c>
      <c r="F139" s="5">
        <f>(F137-E137)*10000</f>
        <v>0.999999999999994</v>
      </c>
      <c r="G139" s="5"/>
      <c r="H139" s="5">
        <f>(H137-F137)*10000</f>
        <v>-1.999999999999988</v>
      </c>
      <c r="I139" s="5">
        <f>(I137-H137)*10000</f>
        <v>1.999999999999988</v>
      </c>
      <c r="J139" s="15"/>
      <c r="K139" s="1"/>
      <c r="L139" s="1"/>
    </row>
    <row r="140" ht="29.25">
      <c r="A140" s="1"/>
      <c r="B140" s="194" t="s">
        <v>155</v>
      </c>
      <c r="C140" s="200">
        <f>C67/C105*365/C9</f>
        <v>0.12334444244879496</v>
      </c>
      <c r="D140" s="200">
        <f>D67/D105*365/D9</f>
        <v>0.12752418662683543</v>
      </c>
      <c r="E140" s="200">
        <f>E67/E105*365/E9</f>
        <v>0.12906186770858227</v>
      </c>
      <c r="F140" s="200">
        <f>F67/F105*365/F9</f>
        <v>0.12000124932807521</v>
      </c>
      <c r="G140" s="200">
        <f>G67/G105*365/G9</f>
        <v>0.12493466349991021</v>
      </c>
      <c r="H140" s="200">
        <f>H67/H105*365/H9</f>
        <v>0.12195492375918839</v>
      </c>
      <c r="I140" s="200">
        <f>I67/I105*365/I9</f>
        <v>0.12294627791731581</v>
      </c>
      <c r="J140" s="201">
        <f>I140</f>
        <v>0.12294627791731581</v>
      </c>
      <c r="K140" s="1"/>
      <c r="L140" s="1"/>
    </row>
    <row r="141">
      <c r="A141" s="1"/>
      <c r="B141" s="1" t="s">
        <v>151</v>
      </c>
      <c r="C141" s="5"/>
      <c r="D141" s="5"/>
      <c r="E141" s="5"/>
      <c r="F141" s="5"/>
      <c r="G141" s="5"/>
      <c r="H141" s="5">
        <f>(H140-C140)*10000</f>
        <v>-13.895186896065725</v>
      </c>
      <c r="I141" s="5">
        <f>(I140-D140)*10000</f>
        <v>-45.779087095196154</v>
      </c>
      <c r="J141" s="15">
        <f>(J140-E140)*10000</f>
        <v>-61.1558979126646</v>
      </c>
      <c r="K141" s="1"/>
      <c r="L141" s="1"/>
    </row>
    <row r="142">
      <c r="A142" s="1"/>
      <c r="B142" s="1" t="s">
        <v>152</v>
      </c>
      <c r="C142" s="5"/>
      <c r="D142" s="5">
        <f>(D140-C140)*10000</f>
        <v>41.797441780404704</v>
      </c>
      <c r="E142" s="5">
        <f>(E140-D140)*10000</f>
        <v>15.376810817468446</v>
      </c>
      <c r="F142" s="5">
        <f>(F140-E140)*10000</f>
        <v>-90.60618380507063</v>
      </c>
      <c r="G142" s="5"/>
      <c r="H142" s="5">
        <f>(H140-F140)*10000</f>
        <v>19.536744311131756</v>
      </c>
      <c r="I142" s="5">
        <f>(I140-H140)*10000</f>
        <v>9.913541581274277</v>
      </c>
      <c r="J142" s="15">
        <f>(J140-I140)*10000</f>
        <v>0</v>
      </c>
      <c r="K142" s="1"/>
      <c r="L142" s="1"/>
    </row>
    <row r="143" ht="29.25">
      <c r="A143" s="1"/>
      <c r="B143" s="194" t="s">
        <v>156</v>
      </c>
      <c r="C143" s="200">
        <f>C73/C109*365/C9</f>
        <v>0.017089982877036357</v>
      </c>
      <c r="D143" s="200">
        <f>D73/D109*365/D9</f>
        <v>0.016177474395360384</v>
      </c>
      <c r="E143" s="200">
        <f>E73/E109*365/E9</f>
        <v>0.017103959974740755</v>
      </c>
      <c r="F143" s="200">
        <f>F73/F109*365/F9</f>
        <v>0.0159903548121058</v>
      </c>
      <c r="G143" s="200">
        <f>G73/G109*365/G9</f>
        <v>0.016591381221609188</v>
      </c>
      <c r="H143" s="200">
        <f>H73/H109*365/H9</f>
        <v>0.016079772194597403</v>
      </c>
      <c r="I143" s="200">
        <f>I73/I109*365/I9</f>
        <v>0.015440207459363909</v>
      </c>
      <c r="J143" s="201">
        <f>I143</f>
        <v>0.015440207459363909</v>
      </c>
      <c r="K143" s="1"/>
      <c r="L143" s="1"/>
    </row>
    <row r="144">
      <c r="A144" s="1"/>
      <c r="B144" s="1" t="s">
        <v>151</v>
      </c>
      <c r="C144" s="5"/>
      <c r="D144" s="5"/>
      <c r="E144" s="5"/>
      <c r="F144" s="5"/>
      <c r="G144" s="5"/>
      <c r="H144" s="5">
        <f>(H143-C143)*10000</f>
        <v>-10.102106824389535</v>
      </c>
      <c r="I144" s="5">
        <f>(I143-D143)*10000</f>
        <v>-7.372669359964751</v>
      </c>
      <c r="J144" s="15">
        <f>(J143-E143)*10000</f>
        <v>-16.637525153768465</v>
      </c>
      <c r="K144" s="1"/>
      <c r="L144" s="1"/>
    </row>
    <row r="145">
      <c r="A145" s="1"/>
      <c r="B145" s="1" t="s">
        <v>152</v>
      </c>
      <c r="C145" s="5"/>
      <c r="D145" s="5">
        <f>(D143-C143)*10000</f>
        <v>-9.125084816759728</v>
      </c>
      <c r="E145" s="5">
        <f>(E143-D143)*10000</f>
        <v>9.264855793803713</v>
      </c>
      <c r="F145" s="5">
        <f>(F143-E143)*10000</f>
        <v>-11.136051626349543</v>
      </c>
      <c r="G145" s="5"/>
      <c r="H145" s="5">
        <f>(H143-F143)*10000</f>
        <v>0.8941738249160225</v>
      </c>
      <c r="I145" s="5">
        <f>(I143-H143)*10000</f>
        <v>-6.395647352334944</v>
      </c>
      <c r="J145" s="15">
        <f>(J143-I143)*10000</f>
        <v>0</v>
      </c>
      <c r="K145" s="1"/>
      <c r="L145" s="1"/>
    </row>
    <row r="146" ht="29.25">
      <c r="A146" s="1"/>
      <c r="B146" s="194" t="s">
        <v>157</v>
      </c>
      <c r="C146" s="200">
        <f>C79/C113*365/C9</f>
        <v>0.02261675059218473</v>
      </c>
      <c r="D146" s="200">
        <f>D79/D113*365/D9</f>
        <v>0.022816606515799264</v>
      </c>
      <c r="E146" s="200">
        <f>E79/E113*365/E9</f>
        <v>0.022683465637365573</v>
      </c>
      <c r="F146" s="200">
        <f>F79/F113*365/F9</f>
        <v>0.022973866975216882</v>
      </c>
      <c r="G146" s="200">
        <f>G79/G113*365/G9</f>
        <v>0.02277924197041549</v>
      </c>
      <c r="H146" s="200">
        <f>H79/H113*365/H9</f>
        <v>0.022759314567863658</v>
      </c>
      <c r="I146" s="200">
        <f>I79/I113*365/I9</f>
        <v>0.023042970207294004</v>
      </c>
      <c r="J146" s="201">
        <f>I146</f>
        <v>0.023042970207294004</v>
      </c>
      <c r="K146" s="1"/>
      <c r="L146" s="1"/>
    </row>
    <row r="147">
      <c r="A147" s="1"/>
      <c r="B147" s="1" t="s">
        <v>151</v>
      </c>
      <c r="C147" s="5"/>
      <c r="D147" s="5"/>
      <c r="E147" s="5"/>
      <c r="F147" s="5"/>
      <c r="G147" s="5"/>
      <c r="H147" s="5">
        <f>(H146-C146)*10000</f>
        <v>1.4256397567892833</v>
      </c>
      <c r="I147" s="5">
        <f>(I146-D146)*10000</f>
        <v>2.263636914947402</v>
      </c>
      <c r="J147" s="15">
        <f>(J146-E146)*10000</f>
        <v>3.595045699284309</v>
      </c>
      <c r="K147" s="1"/>
      <c r="L147" s="1"/>
    </row>
    <row r="148">
      <c r="A148" s="1"/>
      <c r="B148" s="1" t="s">
        <v>152</v>
      </c>
      <c r="C148" s="5"/>
      <c r="D148" s="5">
        <f>(D146-C146)*10000</f>
        <v>1.9985592361453433</v>
      </c>
      <c r="E148" s="5">
        <f>(E146-D146)*10000</f>
        <v>-1.3314087843369071</v>
      </c>
      <c r="F148" s="5">
        <f>(F146-E146)*10000</f>
        <v>2.9040133785130857</v>
      </c>
      <c r="G148" s="5"/>
      <c r="H148" s="5">
        <f>(H146-F146)*10000</f>
        <v>-2.1455240735322385</v>
      </c>
      <c r="I148" s="5">
        <f>(I146-H146)*10000</f>
        <v>2.8365563943034617</v>
      </c>
      <c r="J148" s="15">
        <f>(J146-I146)*10000</f>
        <v>0</v>
      </c>
      <c r="K148" s="1"/>
      <c r="L148" s="1"/>
    </row>
    <row r="149" ht="29.25">
      <c r="A149" s="1"/>
      <c r="B149" s="194" t="s">
        <v>158</v>
      </c>
      <c r="C149" s="200">
        <f>C85/C117*365/C9</f>
        <v>0.08897600664972266</v>
      </c>
      <c r="D149" s="200">
        <f>D85/D117*365/D9</f>
        <v>0.08520890873832052</v>
      </c>
      <c r="E149" s="200">
        <f>E85/E117*365/E9</f>
        <v>0.08403552186442802</v>
      </c>
      <c r="F149" s="200">
        <f>F85/F117*365/F9</f>
        <v>0.08260076336590237</v>
      </c>
      <c r="G149" s="200">
        <f>G85/G117*365/G9</f>
        <v>0.08518145310817372</v>
      </c>
      <c r="H149" s="200">
        <f>H85/H117*365/H9</f>
        <v>0.08897768091375065</v>
      </c>
      <c r="I149" s="200">
        <f>I85/I117*365/I9</f>
        <v>0.08356840137340467</v>
      </c>
      <c r="J149" s="201">
        <f>I149</f>
        <v>0.08356840137340467</v>
      </c>
      <c r="K149" s="1"/>
      <c r="L149" s="1"/>
    </row>
    <row r="150">
      <c r="A150" s="1"/>
      <c r="B150" s="1" t="s">
        <v>151</v>
      </c>
      <c r="C150" s="5"/>
      <c r="D150" s="5"/>
      <c r="E150" s="5"/>
      <c r="F150" s="5"/>
      <c r="G150" s="5"/>
      <c r="H150" s="5">
        <f>(H149-C149)*10000</f>
        <v>0.016742640279870935</v>
      </c>
      <c r="I150" s="5">
        <f>(I149-D149)*10000</f>
        <v>-16.40507364915847</v>
      </c>
      <c r="J150" s="15">
        <f>(J149-E149)*10000</f>
        <v>-4.6712049102334845</v>
      </c>
      <c r="K150" s="1"/>
      <c r="L150" s="1"/>
    </row>
    <row r="151">
      <c r="A151" s="1"/>
      <c r="B151" s="1" t="s">
        <v>152</v>
      </c>
      <c r="C151" s="5"/>
      <c r="D151" s="5">
        <f>(D149-C149)*10000</f>
        <v>-37.67097911402145</v>
      </c>
      <c r="E151" s="5">
        <f>(E149-D149)*10000</f>
        <v>-11.733868738924984</v>
      </c>
      <c r="F151" s="5">
        <f>(F149-E149)*10000</f>
        <v>-14.347584985256457</v>
      </c>
      <c r="G151" s="5"/>
      <c r="H151" s="5">
        <f>(H149-F149)*10000</f>
        <v>63.769175478482765</v>
      </c>
      <c r="I151" s="5">
        <f>(I149-H149)*10000</f>
        <v>-54.09279540345979</v>
      </c>
      <c r="J151" s="15">
        <f>(J149-I149)*10000</f>
        <v>0</v>
      </c>
      <c r="K151" s="1"/>
      <c r="L151" s="1"/>
    </row>
    <row r="152">
      <c r="A152" s="1"/>
      <c r="B152" s="1"/>
      <c r="C152" s="13"/>
      <c r="D152" s="13"/>
      <c r="E152" s="13"/>
      <c r="F152" s="13"/>
      <c r="G152" s="13"/>
      <c r="H152" s="13"/>
      <c r="I152" s="13"/>
      <c r="J152" s="27"/>
      <c r="K152" s="1"/>
      <c r="L152" s="1"/>
    </row>
    <row r="153">
      <c r="A153" s="1"/>
      <c r="B153" s="9" t="s">
        <v>159</v>
      </c>
      <c r="C153" s="25"/>
      <c r="D153" s="25"/>
      <c r="E153" s="25"/>
      <c r="F153" s="25"/>
      <c r="G153" s="25"/>
      <c r="H153" s="25"/>
      <c r="I153" s="25"/>
      <c r="J153" s="37"/>
      <c r="K153" s="1"/>
      <c r="L153" s="1"/>
    </row>
    <row r="154">
      <c r="A154" s="1"/>
      <c r="B154" s="1" t="s">
        <v>160</v>
      </c>
      <c r="C154" s="35">
        <v>9633</v>
      </c>
      <c r="D154" s="35">
        <v>9696</v>
      </c>
      <c r="E154" s="35">
        <v>17755</v>
      </c>
      <c r="F154" s="35">
        <v>17203</v>
      </c>
      <c r="G154" s="5">
        <f>F154</f>
        <v>17203</v>
      </c>
      <c r="H154" s="35">
        <v>17891</v>
      </c>
      <c r="I154" s="35">
        <v>18197</v>
      </c>
      <c r="J154" s="15"/>
      <c r="K154" s="1" t="s">
        <v>94</v>
      </c>
      <c r="L154" s="1"/>
    </row>
    <row r="155">
      <c r="A155" s="1"/>
      <c r="B155" s="1" t="s">
        <v>139</v>
      </c>
      <c r="C155" s="5"/>
      <c r="D155" s="5"/>
      <c r="E155" s="5"/>
      <c r="F155" s="5"/>
      <c r="G155" s="5"/>
      <c r="H155" s="5">
        <f>H154-C154</f>
        <v>8258</v>
      </c>
      <c r="I155" s="5">
        <f>I154-D154</f>
        <v>8501</v>
      </c>
      <c r="J155" s="15"/>
      <c r="K155" s="1"/>
      <c r="L155" s="1"/>
    </row>
    <row r="156">
      <c r="A156" s="1"/>
      <c r="B156" s="1" t="s">
        <v>140</v>
      </c>
      <c r="C156" s="5"/>
      <c r="D156" s="5">
        <f>D154-C154</f>
        <v>63</v>
      </c>
      <c r="E156" s="5">
        <f>E154-D154</f>
        <v>8059</v>
      </c>
      <c r="F156" s="5">
        <f>F154-E154</f>
        <v>-552</v>
      </c>
      <c r="G156" s="5"/>
      <c r="H156" s="5">
        <f>H154-F154</f>
        <v>688</v>
      </c>
      <c r="I156" s="5">
        <f>I154-H154</f>
        <v>306</v>
      </c>
      <c r="J156" s="15"/>
      <c r="K156" s="1"/>
      <c r="L156" s="1"/>
    </row>
    <row r="157">
      <c r="A157" s="1"/>
      <c r="B157" s="1" t="s">
        <v>161</v>
      </c>
      <c r="C157" s="35">
        <v>49518</v>
      </c>
      <c r="D157" s="35">
        <v>50084</v>
      </c>
      <c r="E157" s="35">
        <v>51572</v>
      </c>
      <c r="F157" s="35">
        <v>54059</v>
      </c>
      <c r="G157" s="5">
        <f>F157</f>
        <v>54059</v>
      </c>
      <c r="H157" s="35">
        <v>52266</v>
      </c>
      <c r="I157" s="35">
        <v>53334</v>
      </c>
      <c r="J157" s="15"/>
      <c r="K157" s="1" t="s">
        <v>94</v>
      </c>
      <c r="L157" s="1"/>
    </row>
    <row r="158">
      <c r="A158" s="1"/>
      <c r="B158" s="1" t="s">
        <v>139</v>
      </c>
      <c r="C158" s="5"/>
      <c r="D158" s="5"/>
      <c r="E158" s="5"/>
      <c r="F158" s="5"/>
      <c r="G158" s="5"/>
      <c r="H158" s="5">
        <f>H157-C157</f>
        <v>2748</v>
      </c>
      <c r="I158" s="5">
        <f>I157-D157</f>
        <v>3250</v>
      </c>
      <c r="J158" s="15"/>
      <c r="K158" s="1"/>
      <c r="L158" s="1"/>
    </row>
    <row r="159">
      <c r="A159" s="1"/>
      <c r="B159" s="1" t="s">
        <v>140</v>
      </c>
      <c r="C159" s="5"/>
      <c r="D159" s="5">
        <f>D157-C157</f>
        <v>566</v>
      </c>
      <c r="E159" s="5">
        <f>E157-D157</f>
        <v>1488</v>
      </c>
      <c r="F159" s="5">
        <f>F157-E157</f>
        <v>2487</v>
      </c>
      <c r="G159" s="5"/>
      <c r="H159" s="5">
        <f>H157-F157</f>
        <v>-1793</v>
      </c>
      <c r="I159" s="5">
        <f>I157-H157</f>
        <v>1068</v>
      </c>
      <c r="J159" s="15"/>
      <c r="K159" s="1"/>
      <c r="L159" s="1"/>
    </row>
    <row r="160">
      <c r="A160" s="1"/>
      <c r="B160" s="1" t="s">
        <v>162</v>
      </c>
      <c r="C160" s="35">
        <v>204656</v>
      </c>
      <c r="D160" s="35">
        <v>203062</v>
      </c>
      <c r="E160" s="35">
        <v>201345</v>
      </c>
      <c r="F160" s="35">
        <v>199742</v>
      </c>
      <c r="G160" s="5">
        <f>F160</f>
        <v>199742</v>
      </c>
      <c r="H160" s="35">
        <v>198516</v>
      </c>
      <c r="I160" s="35">
        <v>198187</v>
      </c>
      <c r="J160" s="15"/>
      <c r="K160" s="1" t="s">
        <v>94</v>
      </c>
      <c r="L160" s="1"/>
    </row>
    <row r="161">
      <c r="A161" s="1"/>
      <c r="B161" s="1" t="s">
        <v>139</v>
      </c>
      <c r="C161" s="5"/>
      <c r="D161" s="5"/>
      <c r="E161" s="5"/>
      <c r="F161" s="5"/>
      <c r="G161" s="5"/>
      <c r="H161" s="5">
        <f>H160-C160</f>
        <v>-6140</v>
      </c>
      <c r="I161" s="5">
        <f>I160-D160</f>
        <v>-4875</v>
      </c>
      <c r="J161" s="15"/>
      <c r="K161" s="1"/>
      <c r="L161" s="1"/>
    </row>
    <row r="162">
      <c r="A162" s="1"/>
      <c r="B162" s="1" t="s">
        <v>140</v>
      </c>
      <c r="C162" s="5"/>
      <c r="D162" s="5">
        <f>D160-C160</f>
        <v>-1594</v>
      </c>
      <c r="E162" s="5">
        <f>E160-D160</f>
        <v>-1717</v>
      </c>
      <c r="F162" s="5">
        <f>F160-E160</f>
        <v>-1603</v>
      </c>
      <c r="G162" s="5"/>
      <c r="H162" s="5">
        <f>H160-F160</f>
        <v>-1226</v>
      </c>
      <c r="I162" s="5">
        <f>I160-H160</f>
        <v>-329</v>
      </c>
      <c r="J162" s="15"/>
      <c r="K162" s="1"/>
      <c r="L162" s="1"/>
    </row>
    <row r="163">
      <c r="A163" s="1"/>
      <c r="B163" s="1" t="s">
        <v>163</v>
      </c>
      <c r="C163" s="35">
        <v>41999</v>
      </c>
      <c r="D163" s="35">
        <v>43373</v>
      </c>
      <c r="E163" s="35">
        <v>46524</v>
      </c>
      <c r="F163" s="35">
        <v>50954</v>
      </c>
      <c r="G163" s="5">
        <f>F163</f>
        <v>50954</v>
      </c>
      <c r="H163" s="35">
        <v>54279</v>
      </c>
      <c r="I163" s="35">
        <v>57391</v>
      </c>
      <c r="J163" s="15"/>
      <c r="K163" s="1" t="s">
        <v>94</v>
      </c>
      <c r="L163" s="1"/>
    </row>
    <row r="164">
      <c r="A164" s="1"/>
      <c r="B164" s="1" t="s">
        <v>139</v>
      </c>
      <c r="C164" s="5"/>
      <c r="D164" s="5"/>
      <c r="E164" s="5"/>
      <c r="F164" s="5"/>
      <c r="G164" s="5"/>
      <c r="H164" s="5">
        <f>H163-C163</f>
        <v>12280</v>
      </c>
      <c r="I164" s="5">
        <f>I163-D163</f>
        <v>14018</v>
      </c>
      <c r="J164" s="15"/>
      <c r="K164" s="1"/>
      <c r="L164" s="1"/>
    </row>
    <row r="165">
      <c r="A165" s="1"/>
      <c r="B165" s="1" t="s">
        <v>140</v>
      </c>
      <c r="C165" s="5"/>
      <c r="D165" s="5">
        <f>D163-C163</f>
        <v>1374</v>
      </c>
      <c r="E165" s="5">
        <f>E163-D163</f>
        <v>3151</v>
      </c>
      <c r="F165" s="5">
        <f>F163-E163</f>
        <v>4430</v>
      </c>
      <c r="G165" s="5"/>
      <c r="H165" s="5">
        <f>H163-F163</f>
        <v>3325</v>
      </c>
      <c r="I165" s="5">
        <f>I163-H163</f>
        <v>3112</v>
      </c>
      <c r="J165" s="15"/>
      <c r="K165" s="1"/>
      <c r="L165" s="1"/>
    </row>
    <row r="166" ht="29.25">
      <c r="A166" s="1"/>
      <c r="B166" s="191" t="s">
        <v>164</v>
      </c>
      <c r="C166" s="35">
        <v>13656</v>
      </c>
      <c r="D166" s="35">
        <v>13790</v>
      </c>
      <c r="E166" s="35">
        <v>13984</v>
      </c>
      <c r="F166" s="35">
        <v>14052</v>
      </c>
      <c r="G166" s="5">
        <f>F166</f>
        <v>14052</v>
      </c>
      <c r="H166" s="35">
        <v>13608</v>
      </c>
      <c r="I166" s="35">
        <v>13830</v>
      </c>
      <c r="J166" s="15"/>
      <c r="K166" s="1" t="s">
        <v>94</v>
      </c>
      <c r="L166" s="1"/>
    </row>
    <row r="167">
      <c r="A167" s="1"/>
      <c r="B167" s="1" t="s">
        <v>139</v>
      </c>
      <c r="C167" s="5"/>
      <c r="D167" s="5"/>
      <c r="E167" s="5"/>
      <c r="F167" s="5"/>
      <c r="G167" s="5"/>
      <c r="H167" s="5">
        <f>H166-C166</f>
        <v>-48</v>
      </c>
      <c r="I167" s="5">
        <f>I166-D166</f>
        <v>40</v>
      </c>
      <c r="J167" s="15"/>
      <c r="K167" s="1"/>
      <c r="L167" s="1"/>
    </row>
    <row r="168">
      <c r="A168" s="1"/>
      <c r="B168" s="1" t="s">
        <v>140</v>
      </c>
      <c r="C168" s="5"/>
      <c r="D168" s="5">
        <f>D166-C166</f>
        <v>134</v>
      </c>
      <c r="E168" s="5">
        <f>E166-D166</f>
        <v>194</v>
      </c>
      <c r="F168" s="5">
        <f>F166-E166</f>
        <v>68</v>
      </c>
      <c r="G168" s="5"/>
      <c r="H168" s="5">
        <f>H166-F166</f>
        <v>-444</v>
      </c>
      <c r="I168" s="5">
        <f>I166-H166</f>
        <v>222</v>
      </c>
      <c r="J168" s="15"/>
      <c r="K168" s="1"/>
      <c r="L168" s="1"/>
    </row>
    <row r="169">
      <c r="A169" s="1"/>
      <c r="B169" s="9" t="s">
        <v>165</v>
      </c>
      <c r="C169" s="17">
        <f>C154+C157+C160+C163+C166</f>
        <v>319462</v>
      </c>
      <c r="D169" s="17">
        <f>D154+D157+D160+D163+D166</f>
        <v>320005</v>
      </c>
      <c r="E169" s="17">
        <f>E154+E157+E160+E163+E166</f>
        <v>331180</v>
      </c>
      <c r="F169" s="17">
        <f>F154+F157+F160+F163+F166</f>
        <v>336010</v>
      </c>
      <c r="G169" s="17">
        <f>G154+G157+G160+G163+G166</f>
        <v>336010</v>
      </c>
      <c r="H169" s="17">
        <f>H154+H157+H160+H163+H166</f>
        <v>336560</v>
      </c>
      <c r="I169" s="17">
        <f>I154+I157+I160+I163+I166</f>
        <v>340939</v>
      </c>
      <c r="J169" s="42"/>
      <c r="K169" s="1"/>
      <c r="L169" s="1"/>
    </row>
    <row r="170">
      <c r="A170" s="1"/>
      <c r="B170" s="1" t="s">
        <v>166</v>
      </c>
      <c r="C170" s="35">
        <v>821261</v>
      </c>
      <c r="D170" s="35">
        <v>806572</v>
      </c>
      <c r="E170" s="35">
        <v>810992</v>
      </c>
      <c r="F170" s="35">
        <v>821100</v>
      </c>
      <c r="G170" s="5">
        <f>F170</f>
        <v>821100</v>
      </c>
      <c r="H170" s="35">
        <v>840556</v>
      </c>
      <c r="I170" s="35">
        <v>832165</v>
      </c>
      <c r="J170" s="15"/>
      <c r="K170" s="1" t="s">
        <v>94</v>
      </c>
      <c r="L170" s="1"/>
    </row>
    <row r="171">
      <c r="A171" s="1"/>
      <c r="B171" s="1" t="s">
        <v>139</v>
      </c>
      <c r="C171" s="5"/>
      <c r="D171" s="5"/>
      <c r="E171" s="5"/>
      <c r="F171" s="5"/>
      <c r="G171" s="5"/>
      <c r="H171" s="5">
        <f>H170-C170</f>
        <v>19295</v>
      </c>
      <c r="I171" s="5">
        <f>I170-D170</f>
        <v>25593</v>
      </c>
      <c r="J171" s="15"/>
      <c r="K171" s="1"/>
      <c r="L171" s="1"/>
    </row>
    <row r="172">
      <c r="A172" s="1"/>
      <c r="B172" s="1" t="s">
        <v>140</v>
      </c>
      <c r="C172" s="5"/>
      <c r="D172" s="5">
        <f>D170-C170</f>
        <v>-14689</v>
      </c>
      <c r="E172" s="5">
        <f>E170-D170</f>
        <v>4420</v>
      </c>
      <c r="F172" s="5">
        <f>F170-E170</f>
        <v>10108</v>
      </c>
      <c r="G172" s="5"/>
      <c r="H172" s="5">
        <f>H170-F170</f>
        <v>19456</v>
      </c>
      <c r="I172" s="5">
        <f>I170-H170</f>
        <v>-8391</v>
      </c>
      <c r="J172" s="15"/>
      <c r="K172" s="1"/>
      <c r="L172" s="1"/>
    </row>
    <row r="173">
      <c r="A173" s="1"/>
      <c r="B173" s="1"/>
      <c r="C173" s="13"/>
      <c r="D173" s="13"/>
      <c r="E173" s="13"/>
      <c r="F173" s="13"/>
      <c r="G173" s="13"/>
      <c r="H173" s="13"/>
      <c r="I173" s="13"/>
      <c r="J173" s="27"/>
      <c r="K173" s="1"/>
      <c r="L173" s="1"/>
    </row>
    <row r="174">
      <c r="A174" s="1"/>
      <c r="B174" s="9" t="s">
        <v>167</v>
      </c>
      <c r="C174" s="25"/>
      <c r="D174" s="25"/>
      <c r="E174" s="25"/>
      <c r="F174" s="25"/>
      <c r="G174" s="25"/>
      <c r="H174" s="25"/>
      <c r="I174" s="25"/>
      <c r="J174" s="37"/>
      <c r="K174" s="1"/>
      <c r="L174" s="1"/>
    </row>
    <row r="175" ht="29.25">
      <c r="A175" s="1"/>
      <c r="B175" s="191" t="s">
        <v>168</v>
      </c>
      <c r="C175" s="35">
        <v>126</v>
      </c>
      <c r="D175" s="35">
        <v>133.6</v>
      </c>
      <c r="E175" s="35">
        <v>133.6</v>
      </c>
      <c r="F175" s="35">
        <v>137.3</v>
      </c>
      <c r="G175" s="5">
        <f>SUM(C175:F175)</f>
        <v>530.5</v>
      </c>
      <c r="H175" s="35">
        <v>134.3</v>
      </c>
      <c r="I175" s="35">
        <v>144.8</v>
      </c>
      <c r="J175" s="15">
        <f>E175*(1+J176)</f>
        <v>142.952</v>
      </c>
      <c r="K175" s="1" t="s">
        <v>94</v>
      </c>
      <c r="L175" s="1"/>
    </row>
    <row r="176" ht="29.25">
      <c r="A176" s="1"/>
      <c r="B176" s="194" t="s">
        <v>169</v>
      </c>
      <c r="C176" s="26"/>
      <c r="D176" s="26"/>
      <c r="E176" s="26"/>
      <c r="F176" s="26"/>
      <c r="G176" s="26"/>
      <c r="H176" s="26">
        <f>H175/C175-1</f>
        <v>0.06587301587301586</v>
      </c>
      <c r="I176" s="26">
        <f>I175/D175-1</f>
        <v>0.08383233532934153</v>
      </c>
      <c r="J176" s="106">
        <v>0.07</v>
      </c>
      <c r="K176" s="1"/>
      <c r="L176" s="1"/>
    </row>
    <row r="177">
      <c r="A177" s="1"/>
      <c r="B177" s="1" t="s">
        <v>139</v>
      </c>
      <c r="C177" s="5"/>
      <c r="D177" s="5"/>
      <c r="E177" s="5"/>
      <c r="F177" s="5"/>
      <c r="G177" s="5"/>
      <c r="H177" s="5">
        <f>H175-C175</f>
        <v>8.300000000000011</v>
      </c>
      <c r="I177" s="5">
        <f>I175-D175</f>
        <v>11.200000000000017</v>
      </c>
      <c r="J177" s="15">
        <f>J175-E175</f>
        <v>9.352000000000004</v>
      </c>
      <c r="K177" s="1"/>
      <c r="L177" s="1"/>
    </row>
    <row r="178">
      <c r="A178" s="1"/>
      <c r="B178" s="1" t="s">
        <v>140</v>
      </c>
      <c r="C178" s="5"/>
      <c r="D178" s="5">
        <f>D175-C175</f>
        <v>7.599999999999994</v>
      </c>
      <c r="E178" s="5">
        <f>E175-D175</f>
        <v>0</v>
      </c>
      <c r="F178" s="5">
        <f>F175-E175</f>
        <v>3.700000000000017</v>
      </c>
      <c r="G178" s="5"/>
      <c r="H178" s="5">
        <f>H175-F175</f>
        <v>-3</v>
      </c>
      <c r="I178" s="5">
        <f>I175-H175</f>
        <v>10.5</v>
      </c>
      <c r="J178" s="15">
        <f>J175-I175</f>
        <v>-1.8480000000000132</v>
      </c>
      <c r="K178" s="1"/>
      <c r="L178" s="1"/>
    </row>
    <row r="179" ht="29.25">
      <c r="A179" s="1"/>
      <c r="B179" s="191" t="s">
        <v>170</v>
      </c>
      <c r="C179" s="115">
        <v>2486</v>
      </c>
      <c r="D179" s="115">
        <v>2655</v>
      </c>
      <c r="E179" s="115">
        <v>2674</v>
      </c>
      <c r="F179" s="115">
        <v>2696</v>
      </c>
      <c r="G179" s="107">
        <f>SUM(C179:F179)</f>
        <v>10511</v>
      </c>
      <c r="H179" s="115">
        <v>2582</v>
      </c>
      <c r="I179" s="115">
        <v>2780</v>
      </c>
      <c r="J179" s="113"/>
      <c r="K179" s="1" t="s">
        <v>94</v>
      </c>
      <c r="L179" s="1"/>
    </row>
    <row r="180">
      <c r="A180" s="1"/>
      <c r="B180" s="1" t="s">
        <v>139</v>
      </c>
      <c r="C180" s="5"/>
      <c r="D180" s="5"/>
      <c r="E180" s="5"/>
      <c r="F180" s="5"/>
      <c r="G180" s="5"/>
      <c r="H180" s="5">
        <f>H179-C179</f>
        <v>96</v>
      </c>
      <c r="I180" s="5">
        <f>I179-D179</f>
        <v>125</v>
      </c>
      <c r="J180" s="15"/>
      <c r="K180" s="1"/>
      <c r="L180" s="1"/>
    </row>
    <row r="181">
      <c r="A181" s="1"/>
      <c r="B181" s="1" t="s">
        <v>140</v>
      </c>
      <c r="C181" s="5"/>
      <c r="D181" s="5">
        <f>D179-C179</f>
        <v>169</v>
      </c>
      <c r="E181" s="5">
        <f>E179-D179</f>
        <v>19</v>
      </c>
      <c r="F181" s="5">
        <f>F179-E179</f>
        <v>22</v>
      </c>
      <c r="G181" s="5"/>
      <c r="H181" s="5">
        <f>H179-F179</f>
        <v>-114</v>
      </c>
      <c r="I181" s="5">
        <f>I179-H179</f>
        <v>198</v>
      </c>
      <c r="J181" s="15"/>
      <c r="K181" s="1"/>
      <c r="L181" s="1"/>
    </row>
    <row r="182" ht="29.25">
      <c r="A182" s="1"/>
      <c r="B182" s="191" t="s">
        <v>171</v>
      </c>
      <c r="C182" s="127">
        <f>C175*1000/C179</f>
        <v>50.683829444891394</v>
      </c>
      <c r="D182" s="127">
        <f>D175*1000/D179</f>
        <v>50.32015065913371</v>
      </c>
      <c r="E182" s="127">
        <f>E175*1000/E179</f>
        <v>49.96260284218399</v>
      </c>
      <c r="F182" s="127">
        <f>F175*1000/F179</f>
        <v>50.9272997032641</v>
      </c>
      <c r="G182" s="127">
        <f>G175*1000/G179</f>
        <v>50.47093521073162</v>
      </c>
      <c r="H182" s="127">
        <f>H175*1000/H179</f>
        <v>52.01394268009295</v>
      </c>
      <c r="I182" s="127">
        <f>I175*1000/I179</f>
        <v>52.0863309352518</v>
      </c>
      <c r="J182" s="77"/>
      <c r="K182" s="1"/>
      <c r="L182" s="1"/>
    </row>
    <row r="183">
      <c r="A183" s="1"/>
      <c r="B183" s="1" t="s">
        <v>139</v>
      </c>
      <c r="C183" s="19"/>
      <c r="D183" s="19"/>
      <c r="E183" s="19"/>
      <c r="F183" s="19"/>
      <c r="G183" s="19"/>
      <c r="H183" s="127">
        <f>H182-C182</f>
        <v>1.3301132352015586</v>
      </c>
      <c r="I183" s="127">
        <f>I182-D182</f>
        <v>1.7661802761180923</v>
      </c>
      <c r="J183" s="77"/>
      <c r="K183" s="1"/>
      <c r="L183" s="1"/>
    </row>
    <row r="184">
      <c r="A184" s="1"/>
      <c r="B184" s="1" t="s">
        <v>140</v>
      </c>
      <c r="C184" s="19"/>
      <c r="D184" s="127">
        <f>D182-C182</f>
        <v>-0.36367878575768486</v>
      </c>
      <c r="E184" s="127">
        <f>E182-D182</f>
        <v>-0.3575478169497188</v>
      </c>
      <c r="F184" s="127">
        <f>F182-E182</f>
        <v>0.9646968610801068</v>
      </c>
      <c r="G184" s="19"/>
      <c r="H184" s="127">
        <f>H182-F182</f>
        <v>1.0866429768288555</v>
      </c>
      <c r="I184" s="127">
        <f>I182-H182</f>
        <v>0.07238825515884884</v>
      </c>
      <c r="J184" s="77"/>
      <c r="K184" s="1"/>
      <c r="L184" s="1"/>
    </row>
    <row r="185" ht="29.25">
      <c r="A185" s="1"/>
      <c r="B185" s="191" t="s">
        <v>172</v>
      </c>
      <c r="C185" s="35">
        <v>36.7</v>
      </c>
      <c r="D185" s="35">
        <v>39.9</v>
      </c>
      <c r="E185" s="35">
        <v>40.3</v>
      </c>
      <c r="F185" s="35">
        <v>42.2</v>
      </c>
      <c r="G185" s="5">
        <f>SUM(C185:F185)</f>
        <v>159.1</v>
      </c>
      <c r="H185" s="35">
        <v>40</v>
      </c>
      <c r="I185" s="35">
        <v>44.5</v>
      </c>
      <c r="J185" s="15">
        <f>E185*(1+J186)</f>
        <v>44.33</v>
      </c>
      <c r="K185" s="1" t="s">
        <v>94</v>
      </c>
      <c r="L185" s="1"/>
    </row>
    <row r="186" ht="29.25">
      <c r="A186" s="1"/>
      <c r="B186" s="194" t="s">
        <v>173</v>
      </c>
      <c r="C186" s="26"/>
      <c r="D186" s="26"/>
      <c r="E186" s="26"/>
      <c r="F186" s="26"/>
      <c r="G186" s="26"/>
      <c r="H186" s="26">
        <f>H185/C185-1</f>
        <v>0.08991825613079008</v>
      </c>
      <c r="I186" s="26">
        <f>I185/D185-1</f>
        <v>0.11528822055137855</v>
      </c>
      <c r="J186" s="106">
        <v>0.1</v>
      </c>
      <c r="K186" s="1"/>
      <c r="L186" s="1"/>
    </row>
    <row r="187">
      <c r="A187" s="1"/>
      <c r="B187" s="1" t="s">
        <v>139</v>
      </c>
      <c r="C187" s="5"/>
      <c r="D187" s="5"/>
      <c r="E187" s="5"/>
      <c r="F187" s="5"/>
      <c r="G187" s="5"/>
      <c r="H187" s="5">
        <f>H185-C185</f>
        <v>3.299999999999997</v>
      </c>
      <c r="I187" s="5">
        <f>I185-D185</f>
        <v>4.600000000000001</v>
      </c>
      <c r="J187" s="15">
        <f>J185-E185</f>
        <v>4.030000000000001</v>
      </c>
      <c r="K187" s="1"/>
      <c r="L187" s="1"/>
    </row>
    <row r="188">
      <c r="A188" s="1"/>
      <c r="B188" s="1" t="s">
        <v>140</v>
      </c>
      <c r="C188" s="5"/>
      <c r="D188" s="5">
        <f>D185-C185</f>
        <v>3.1999999999999957</v>
      </c>
      <c r="E188" s="5">
        <f>E185-D185</f>
        <v>0.3999999999999986</v>
      </c>
      <c r="F188" s="5">
        <f>F185-E185</f>
        <v>1.9000000000000057</v>
      </c>
      <c r="G188" s="5"/>
      <c r="H188" s="5">
        <f>H185-F185</f>
        <v>-2.200000000000003</v>
      </c>
      <c r="I188" s="5">
        <f>I185-H185</f>
        <v>4.5</v>
      </c>
      <c r="J188" s="15">
        <f>J185-I185</f>
        <v>-0.1700000000000017</v>
      </c>
      <c r="K188" s="1"/>
      <c r="L188" s="1"/>
    </row>
    <row r="189" ht="29.25">
      <c r="A189" s="1"/>
      <c r="B189" s="193" t="s">
        <v>174</v>
      </c>
      <c r="C189" s="17">
        <f>C175+C185</f>
        <v>162.7</v>
      </c>
      <c r="D189" s="17">
        <f>D175+D185</f>
        <v>173.5</v>
      </c>
      <c r="E189" s="17">
        <f>E175+E185</f>
        <v>173.89999999999998</v>
      </c>
      <c r="F189" s="17">
        <f>F175+F185</f>
        <v>179.5</v>
      </c>
      <c r="G189" s="17">
        <f>G175+G185</f>
        <v>689.6</v>
      </c>
      <c r="H189" s="17">
        <f>H175+H185</f>
        <v>174.3</v>
      </c>
      <c r="I189" s="17">
        <f>I175+I185</f>
        <v>189.3</v>
      </c>
      <c r="J189" s="42">
        <f>J175+J185</f>
        <v>187.28199999999998</v>
      </c>
      <c r="K189" s="1"/>
      <c r="L189" s="1"/>
    </row>
    <row r="190">
      <c r="A190" s="1"/>
      <c r="B190" s="1" t="s">
        <v>139</v>
      </c>
      <c r="C190" s="5"/>
      <c r="D190" s="5"/>
      <c r="E190" s="5"/>
      <c r="F190" s="5"/>
      <c r="G190" s="5"/>
      <c r="H190" s="5">
        <f>H189-C189</f>
        <v>11.600000000000023</v>
      </c>
      <c r="I190" s="5">
        <f>I189-D189</f>
        <v>15.800000000000011</v>
      </c>
      <c r="J190" s="15">
        <f>J189-E189</f>
        <v>13.382000000000005</v>
      </c>
      <c r="K190" s="1"/>
      <c r="L190" s="1"/>
    </row>
    <row r="191">
      <c r="A191" s="1"/>
      <c r="B191" s="1" t="s">
        <v>140</v>
      </c>
      <c r="C191" s="5"/>
      <c r="D191" s="5">
        <f>D189-C189</f>
        <v>10.800000000000011</v>
      </c>
      <c r="E191" s="5">
        <f>E189-D189</f>
        <v>0.39999999999997726</v>
      </c>
      <c r="F191" s="5">
        <f>F189-E189</f>
        <v>5.600000000000023</v>
      </c>
      <c r="G191" s="5"/>
      <c r="H191" s="5">
        <f>H189-F189</f>
        <v>-5.199999999999989</v>
      </c>
      <c r="I191" s="5">
        <f>I189-H189</f>
        <v>15</v>
      </c>
      <c r="J191" s="15">
        <f>J189-I189</f>
        <v>-2.018000000000029</v>
      </c>
      <c r="K191" s="1"/>
      <c r="L191" s="1"/>
    </row>
    <row r="192">
      <c r="A192" s="1"/>
      <c r="B192" s="6" t="s">
        <v>175</v>
      </c>
      <c r="C192" s="200">
        <f>C35/(C189*1000)</f>
        <v>0.006011063306699447</v>
      </c>
      <c r="D192" s="200">
        <f>D35/(D189*1000)</f>
        <v>0.006391930835734871</v>
      </c>
      <c r="E192" s="200">
        <f>E35/(E189*1000)</f>
        <v>0.006682001150086258</v>
      </c>
      <c r="F192" s="200">
        <f>F35/(F189*1000)</f>
        <v>0.0060612813370473535</v>
      </c>
      <c r="G192" s="200">
        <f>G35/(G189*1000)</f>
        <v>0.00628915313225058</v>
      </c>
      <c r="H192" s="200">
        <f>H35/(H189*1000)</f>
        <v>0.006104417670682731</v>
      </c>
      <c r="I192" s="200">
        <f>I35/(I189*1000)</f>
        <v>0.006064447966191231</v>
      </c>
      <c r="J192" s="201">
        <f>AVERAGE(E192,F192,H192,I192)</f>
        <v>0.006228037031001893</v>
      </c>
      <c r="K192" s="1"/>
      <c r="L192" s="1"/>
    </row>
    <row r="193">
      <c r="A193" s="1"/>
      <c r="B193" s="1" t="s">
        <v>151</v>
      </c>
      <c r="C193" s="5"/>
      <c r="D193" s="5"/>
      <c r="E193" s="5"/>
      <c r="F193" s="5"/>
      <c r="G193" s="5"/>
      <c r="H193" s="5">
        <f>(H192-C192)*10000</f>
        <v>0.9335436398328397</v>
      </c>
      <c r="I193" s="5">
        <f>(I192-D192)*10000</f>
        <v>-3.274828695436398</v>
      </c>
      <c r="J193" s="15">
        <f>(J192-E192)*10000</f>
        <v>-4.539641190843642</v>
      </c>
      <c r="K193" s="1"/>
      <c r="L193" s="1"/>
    </row>
    <row r="194">
      <c r="A194" s="1"/>
      <c r="B194" s="1" t="s">
        <v>152</v>
      </c>
      <c r="C194" s="5"/>
      <c r="D194" s="5">
        <f>(D192-C192)*10000</f>
        <v>3.80867529035424</v>
      </c>
      <c r="E194" s="5">
        <f>(E192-D192)*10000</f>
        <v>2.9007031435138684</v>
      </c>
      <c r="F194" s="5">
        <f>(F192-E192)*10000</f>
        <v>-6.20719813038904</v>
      </c>
      <c r="G194" s="5"/>
      <c r="H194" s="5">
        <f>(H192-F192)*10000</f>
        <v>0.4313633363537718</v>
      </c>
      <c r="I194" s="5">
        <f>(I192-H192)*10000</f>
        <v>-0.399697044914998</v>
      </c>
      <c r="J194" s="15">
        <f>(J192-I192)*10000</f>
        <v>1.6358906481066249</v>
      </c>
      <c r="K194" s="1"/>
      <c r="L194" s="1"/>
    </row>
    <row r="195" ht="29.25">
      <c r="A195" s="1"/>
      <c r="B195" s="28" t="s">
        <v>176</v>
      </c>
      <c r="C195" s="25"/>
      <c r="D195" s="25"/>
      <c r="E195" s="25"/>
      <c r="F195" s="25"/>
      <c r="G195" s="25"/>
      <c r="H195" s="25"/>
      <c r="I195" s="25"/>
      <c r="J195" s="37"/>
      <c r="K195" s="1"/>
      <c r="L195" s="1"/>
    </row>
    <row r="196">
      <c r="A196" s="1"/>
      <c r="B196" s="1" t="s">
        <v>177</v>
      </c>
      <c r="C196" s="179" t="s">
        <v>78</v>
      </c>
      <c r="D196" s="179" t="s">
        <v>78</v>
      </c>
      <c r="E196" s="179" t="s">
        <v>78</v>
      </c>
      <c r="F196" s="179" t="s">
        <v>78</v>
      </c>
      <c r="G196" s="179"/>
      <c r="H196" s="179" t="s">
        <v>78</v>
      </c>
      <c r="I196" s="179" t="s">
        <v>78</v>
      </c>
      <c r="J196" s="113"/>
      <c r="K196" s="1"/>
      <c r="L196" s="1"/>
    </row>
    <row r="197">
      <c r="A197" s="1"/>
      <c r="B197" s="1" t="s">
        <v>178</v>
      </c>
      <c r="C197" s="115">
        <v>396</v>
      </c>
      <c r="D197" s="115">
        <v>452</v>
      </c>
      <c r="E197" s="115">
        <v>707</v>
      </c>
      <c r="F197" s="115">
        <v>710</v>
      </c>
      <c r="G197" s="107">
        <f>SUM(C197:F197)</f>
        <v>2265</v>
      </c>
      <c r="H197" s="115">
        <v>631</v>
      </c>
      <c r="I197" s="115">
        <v>662</v>
      </c>
      <c r="J197" s="113"/>
      <c r="K197" s="1" t="s">
        <v>94</v>
      </c>
      <c r="L197" s="1"/>
    </row>
    <row r="198">
      <c r="A198" s="1"/>
      <c r="B198" s="1" t="s">
        <v>139</v>
      </c>
      <c r="C198" s="5"/>
      <c r="D198" s="5"/>
      <c r="E198" s="5"/>
      <c r="F198" s="5"/>
      <c r="G198" s="5"/>
      <c r="H198" s="5">
        <f>H197-C197</f>
        <v>235</v>
      </c>
      <c r="I198" s="5">
        <f>I197-D197</f>
        <v>210</v>
      </c>
      <c r="J198" s="15"/>
      <c r="K198" s="1"/>
      <c r="L198" s="1"/>
    </row>
    <row r="199">
      <c r="A199" s="1"/>
      <c r="B199" s="1" t="s">
        <v>140</v>
      </c>
      <c r="C199" s="5"/>
      <c r="D199" s="5">
        <f>D197-C197</f>
        <v>56</v>
      </c>
      <c r="E199" s="5">
        <f>E197-D197</f>
        <v>255</v>
      </c>
      <c r="F199" s="5">
        <f>F197-E197</f>
        <v>3</v>
      </c>
      <c r="G199" s="5"/>
      <c r="H199" s="5">
        <f>H197-F197</f>
        <v>-79</v>
      </c>
      <c r="I199" s="5">
        <f>I197-H197</f>
        <v>31</v>
      </c>
      <c r="J199" s="15"/>
      <c r="K199" s="1"/>
      <c r="L199" s="1"/>
    </row>
    <row r="200">
      <c r="A200" s="1"/>
      <c r="B200" s="1" t="s">
        <v>179</v>
      </c>
      <c r="C200" s="179" t="s">
        <v>78</v>
      </c>
      <c r="D200" s="179" t="s">
        <v>78</v>
      </c>
      <c r="E200" s="179" t="s">
        <v>78</v>
      </c>
      <c r="F200" s="179" t="s">
        <v>78</v>
      </c>
      <c r="G200" s="179"/>
      <c r="H200" s="179" t="s">
        <v>78</v>
      </c>
      <c r="I200" s="179" t="s">
        <v>78</v>
      </c>
      <c r="J200" s="113"/>
      <c r="K200" s="1"/>
      <c r="L200" s="1"/>
    </row>
    <row r="201">
      <c r="A201" s="1"/>
      <c r="B201" s="1" t="s">
        <v>180</v>
      </c>
      <c r="C201" s="179" t="s">
        <v>78</v>
      </c>
      <c r="D201" s="179" t="s">
        <v>78</v>
      </c>
      <c r="E201" s="179" t="s">
        <v>78</v>
      </c>
      <c r="F201" s="179" t="s">
        <v>78</v>
      </c>
      <c r="G201" s="179"/>
      <c r="H201" s="179" t="s">
        <v>78</v>
      </c>
      <c r="I201" s="179" t="s">
        <v>78</v>
      </c>
      <c r="J201" s="113"/>
      <c r="K201" s="1"/>
      <c r="L201" s="1"/>
    </row>
    <row r="202">
      <c r="A202" s="1"/>
      <c r="B202" s="1" t="s">
        <v>181</v>
      </c>
      <c r="C202" s="179" t="s">
        <v>78</v>
      </c>
      <c r="D202" s="179" t="s">
        <v>78</v>
      </c>
      <c r="E202" s="179" t="s">
        <v>78</v>
      </c>
      <c r="F202" s="179" t="s">
        <v>78</v>
      </c>
      <c r="G202" s="179"/>
      <c r="H202" s="179" t="s">
        <v>78</v>
      </c>
      <c r="I202" s="179" t="s">
        <v>78</v>
      </c>
      <c r="J202" s="113"/>
      <c r="K202" s="1"/>
      <c r="L202" s="1"/>
    </row>
    <row r="203">
      <c r="A203" s="1"/>
      <c r="B203" s="1" t="s">
        <v>182</v>
      </c>
      <c r="C203" s="179" t="s">
        <v>78</v>
      </c>
      <c r="D203" s="179" t="s">
        <v>78</v>
      </c>
      <c r="E203" s="179" t="s">
        <v>78</v>
      </c>
      <c r="F203" s="179" t="s">
        <v>78</v>
      </c>
      <c r="G203" s="179"/>
      <c r="H203" s="179" t="s">
        <v>78</v>
      </c>
      <c r="I203" s="179" t="s">
        <v>78</v>
      </c>
      <c r="J203" s="113"/>
      <c r="K203" s="1"/>
      <c r="L203" s="1"/>
    </row>
    <row r="204">
      <c r="A204" s="1"/>
      <c r="B204" s="6" t="s">
        <v>183</v>
      </c>
      <c r="C204" s="26" t="s">
        <v>78</v>
      </c>
      <c r="D204" s="26" t="s">
        <v>78</v>
      </c>
      <c r="E204" s="26" t="s">
        <v>78</v>
      </c>
      <c r="F204" s="26" t="s">
        <v>78</v>
      </c>
      <c r="G204" s="26"/>
      <c r="H204" s="26" t="s">
        <v>78</v>
      </c>
      <c r="I204" s="26" t="s">
        <v>78</v>
      </c>
      <c r="J204" s="47"/>
      <c r="K204" s="1"/>
      <c r="L204" s="1"/>
    </row>
    <row r="205" ht="29.25">
      <c r="A205" s="1"/>
      <c r="B205" s="28" t="s">
        <v>184</v>
      </c>
      <c r="C205" s="25"/>
      <c r="D205" s="25"/>
      <c r="E205" s="25"/>
      <c r="F205" s="25"/>
      <c r="G205" s="25"/>
      <c r="H205" s="25"/>
      <c r="I205" s="25"/>
      <c r="J205" s="37"/>
      <c r="K205" s="1"/>
      <c r="L205" s="1"/>
    </row>
    <row r="206">
      <c r="A206" s="1"/>
      <c r="B206" s="1" t="s">
        <v>185</v>
      </c>
      <c r="C206" s="5" t="s">
        <v>81</v>
      </c>
      <c r="D206" s="5">
        <f>C210</f>
        <v>36.7</v>
      </c>
      <c r="E206" s="5">
        <f>D210</f>
        <v>36.6</v>
      </c>
      <c r="F206" s="5">
        <f>E210</f>
        <v>37</v>
      </c>
      <c r="G206" s="5" t="str">
        <f>C206</f>
        <v>Unavailable</v>
      </c>
      <c r="H206" s="5">
        <f>F210</f>
        <v>37.2</v>
      </c>
      <c r="I206" s="5">
        <f>H210</f>
        <v>38.1</v>
      </c>
      <c r="J206" s="15">
        <f>I210</f>
        <v>38</v>
      </c>
      <c r="K206" s="1"/>
      <c r="L206" s="1"/>
    </row>
    <row r="207">
      <c r="A207" s="1"/>
      <c r="B207" s="1" t="s">
        <v>186</v>
      </c>
      <c r="C207" s="5" t="s">
        <v>78</v>
      </c>
      <c r="D207" s="5" t="s">
        <v>78</v>
      </c>
      <c r="E207" s="5" t="s">
        <v>78</v>
      </c>
      <c r="F207" s="5" t="s">
        <v>78</v>
      </c>
      <c r="G207" s="5"/>
      <c r="H207" s="5" t="s">
        <v>78</v>
      </c>
      <c r="I207" s="5" t="s">
        <v>78</v>
      </c>
      <c r="J207" s="15"/>
      <c r="K207" s="1"/>
      <c r="L207" s="1"/>
    </row>
    <row r="208">
      <c r="A208" s="1"/>
      <c r="B208" s="1" t="s">
        <v>187</v>
      </c>
      <c r="C208" s="5" t="s">
        <v>78</v>
      </c>
      <c r="D208" s="5" t="s">
        <v>78</v>
      </c>
      <c r="E208" s="5" t="s">
        <v>78</v>
      </c>
      <c r="F208" s="5" t="s">
        <v>78</v>
      </c>
      <c r="G208" s="5"/>
      <c r="H208" s="5" t="s">
        <v>78</v>
      </c>
      <c r="I208" s="5" t="s">
        <v>78</v>
      </c>
      <c r="J208" s="15"/>
      <c r="K208" s="1"/>
      <c r="L208" s="1"/>
    </row>
    <row r="209" ht="29.25">
      <c r="A209" s="1"/>
      <c r="B209" s="191" t="s">
        <v>188</v>
      </c>
      <c r="C209" s="5"/>
      <c r="D209" s="5">
        <f>D210-D206</f>
        <v>-0.10000000000000142</v>
      </c>
      <c r="E209" s="5">
        <f>E210-E206</f>
        <v>0.3999999999999986</v>
      </c>
      <c r="F209" s="5">
        <f>F210-F206</f>
        <v>0.20000000000000284</v>
      </c>
      <c r="G209" s="136" t="s">
        <v>81</v>
      </c>
      <c r="H209" s="5">
        <f>H210-H206</f>
        <v>0.8999999999999986</v>
      </c>
      <c r="I209" s="5">
        <f>I210-I206</f>
        <v>-0.10000000000000142</v>
      </c>
      <c r="J209" s="203">
        <v>0</v>
      </c>
      <c r="K209" s="1"/>
      <c r="L209" s="1"/>
    </row>
    <row r="210">
      <c r="A210" s="1"/>
      <c r="B210" s="1" t="s">
        <v>189</v>
      </c>
      <c r="C210" s="35">
        <v>36.7</v>
      </c>
      <c r="D210" s="35">
        <v>36.6</v>
      </c>
      <c r="E210" s="35">
        <v>37</v>
      </c>
      <c r="F210" s="35">
        <v>37.2</v>
      </c>
      <c r="G210" s="5">
        <f>F210</f>
        <v>37.2</v>
      </c>
      <c r="H210" s="35">
        <v>38.1</v>
      </c>
      <c r="I210" s="35">
        <v>38</v>
      </c>
      <c r="J210" s="15">
        <f>J206+J209</f>
        <v>38</v>
      </c>
      <c r="K210" s="1" t="s">
        <v>94</v>
      </c>
      <c r="L210" s="1"/>
    </row>
    <row r="211" ht="29.25">
      <c r="A211" s="1"/>
      <c r="B211" s="191" t="s">
        <v>190</v>
      </c>
      <c r="C211" s="5"/>
      <c r="D211" s="5">
        <f>(D206+D210)/2</f>
        <v>36.650000000000006</v>
      </c>
      <c r="E211" s="5">
        <f>(E206+E210)/2</f>
        <v>36.8</v>
      </c>
      <c r="F211" s="5">
        <f>(F206+F210)/2</f>
        <v>37.1</v>
      </c>
      <c r="G211" s="5"/>
      <c r="H211" s="5">
        <f>(H206+H210)/2</f>
        <v>37.650000000000006</v>
      </c>
      <c r="I211" s="5">
        <f>(I206+I210)/2</f>
        <v>38.05</v>
      </c>
      <c r="J211" s="15">
        <f>(J206+J210)/2</f>
        <v>38</v>
      </c>
      <c r="K211" s="1"/>
      <c r="L211" s="1"/>
    </row>
    <row r="212">
      <c r="A212" s="1"/>
      <c r="B212" s="6" t="s">
        <v>183</v>
      </c>
      <c r="C212" s="26" t="s">
        <v>78</v>
      </c>
      <c r="D212" s="26" t="s">
        <v>78</v>
      </c>
      <c r="E212" s="26" t="s">
        <v>78</v>
      </c>
      <c r="F212" s="26" t="s">
        <v>78</v>
      </c>
      <c r="G212" s="26"/>
      <c r="H212" s="26" t="s">
        <v>78</v>
      </c>
      <c r="I212" s="26" t="s">
        <v>78</v>
      </c>
      <c r="J212" s="47"/>
      <c r="K212" s="1"/>
      <c r="L212" s="1"/>
    </row>
    <row r="213">
      <c r="A213" s="1"/>
      <c r="B213" s="1" t="s">
        <v>139</v>
      </c>
      <c r="C213" s="5"/>
      <c r="D213" s="5"/>
      <c r="E213" s="5"/>
      <c r="F213" s="5"/>
      <c r="G213" s="5"/>
      <c r="H213" s="5">
        <f>H210-C210</f>
        <v>1.3999999999999986</v>
      </c>
      <c r="I213" s="5">
        <f>I210-D210</f>
        <v>1.3999999999999986</v>
      </c>
      <c r="J213" s="15">
        <f>J210-E210</f>
        <v>1</v>
      </c>
      <c r="K213" s="1"/>
      <c r="L213" s="1"/>
    </row>
    <row r="214">
      <c r="A214" s="1"/>
      <c r="B214" s="1" t="s">
        <v>140</v>
      </c>
      <c r="C214" s="5"/>
      <c r="D214" s="5">
        <f>D210-C210</f>
        <v>-0.10000000000000142</v>
      </c>
      <c r="E214" s="5">
        <f>E210-D210</f>
        <v>0.3999999999999986</v>
      </c>
      <c r="F214" s="5">
        <f>F210-E210</f>
        <v>0.20000000000000284</v>
      </c>
      <c r="G214" s="5"/>
      <c r="H214" s="5">
        <f>H210-F210</f>
        <v>0.8999999999999986</v>
      </c>
      <c r="I214" s="5">
        <f>I210-H210</f>
        <v>-0.10000000000000142</v>
      </c>
      <c r="J214" s="15">
        <f>J210-I210</f>
        <v>0</v>
      </c>
      <c r="K214" s="1"/>
      <c r="L214" s="1"/>
    </row>
    <row r="215" ht="29.25">
      <c r="A215" s="1"/>
      <c r="B215" s="191" t="s">
        <v>191</v>
      </c>
      <c r="C215" s="5"/>
      <c r="D215" s="5">
        <f>D59/D211*365/D9</f>
        <v>1060.2581593031796</v>
      </c>
      <c r="E215" s="5">
        <f>E59/E211*365/E9</f>
        <v>1096.6387051039696</v>
      </c>
      <c r="F215" s="5">
        <f>F59/F211*365/F9</f>
        <v>1081.140864877534</v>
      </c>
      <c r="G215" s="5"/>
      <c r="H215" s="5">
        <f>H59/H211*365/H9</f>
        <v>1076.9573557621366</v>
      </c>
      <c r="I215" s="5">
        <f>I59/I211*365/I9</f>
        <v>1084.4955307504586</v>
      </c>
      <c r="J215" s="15">
        <f>J59/J211*365/J9</f>
        <v>1092.7755173006176</v>
      </c>
      <c r="K215" s="1"/>
      <c r="L215" s="1"/>
    </row>
    <row r="216">
      <c r="A216" s="1"/>
      <c r="B216" s="1" t="s">
        <v>139</v>
      </c>
      <c r="C216" s="5"/>
      <c r="D216" s="5"/>
      <c r="E216" s="5"/>
      <c r="F216" s="5"/>
      <c r="G216" s="5"/>
      <c r="H216" s="5"/>
      <c r="I216" s="5">
        <f>I215-D215</f>
        <v>24.237371447278974</v>
      </c>
      <c r="J216" s="15">
        <f>J215-E215</f>
        <v>-3.863187803352048</v>
      </c>
      <c r="K216" s="1"/>
      <c r="L216" s="1"/>
    </row>
    <row r="217">
      <c r="A217" s="1"/>
      <c r="B217" s="1" t="s">
        <v>140</v>
      </c>
      <c r="C217" s="5"/>
      <c r="D217" s="5"/>
      <c r="E217" s="5">
        <f>E215-D215</f>
        <v>36.38054580079006</v>
      </c>
      <c r="F217" s="5">
        <f>F215-E215</f>
        <v>-15.497840226435528</v>
      </c>
      <c r="G217" s="5"/>
      <c r="H217" s="5">
        <f>H215-F215</f>
        <v>-4.183509115397555</v>
      </c>
      <c r="I217" s="5">
        <f>I215-H215</f>
        <v>7.538174988321998</v>
      </c>
      <c r="J217" s="15">
        <f>J215-I215</f>
        <v>8.279986550159038</v>
      </c>
      <c r="K217" s="1"/>
      <c r="L217" s="1"/>
    </row>
    <row r="218" ht="29.25">
      <c r="A218" s="1"/>
      <c r="B218" s="28" t="s">
        <v>192</v>
      </c>
      <c r="C218" s="25"/>
      <c r="D218" s="25"/>
      <c r="E218" s="25"/>
      <c r="F218" s="25"/>
      <c r="G218" s="25"/>
      <c r="H218" s="25"/>
      <c r="I218" s="25"/>
      <c r="J218" s="37"/>
      <c r="K218" s="1"/>
      <c r="L218" s="1"/>
    </row>
    <row r="219">
      <c r="A219" s="1"/>
      <c r="B219" s="1" t="s">
        <v>193</v>
      </c>
      <c r="C219" s="5" t="s">
        <v>81</v>
      </c>
      <c r="D219" s="5">
        <f>C223</f>
        <v>31.8</v>
      </c>
      <c r="E219" s="5">
        <f>D223</f>
        <v>32.1</v>
      </c>
      <c r="F219" s="5">
        <f>E223</f>
        <v>32.5</v>
      </c>
      <c r="G219" s="5" t="str">
        <f>C219</f>
        <v>Unavailable</v>
      </c>
      <c r="H219" s="5">
        <f>F223</f>
        <v>32.8</v>
      </c>
      <c r="I219" s="5">
        <f>H223</f>
        <v>33.5</v>
      </c>
      <c r="J219" s="15">
        <f>I223</f>
        <v>33.7</v>
      </c>
      <c r="K219" s="1"/>
      <c r="L219" s="1"/>
    </row>
    <row r="220">
      <c r="A220" s="1"/>
      <c r="B220" s="1" t="s">
        <v>186</v>
      </c>
      <c r="C220" s="5" t="s">
        <v>78</v>
      </c>
      <c r="D220" s="5" t="s">
        <v>78</v>
      </c>
      <c r="E220" s="5" t="s">
        <v>78</v>
      </c>
      <c r="F220" s="5" t="s">
        <v>78</v>
      </c>
      <c r="G220" s="5"/>
      <c r="H220" s="5" t="s">
        <v>78</v>
      </c>
      <c r="I220" s="5" t="s">
        <v>78</v>
      </c>
      <c r="J220" s="15"/>
      <c r="K220" s="1"/>
      <c r="L220" s="1"/>
    </row>
    <row r="221">
      <c r="A221" s="1"/>
      <c r="B221" s="1" t="s">
        <v>187</v>
      </c>
      <c r="C221" s="5" t="s">
        <v>78</v>
      </c>
      <c r="D221" s="5" t="s">
        <v>78</v>
      </c>
      <c r="E221" s="5" t="s">
        <v>78</v>
      </c>
      <c r="F221" s="5" t="s">
        <v>78</v>
      </c>
      <c r="G221" s="5"/>
      <c r="H221" s="5" t="s">
        <v>78</v>
      </c>
      <c r="I221" s="5" t="s">
        <v>78</v>
      </c>
      <c r="J221" s="15"/>
      <c r="K221" s="1"/>
      <c r="L221" s="1"/>
    </row>
    <row r="222" ht="29.25">
      <c r="A222" s="1"/>
      <c r="B222" s="191" t="s">
        <v>188</v>
      </c>
      <c r="C222" s="5"/>
      <c r="D222" s="5">
        <f>D223-D219</f>
        <v>0.3000000000000007</v>
      </c>
      <c r="E222" s="5">
        <f>E223-E219</f>
        <v>0.3999999999999986</v>
      </c>
      <c r="F222" s="5">
        <f>F223-F219</f>
        <v>0.29999999999999716</v>
      </c>
      <c r="G222" s="136" t="s">
        <v>81</v>
      </c>
      <c r="H222" s="5">
        <f>H223-H219</f>
        <v>0.7000000000000028</v>
      </c>
      <c r="I222" s="5">
        <f>I223-I219</f>
        <v>0.20000000000000284</v>
      </c>
      <c r="J222" s="203">
        <v>0</v>
      </c>
      <c r="K222" s="1"/>
      <c r="L222" s="1"/>
    </row>
    <row r="223">
      <c r="A223" s="1"/>
      <c r="B223" s="1" t="s">
        <v>194</v>
      </c>
      <c r="C223" s="35">
        <v>31.8</v>
      </c>
      <c r="D223" s="35">
        <v>32.1</v>
      </c>
      <c r="E223" s="35">
        <v>32.5</v>
      </c>
      <c r="F223" s="35">
        <v>32.8</v>
      </c>
      <c r="G223" s="5">
        <f>F223</f>
        <v>32.8</v>
      </c>
      <c r="H223" s="35">
        <v>33.5</v>
      </c>
      <c r="I223" s="35">
        <v>33.7</v>
      </c>
      <c r="J223" s="15">
        <f>J219+J222</f>
        <v>33.7</v>
      </c>
      <c r="K223" s="1" t="s">
        <v>94</v>
      </c>
      <c r="L223" s="1"/>
    </row>
    <row r="224">
      <c r="A224" s="1"/>
      <c r="B224" s="1" t="s">
        <v>195</v>
      </c>
      <c r="C224" s="5"/>
      <c r="D224" s="5">
        <f>(D219+D223)/2</f>
        <v>31.950000000000003</v>
      </c>
      <c r="E224" s="5">
        <f>(E219+E223)/2</f>
        <v>32.3</v>
      </c>
      <c r="F224" s="5">
        <f>(F219+F223)/2</f>
        <v>32.65</v>
      </c>
      <c r="G224" s="5"/>
      <c r="H224" s="5">
        <f>(H219+H223)/2</f>
        <v>33.15</v>
      </c>
      <c r="I224" s="5">
        <f>(I219+I223)/2</f>
        <v>33.6</v>
      </c>
      <c r="J224" s="15">
        <f>(J219+J223)/2</f>
        <v>33.7</v>
      </c>
      <c r="K224" s="1"/>
      <c r="L224" s="1"/>
    </row>
    <row r="225">
      <c r="A225" s="1"/>
      <c r="B225" s="6" t="s">
        <v>183</v>
      </c>
      <c r="C225" s="26" t="s">
        <v>78</v>
      </c>
      <c r="D225" s="26" t="s">
        <v>78</v>
      </c>
      <c r="E225" s="26" t="s">
        <v>78</v>
      </c>
      <c r="F225" s="26" t="s">
        <v>78</v>
      </c>
      <c r="G225" s="26"/>
      <c r="H225" s="26" t="s">
        <v>78</v>
      </c>
      <c r="I225" s="26" t="s">
        <v>78</v>
      </c>
      <c r="J225" s="47"/>
      <c r="K225" s="1"/>
      <c r="L225" s="1"/>
    </row>
    <row r="226">
      <c r="A226" s="1"/>
      <c r="B226" s="1" t="s">
        <v>139</v>
      </c>
      <c r="C226" s="5"/>
      <c r="D226" s="5"/>
      <c r="E226" s="5"/>
      <c r="F226" s="5"/>
      <c r="G226" s="5"/>
      <c r="H226" s="5">
        <f>H223-C223</f>
        <v>1.6999999999999993</v>
      </c>
      <c r="I226" s="5">
        <f>I223-D223</f>
        <v>1.6000000000000014</v>
      </c>
      <c r="J226" s="15">
        <f>J223-E223</f>
        <v>1.2000000000000028</v>
      </c>
      <c r="K226" s="1"/>
      <c r="L226" s="1"/>
    </row>
    <row r="227">
      <c r="A227" s="1"/>
      <c r="B227" s="1" t="s">
        <v>140</v>
      </c>
      <c r="C227" s="5"/>
      <c r="D227" s="5">
        <f>D223-C223</f>
        <v>0.3000000000000007</v>
      </c>
      <c r="E227" s="5">
        <f>E223-D223</f>
        <v>0.3999999999999986</v>
      </c>
      <c r="F227" s="5">
        <f>F223-E223</f>
        <v>0.29999999999999716</v>
      </c>
      <c r="G227" s="5"/>
      <c r="H227" s="5">
        <f>H223-F223</f>
        <v>0.7000000000000028</v>
      </c>
      <c r="I227" s="5">
        <f>I223-H223</f>
        <v>0.20000000000000284</v>
      </c>
      <c r="J227" s="15">
        <f>J223-I223</f>
        <v>0</v>
      </c>
      <c r="K227" s="1"/>
      <c r="L227" s="1"/>
    </row>
    <row r="228" ht="29.25">
      <c r="A228" s="1"/>
      <c r="B228" s="194" t="s">
        <v>196</v>
      </c>
      <c r="C228" s="26">
        <f>C223/C210</f>
        <v>0.8664850136239781</v>
      </c>
      <c r="D228" s="26">
        <f>D223/D210</f>
        <v>0.8770491803278688</v>
      </c>
      <c r="E228" s="26">
        <f>E223/E210</f>
        <v>0.8783783783783784</v>
      </c>
      <c r="F228" s="26">
        <f>F223/F210</f>
        <v>0.8817204301075268</v>
      </c>
      <c r="G228" s="26">
        <f>G223/G210</f>
        <v>0.8817204301075268</v>
      </c>
      <c r="H228" s="26">
        <f>H223/H210</f>
        <v>0.879265091863517</v>
      </c>
      <c r="I228" s="26">
        <f>I223/I210</f>
        <v>0.886842105263158</v>
      </c>
      <c r="J228" s="47"/>
      <c r="K228" s="1"/>
      <c r="L228" s="1"/>
    </row>
    <row r="229">
      <c r="A229" s="1"/>
      <c r="B229" s="1" t="s">
        <v>151</v>
      </c>
      <c r="C229" s="5"/>
      <c r="D229" s="5"/>
      <c r="E229" s="5"/>
      <c r="F229" s="5"/>
      <c r="G229" s="5"/>
      <c r="H229" s="5">
        <f>(H228-C228)*10000</f>
        <v>127.80078239538861</v>
      </c>
      <c r="I229" s="5">
        <f>(I228-D228)*10000</f>
        <v>97.9292493528916</v>
      </c>
      <c r="J229" s="15"/>
      <c r="K229" s="1"/>
      <c r="L229" s="1"/>
    </row>
    <row r="230">
      <c r="A230" s="1"/>
      <c r="B230" s="1" t="s">
        <v>152</v>
      </c>
      <c r="C230" s="5"/>
      <c r="D230" s="5">
        <f>(D228-C228)*10000</f>
        <v>105.64166703890709</v>
      </c>
      <c r="E230" s="5">
        <f>(E228-D228)*10000</f>
        <v>13.291980505095724</v>
      </c>
      <c r="F230" s="5">
        <f>(F228-E228)*10000</f>
        <v>33.420517291483655</v>
      </c>
      <c r="G230" s="5"/>
      <c r="H230" s="5">
        <f>(H228-F228)*10000</f>
        <v>-24.55338244009786</v>
      </c>
      <c r="I230" s="5">
        <f>(I228-H228)*10000</f>
        <v>75.77013399641008</v>
      </c>
      <c r="J230" s="15"/>
      <c r="K230" s="1"/>
      <c r="L230" s="1"/>
    </row>
    <row r="231">
      <c r="A231" s="1"/>
      <c r="B231" s="9" t="s">
        <v>197</v>
      </c>
      <c r="C231" s="25"/>
      <c r="D231" s="25"/>
      <c r="E231" s="25"/>
      <c r="F231" s="25"/>
      <c r="G231" s="25"/>
      <c r="H231" s="25"/>
      <c r="I231" s="25"/>
      <c r="J231" s="37"/>
      <c r="K231" s="1"/>
      <c r="L231" s="1"/>
    </row>
    <row r="232">
      <c r="A232" s="1"/>
      <c r="B232" s="1" t="s">
        <v>198</v>
      </c>
      <c r="C232" s="179" t="s">
        <v>81</v>
      </c>
      <c r="D232" s="179">
        <f>C236</f>
        <v>4155</v>
      </c>
      <c r="E232" s="179">
        <f>D236</f>
        <v>4135</v>
      </c>
      <c r="F232" s="179">
        <f>E236</f>
        <v>4108</v>
      </c>
      <c r="G232" s="179" t="str">
        <f>C232</f>
        <v>Unavailable</v>
      </c>
      <c r="H232" s="179">
        <f>F236</f>
        <v>4090</v>
      </c>
      <c r="I232" s="179">
        <f>H236</f>
        <v>4093</v>
      </c>
      <c r="J232" s="113">
        <f>I236</f>
        <v>4079</v>
      </c>
      <c r="K232" s="1"/>
      <c r="L232" s="1"/>
    </row>
    <row r="233">
      <c r="A233" s="1"/>
      <c r="B233" s="1" t="s">
        <v>186</v>
      </c>
      <c r="C233" s="179" t="s">
        <v>78</v>
      </c>
      <c r="D233" s="179" t="s">
        <v>78</v>
      </c>
      <c r="E233" s="179" t="s">
        <v>78</v>
      </c>
      <c r="F233" s="179" t="s">
        <v>78</v>
      </c>
      <c r="G233" s="179"/>
      <c r="H233" s="179" t="s">
        <v>78</v>
      </c>
      <c r="I233" s="179" t="s">
        <v>78</v>
      </c>
      <c r="J233" s="113"/>
      <c r="K233" s="1"/>
      <c r="L233" s="1"/>
    </row>
    <row r="234">
      <c r="A234" s="1"/>
      <c r="B234" s="1" t="s">
        <v>187</v>
      </c>
      <c r="C234" s="179" t="s">
        <v>78</v>
      </c>
      <c r="D234" s="179" t="s">
        <v>78</v>
      </c>
      <c r="E234" s="179" t="s">
        <v>78</v>
      </c>
      <c r="F234" s="179" t="s">
        <v>78</v>
      </c>
      <c r="G234" s="179"/>
      <c r="H234" s="179" t="s">
        <v>78</v>
      </c>
      <c r="I234" s="179" t="s">
        <v>78</v>
      </c>
      <c r="J234" s="113"/>
      <c r="K234" s="1"/>
      <c r="L234" s="1"/>
    </row>
    <row r="235" ht="29.25">
      <c r="A235" s="1"/>
      <c r="B235" s="191" t="s">
        <v>188</v>
      </c>
      <c r="C235" s="107"/>
      <c r="D235" s="107">
        <f>D236-D232</f>
        <v>-20</v>
      </c>
      <c r="E235" s="107">
        <f>E236-E232</f>
        <v>-27</v>
      </c>
      <c r="F235" s="107">
        <f>F236-F232</f>
        <v>-18</v>
      </c>
      <c r="G235" s="179" t="s">
        <v>81</v>
      </c>
      <c r="H235" s="107">
        <f>H236-H232</f>
        <v>3</v>
      </c>
      <c r="I235" s="107">
        <f>I236-I232</f>
        <v>-14</v>
      </c>
      <c r="J235" s="211">
        <v>0</v>
      </c>
      <c r="K235" s="1"/>
      <c r="L235" s="1"/>
    </row>
    <row r="236">
      <c r="A236" s="1"/>
      <c r="B236" s="1" t="s">
        <v>199</v>
      </c>
      <c r="C236" s="115">
        <v>4155</v>
      </c>
      <c r="D236" s="115">
        <v>4135</v>
      </c>
      <c r="E236" s="115">
        <v>4108</v>
      </c>
      <c r="F236" s="115">
        <v>4090</v>
      </c>
      <c r="G236" s="107">
        <f>F236</f>
        <v>4090</v>
      </c>
      <c r="H236" s="115">
        <v>4093</v>
      </c>
      <c r="I236" s="115">
        <v>4079</v>
      </c>
      <c r="J236" s="113">
        <f>J232+J235</f>
        <v>4079</v>
      </c>
      <c r="K236" s="1" t="s">
        <v>94</v>
      </c>
      <c r="L236" s="1"/>
    </row>
    <row r="237">
      <c r="A237" s="1"/>
      <c r="B237" s="1" t="s">
        <v>200</v>
      </c>
      <c r="C237" s="107"/>
      <c r="D237" s="107">
        <f>(D232+D236)/2</f>
        <v>4145</v>
      </c>
      <c r="E237" s="107">
        <f>(E232+E236)/2</f>
        <v>4121.5</v>
      </c>
      <c r="F237" s="107">
        <f>(F232+F236)/2</f>
        <v>4099</v>
      </c>
      <c r="G237" s="107"/>
      <c r="H237" s="107">
        <f>(H232+H236)/2</f>
        <v>4091.5</v>
      </c>
      <c r="I237" s="107">
        <f>(I232+I236)/2</f>
        <v>4086</v>
      </c>
      <c r="J237" s="113">
        <f>(J232+J236)/2</f>
        <v>4079</v>
      </c>
      <c r="K237" s="1"/>
      <c r="L237" s="1"/>
    </row>
    <row r="238">
      <c r="A238" s="1"/>
      <c r="B238" s="6" t="s">
        <v>183</v>
      </c>
      <c r="C238" s="26" t="s">
        <v>78</v>
      </c>
      <c r="D238" s="26" t="s">
        <v>78</v>
      </c>
      <c r="E238" s="26" t="s">
        <v>78</v>
      </c>
      <c r="F238" s="26" t="s">
        <v>78</v>
      </c>
      <c r="G238" s="26"/>
      <c r="H238" s="26" t="s">
        <v>78</v>
      </c>
      <c r="I238" s="26" t="s">
        <v>78</v>
      </c>
      <c r="J238" s="47"/>
      <c r="K238" s="1"/>
      <c r="L238" s="1"/>
    </row>
    <row r="239">
      <c r="A239" s="1"/>
      <c r="B239" s="1" t="s">
        <v>139</v>
      </c>
      <c r="C239" s="5"/>
      <c r="D239" s="5"/>
      <c r="E239" s="5"/>
      <c r="F239" s="5"/>
      <c r="G239" s="5"/>
      <c r="H239" s="5">
        <f>H236-C236</f>
        <v>-62</v>
      </c>
      <c r="I239" s="5">
        <f>I236-D236</f>
        <v>-56</v>
      </c>
      <c r="J239" s="15">
        <f>J236-E236</f>
        <v>-29</v>
      </c>
      <c r="K239" s="1"/>
      <c r="L239" s="1"/>
    </row>
    <row r="240">
      <c r="A240" s="1"/>
      <c r="B240" s="1" t="s">
        <v>140</v>
      </c>
      <c r="C240" s="5"/>
      <c r="D240" s="5">
        <f>D236-C236</f>
        <v>-20</v>
      </c>
      <c r="E240" s="5">
        <f>E236-D236</f>
        <v>-27</v>
      </c>
      <c r="F240" s="5">
        <f>F236-E236</f>
        <v>-18</v>
      </c>
      <c r="G240" s="5"/>
      <c r="H240" s="5">
        <f>H236-F236</f>
        <v>3</v>
      </c>
      <c r="I240" s="5">
        <f>I236-H236</f>
        <v>-14</v>
      </c>
      <c r="J240" s="15">
        <f>J236-I236</f>
        <v>0</v>
      </c>
      <c r="K240" s="1"/>
      <c r="L240" s="1"/>
    </row>
    <row r="241">
      <c r="A241" s="1"/>
      <c r="B241" s="1"/>
      <c r="C241" s="13"/>
      <c r="D241" s="13"/>
      <c r="E241" s="13"/>
      <c r="F241" s="13"/>
      <c r="G241" s="13"/>
      <c r="H241" s="13"/>
      <c r="I241" s="13"/>
      <c r="J241" s="27"/>
      <c r="K241" s="1"/>
      <c r="L241" s="1"/>
    </row>
    <row r="242">
      <c r="A242" s="1"/>
      <c r="B242" s="9" t="s">
        <v>201</v>
      </c>
      <c r="C242" s="25"/>
      <c r="D242" s="25"/>
      <c r="E242" s="25"/>
      <c r="F242" s="25"/>
      <c r="G242" s="25"/>
      <c r="H242" s="25"/>
      <c r="I242" s="25"/>
      <c r="J242" s="37"/>
      <c r="K242" s="1"/>
      <c r="L242" s="1"/>
    </row>
    <row r="243" ht="29.25">
      <c r="A243" s="1"/>
      <c r="B243" s="191" t="s">
        <v>202</v>
      </c>
      <c r="C243" s="35">
        <v>4.4</v>
      </c>
      <c r="D243" s="35">
        <v>7.4</v>
      </c>
      <c r="E243" s="35">
        <v>7</v>
      </c>
      <c r="F243" s="35">
        <v>7.5</v>
      </c>
      <c r="G243" s="5">
        <f>SUM(C243:F243)</f>
        <v>26.3</v>
      </c>
      <c r="H243" s="35">
        <v>6.3</v>
      </c>
      <c r="I243" s="35">
        <v>9</v>
      </c>
      <c r="J243" s="15"/>
      <c r="K243" s="1" t="s">
        <v>94</v>
      </c>
      <c r="L243" s="1"/>
    </row>
    <row r="244">
      <c r="A244" s="1"/>
      <c r="B244" s="1" t="s">
        <v>139</v>
      </c>
      <c r="C244" s="5"/>
      <c r="D244" s="5"/>
      <c r="E244" s="5"/>
      <c r="F244" s="5"/>
      <c r="G244" s="5"/>
      <c r="H244" s="5">
        <f>H243-C243</f>
        <v>1.8999999999999995</v>
      </c>
      <c r="I244" s="5">
        <f>I243-D243</f>
        <v>1.5999999999999996</v>
      </c>
      <c r="J244" s="15"/>
      <c r="K244" s="1"/>
      <c r="L244" s="1"/>
    </row>
    <row r="245">
      <c r="A245" s="1"/>
      <c r="B245" s="1" t="s">
        <v>140</v>
      </c>
      <c r="C245" s="5"/>
      <c r="D245" s="5">
        <f>D243-C243</f>
        <v>3</v>
      </c>
      <c r="E245" s="5">
        <f>E243-D243</f>
        <v>-0.40000000000000036</v>
      </c>
      <c r="F245" s="5">
        <f>F243-E243</f>
        <v>0.5</v>
      </c>
      <c r="G245" s="5"/>
      <c r="H245" s="5">
        <f>H243-F243</f>
        <v>-1.2000000000000002</v>
      </c>
      <c r="I245" s="5">
        <f>I243-H243</f>
        <v>2.7</v>
      </c>
      <c r="J245" s="15"/>
      <c r="K245" s="1"/>
      <c r="L245" s="1"/>
    </row>
    <row r="246">
      <c r="A246" s="1"/>
      <c r="B246" s="6" t="s">
        <v>203</v>
      </c>
      <c r="C246" s="65">
        <v>0.382</v>
      </c>
      <c r="D246" s="65">
        <v>0.34</v>
      </c>
      <c r="E246" s="65">
        <v>0.31</v>
      </c>
      <c r="F246" s="65">
        <v>0.219</v>
      </c>
      <c r="G246" s="26"/>
      <c r="H246" s="65">
        <v>0.244</v>
      </c>
      <c r="I246" s="65">
        <v>0.206</v>
      </c>
      <c r="J246" s="47"/>
      <c r="K246" s="1" t="s">
        <v>94</v>
      </c>
      <c r="L246" s="1"/>
    </row>
    <row r="247">
      <c r="A247" s="1"/>
      <c r="B247" s="1" t="s">
        <v>151</v>
      </c>
      <c r="C247" s="5"/>
      <c r="D247" s="5"/>
      <c r="E247" s="5"/>
      <c r="F247" s="5"/>
      <c r="G247" s="5"/>
      <c r="H247" s="5">
        <f>(H246-C246)*10000</f>
        <v>-1380.0000000000002</v>
      </c>
      <c r="I247" s="5">
        <f>(I246-D246)*10000</f>
        <v>-1340.0000000000005</v>
      </c>
      <c r="J247" s="15"/>
      <c r="K247" s="1"/>
      <c r="L247" s="1"/>
    </row>
    <row r="248">
      <c r="A248" s="1"/>
      <c r="B248" s="1" t="s">
        <v>152</v>
      </c>
      <c r="C248" s="5"/>
      <c r="D248" s="5">
        <f>(D246-C246)*10000</f>
        <v>-419.99999999999983</v>
      </c>
      <c r="E248" s="5">
        <f>(E246-D246)*10000</f>
        <v>-300.0000000000003</v>
      </c>
      <c r="F248" s="5">
        <f>(F246-E246)*10000</f>
        <v>-910</v>
      </c>
      <c r="G248" s="5"/>
      <c r="H248" s="5">
        <f>(H246-F246)*10000</f>
        <v>249.99999999999994</v>
      </c>
      <c r="I248" s="5">
        <f>(I246-H246)*10000</f>
        <v>-380.00000000000006</v>
      </c>
      <c r="J248" s="15"/>
      <c r="K248" s="1"/>
      <c r="L248" s="1"/>
    </row>
    <row r="249" ht="29.25">
      <c r="A249" s="1"/>
      <c r="B249" s="191" t="s">
        <v>204</v>
      </c>
      <c r="C249" s="35">
        <v>471.1</v>
      </c>
      <c r="D249" s="35">
        <v>455.5</v>
      </c>
      <c r="E249" s="35">
        <v>433.8</v>
      </c>
      <c r="F249" s="35">
        <v>397</v>
      </c>
      <c r="G249" s="5">
        <f>F249</f>
        <v>397</v>
      </c>
      <c r="H249" s="35">
        <v>386.6</v>
      </c>
      <c r="I249" s="35">
        <v>361.4</v>
      </c>
      <c r="J249" s="15">
        <f>I249*(1+J250)</f>
        <v>350.558</v>
      </c>
      <c r="K249" s="1" t="s">
        <v>94</v>
      </c>
      <c r="L249" s="1"/>
    </row>
    <row r="250">
      <c r="A250" s="1"/>
      <c r="B250" s="6" t="s">
        <v>124</v>
      </c>
      <c r="C250" s="26"/>
      <c r="D250" s="26">
        <f>D249/C249-1</f>
        <v>-0.0331139885374655</v>
      </c>
      <c r="E250" s="26">
        <f>E249/D249-1</f>
        <v>-0.04763995609220639</v>
      </c>
      <c r="F250" s="26">
        <f>F249/E249-1</f>
        <v>-0.0848317196864915</v>
      </c>
      <c r="G250" s="26"/>
      <c r="H250" s="26">
        <f>H249/F249-1</f>
        <v>-0.026196473551637234</v>
      </c>
      <c r="I250" s="26">
        <f>I249/H249-1</f>
        <v>-0.06518365235385426</v>
      </c>
      <c r="J250" s="106">
        <v>-0.03</v>
      </c>
      <c r="K250" s="1"/>
      <c r="L250" s="1"/>
    </row>
    <row r="251">
      <c r="A251" s="1"/>
      <c r="B251" s="1" t="s">
        <v>139</v>
      </c>
      <c r="C251" s="5"/>
      <c r="D251" s="5"/>
      <c r="E251" s="5"/>
      <c r="F251" s="5"/>
      <c r="G251" s="5"/>
      <c r="H251" s="5">
        <f>H249-C249</f>
        <v>-84.5</v>
      </c>
      <c r="I251" s="5">
        <f>I249-D249</f>
        <v>-94.10000000000002</v>
      </c>
      <c r="J251" s="15">
        <f>J249-E249</f>
        <v>-83.24200000000002</v>
      </c>
      <c r="K251" s="1"/>
      <c r="L251" s="1"/>
    </row>
    <row r="252">
      <c r="A252" s="1"/>
      <c r="B252" s="1" t="s">
        <v>140</v>
      </c>
      <c r="C252" s="5"/>
      <c r="D252" s="5">
        <f>D249-C249</f>
        <v>-15.600000000000023</v>
      </c>
      <c r="E252" s="5">
        <f>E249-D249</f>
        <v>-21.69999999999999</v>
      </c>
      <c r="F252" s="5">
        <f>F249-E249</f>
        <v>-36.80000000000001</v>
      </c>
      <c r="G252" s="5"/>
      <c r="H252" s="5">
        <f>H249-F249</f>
        <v>-10.399999999999977</v>
      </c>
      <c r="I252" s="5">
        <f>I249-H249</f>
        <v>-25.200000000000045</v>
      </c>
      <c r="J252" s="15">
        <f>J249-I249</f>
        <v>-10.841999999999985</v>
      </c>
      <c r="K252" s="1"/>
      <c r="L252" s="1"/>
    </row>
    <row r="253" ht="29.25">
      <c r="A253" s="1"/>
      <c r="B253" s="194" t="s">
        <v>205</v>
      </c>
      <c r="C253" s="200">
        <f>C41/(C249*1000)</f>
        <v>0.0004712375291870091</v>
      </c>
      <c r="D253" s="200">
        <f>D41/(D249*1000)</f>
        <v>0.00037102085620197586</v>
      </c>
      <c r="E253" s="200">
        <f>E41/(E249*1000)</f>
        <v>0.00045873674504379896</v>
      </c>
      <c r="F253" s="200">
        <f>F41/(F249*1000)</f>
        <v>0.0004508816120906801</v>
      </c>
      <c r="G253" s="200"/>
      <c r="H253" s="200">
        <f>H41/(H249*1000)</f>
        <v>0.000421624418003104</v>
      </c>
      <c r="I253" s="200">
        <f>I41/(I249*1000)</f>
        <v>0.00042612064194798006</v>
      </c>
      <c r="J253" s="201">
        <f>I253</f>
        <v>0.00042612064194798006</v>
      </c>
      <c r="K253" s="1"/>
      <c r="L253" s="1"/>
    </row>
    <row r="254">
      <c r="A254" s="1"/>
      <c r="B254" s="1" t="s">
        <v>151</v>
      </c>
      <c r="C254" s="5"/>
      <c r="D254" s="5"/>
      <c r="E254" s="5"/>
      <c r="F254" s="5"/>
      <c r="G254" s="5"/>
      <c r="H254" s="5">
        <f>(H253-C253)*10000</f>
        <v>-0.4961311118390513</v>
      </c>
      <c r="I254" s="5">
        <f>(I253-D253)*10000</f>
        <v>0.550997857460042</v>
      </c>
      <c r="J254" s="15">
        <f>(J253-E253)*10000</f>
        <v>-0.326161030958189</v>
      </c>
      <c r="K254" s="1"/>
      <c r="L254" s="1"/>
    </row>
    <row r="255">
      <c r="A255" s="1"/>
      <c r="B255" s="1" t="s">
        <v>152</v>
      </c>
      <c r="C255" s="5"/>
      <c r="D255" s="5">
        <f>(D253-C253)*10000</f>
        <v>-1.0021667298503323</v>
      </c>
      <c r="E255" s="5">
        <f>(E253-D253)*10000</f>
        <v>0.877158888418231</v>
      </c>
      <c r="F255" s="5">
        <f>(F253-E253)*10000</f>
        <v>-0.07855132953118864</v>
      </c>
      <c r="G255" s="5"/>
      <c r="H255" s="5">
        <f>(H253-F253)*10000</f>
        <v>-0.2925719408757612</v>
      </c>
      <c r="I255" s="5">
        <f>(I253-H253)*10000</f>
        <v>0.044962239448760905</v>
      </c>
      <c r="J255" s="15">
        <f>(J253-I253)*10000</f>
        <v>0</v>
      </c>
      <c r="K255" s="1"/>
      <c r="L255" s="1"/>
    </row>
    <row r="256">
      <c r="A256" s="1"/>
      <c r="B256" s="1" t="s">
        <v>206</v>
      </c>
      <c r="C256" s="35">
        <v>4.6</v>
      </c>
      <c r="D256" s="35">
        <v>6.9</v>
      </c>
      <c r="E256" s="35">
        <v>8.8</v>
      </c>
      <c r="F256" s="35">
        <v>10.2</v>
      </c>
      <c r="G256" s="5">
        <f>SUM(C256:F256)</f>
        <v>30.5</v>
      </c>
      <c r="H256" s="35">
        <v>9.7</v>
      </c>
      <c r="I256" s="35">
        <v>9.7</v>
      </c>
      <c r="J256" s="15"/>
      <c r="K256" s="1" t="s">
        <v>94</v>
      </c>
      <c r="L256" s="1"/>
    </row>
    <row r="257">
      <c r="A257" s="1"/>
      <c r="B257" s="1" t="s">
        <v>139</v>
      </c>
      <c r="C257" s="5"/>
      <c r="D257" s="5"/>
      <c r="E257" s="5"/>
      <c r="F257" s="5"/>
      <c r="G257" s="5"/>
      <c r="H257" s="5">
        <f>H256-C256</f>
        <v>5.1</v>
      </c>
      <c r="I257" s="5">
        <f>I256-D256</f>
        <v>2.799999999999999</v>
      </c>
      <c r="J257" s="15"/>
      <c r="K257" s="1"/>
      <c r="L257" s="1"/>
    </row>
    <row r="258">
      <c r="A258" s="1"/>
      <c r="B258" s="1" t="s">
        <v>140</v>
      </c>
      <c r="C258" s="5"/>
      <c r="D258" s="5">
        <f>D256-C256</f>
        <v>2.3000000000000007</v>
      </c>
      <c r="E258" s="5">
        <f>E256-D256</f>
        <v>1.9000000000000004</v>
      </c>
      <c r="F258" s="5">
        <f>F256-E256</f>
        <v>1.3999999999999986</v>
      </c>
      <c r="G258" s="5"/>
      <c r="H258" s="5">
        <f>H256-F256</f>
        <v>-0.5</v>
      </c>
      <c r="I258" s="5">
        <f>I256-H256</f>
        <v>0</v>
      </c>
      <c r="J258" s="15"/>
      <c r="K258" s="1"/>
      <c r="L258" s="1"/>
    </row>
    <row r="259" ht="29.25">
      <c r="A259" s="1"/>
      <c r="B259" s="191" t="s">
        <v>207</v>
      </c>
      <c r="C259" s="35">
        <v>237</v>
      </c>
      <c r="D259" s="35">
        <v>249</v>
      </c>
      <c r="E259" s="35">
        <v>262</v>
      </c>
      <c r="F259" s="35">
        <v>265</v>
      </c>
      <c r="G259" s="5">
        <f>F259</f>
        <v>265</v>
      </c>
      <c r="H259" s="35">
        <v>261</v>
      </c>
      <c r="I259" s="35">
        <v>282</v>
      </c>
      <c r="J259" s="15">
        <f>I259</f>
        <v>282</v>
      </c>
      <c r="K259" s="1" t="s">
        <v>94</v>
      </c>
      <c r="L259" s="1"/>
    </row>
    <row r="260">
      <c r="A260" s="1"/>
      <c r="B260" s="1" t="s">
        <v>139</v>
      </c>
      <c r="C260" s="5"/>
      <c r="D260" s="5"/>
      <c r="E260" s="5"/>
      <c r="F260" s="5"/>
      <c r="G260" s="5"/>
      <c r="H260" s="5">
        <f>H259-C259</f>
        <v>24</v>
      </c>
      <c r="I260" s="5">
        <f>I259-D259</f>
        <v>33</v>
      </c>
      <c r="J260" s="15">
        <f>J259-E259</f>
        <v>20</v>
      </c>
      <c r="K260" s="1"/>
      <c r="L260" s="1"/>
    </row>
    <row r="261">
      <c r="A261" s="1"/>
      <c r="B261" s="1" t="s">
        <v>140</v>
      </c>
      <c r="C261" s="5"/>
      <c r="D261" s="5">
        <f>D259-C259</f>
        <v>12</v>
      </c>
      <c r="E261" s="5">
        <f>E259-D259</f>
        <v>13</v>
      </c>
      <c r="F261" s="5">
        <f>F259-E259</f>
        <v>3</v>
      </c>
      <c r="G261" s="5"/>
      <c r="H261" s="5">
        <f>H259-F259</f>
        <v>-4</v>
      </c>
      <c r="I261" s="5">
        <f>I259-H259</f>
        <v>21</v>
      </c>
      <c r="J261" s="15">
        <f>J259-I259</f>
        <v>0</v>
      </c>
      <c r="K261" s="1"/>
      <c r="L261" s="1"/>
    </row>
    <row r="262" ht="29.25">
      <c r="A262" s="1"/>
      <c r="B262" s="191" t="s">
        <v>208</v>
      </c>
      <c r="C262" s="5" t="s">
        <v>81</v>
      </c>
      <c r="D262" s="5">
        <f>C259</f>
        <v>237</v>
      </c>
      <c r="E262" s="5">
        <f>D259</f>
        <v>249</v>
      </c>
      <c r="F262" s="5">
        <f>E259</f>
        <v>262</v>
      </c>
      <c r="G262" s="5"/>
      <c r="H262" s="5">
        <f>F259</f>
        <v>265</v>
      </c>
      <c r="I262" s="5">
        <f>H259</f>
        <v>261</v>
      </c>
      <c r="J262" s="15">
        <f>I259</f>
        <v>282</v>
      </c>
      <c r="K262" s="1"/>
      <c r="L262" s="1"/>
    </row>
    <row r="263">
      <c r="A263" s="1"/>
      <c r="B263" s="1" t="s">
        <v>139</v>
      </c>
      <c r="C263" s="5"/>
      <c r="D263" s="5"/>
      <c r="E263" s="5"/>
      <c r="F263" s="5"/>
      <c r="G263" s="5"/>
      <c r="H263" s="5"/>
      <c r="I263" s="5">
        <f>I262-D262</f>
        <v>24</v>
      </c>
      <c r="J263" s="15">
        <f>J262-E262</f>
        <v>33</v>
      </c>
      <c r="K263" s="1"/>
      <c r="L263" s="1"/>
    </row>
    <row r="264">
      <c r="A264" s="1"/>
      <c r="B264" s="1" t="s">
        <v>140</v>
      </c>
      <c r="C264" s="5"/>
      <c r="D264" s="5"/>
      <c r="E264" s="5">
        <f>E262-D262</f>
        <v>12</v>
      </c>
      <c r="F264" s="5">
        <f>F262-E262</f>
        <v>13</v>
      </c>
      <c r="G264" s="5"/>
      <c r="H264" s="5">
        <f>H262-F262</f>
        <v>3</v>
      </c>
      <c r="I264" s="5">
        <f>I262-H262</f>
        <v>-4</v>
      </c>
      <c r="J264" s="15">
        <f>J262-I262</f>
        <v>21</v>
      </c>
      <c r="K264" s="1"/>
      <c r="L264" s="1"/>
    </row>
    <row r="265" ht="29.25">
      <c r="A265" s="1"/>
      <c r="B265" s="194" t="s">
        <v>209</v>
      </c>
      <c r="C265" s="200"/>
      <c r="D265" s="200">
        <f>D22/(D262*1000)</f>
        <v>0.000978902953586498</v>
      </c>
      <c r="E265" s="200">
        <f>E22/(E262*1000)</f>
        <v>0.001</v>
      </c>
      <c r="F265" s="200">
        <f>F22/(F262*1000)</f>
        <v>0.0009656488549618321</v>
      </c>
      <c r="G265" s="200"/>
      <c r="H265" s="200">
        <f>H22/(H262*1000)</f>
        <v>0.0009962264150943396</v>
      </c>
      <c r="I265" s="200">
        <f>I22/(I262*1000)</f>
        <v>0.0010114942528735632</v>
      </c>
      <c r="J265" s="201">
        <f>I265</f>
        <v>0.0010114942528735632</v>
      </c>
      <c r="K265" s="1"/>
      <c r="L265" s="1"/>
    </row>
    <row r="266">
      <c r="A266" s="1"/>
      <c r="B266" s="1" t="s">
        <v>151</v>
      </c>
      <c r="C266" s="5"/>
      <c r="D266" s="5"/>
      <c r="E266" s="5"/>
      <c r="F266" s="5"/>
      <c r="G266" s="5"/>
      <c r="H266" s="5"/>
      <c r="I266" s="5">
        <f>(I265-D265)*10000</f>
        <v>0.32591299287065184</v>
      </c>
      <c r="J266" s="15">
        <f>(J265-E265)*10000</f>
        <v>0.11494252873563149</v>
      </c>
      <c r="K266" s="1"/>
      <c r="L266" s="1"/>
    </row>
    <row r="267">
      <c r="A267" s="1"/>
      <c r="B267" s="1" t="s">
        <v>152</v>
      </c>
      <c r="C267" s="5"/>
      <c r="D267" s="5"/>
      <c r="E267" s="5">
        <f>(E265-D265)*10000</f>
        <v>0.21097046413502035</v>
      </c>
      <c r="F267" s="5">
        <f>(F265-E265)*10000</f>
        <v>-0.3435114503816796</v>
      </c>
      <c r="G267" s="5"/>
      <c r="H267" s="5">
        <f>(H265-F265)*10000</f>
        <v>0.3057756013250749</v>
      </c>
      <c r="I267" s="5">
        <f>(I265-H265)*10000</f>
        <v>0.15267837779223614</v>
      </c>
      <c r="J267" s="15">
        <f>(J265-I265)*10000</f>
        <v>0</v>
      </c>
      <c r="K267" s="1"/>
      <c r="L267" s="1"/>
    </row>
    <row r="268">
      <c r="A268" s="1"/>
      <c r="B268" s="9" t="s">
        <v>210</v>
      </c>
      <c r="C268" s="25"/>
      <c r="D268" s="25"/>
      <c r="E268" s="25"/>
      <c r="F268" s="25"/>
      <c r="G268" s="25"/>
      <c r="H268" s="25"/>
      <c r="I268" s="25"/>
      <c r="J268" s="37"/>
      <c r="K268" s="1"/>
      <c r="L268" s="1"/>
    </row>
    <row r="269">
      <c r="A269" s="1"/>
      <c r="B269" s="6" t="s">
        <v>211</v>
      </c>
      <c r="C269" s="199">
        <v>0.0281</v>
      </c>
      <c r="D269" s="199">
        <v>0.0263</v>
      </c>
      <c r="E269" s="199">
        <v>0.0268</v>
      </c>
      <c r="F269" s="199">
        <v>0.0278</v>
      </c>
      <c r="G269" s="209"/>
      <c r="H269" s="199">
        <v>0.0277</v>
      </c>
      <c r="I269" s="199">
        <v>0.0258</v>
      </c>
      <c r="J269" s="47"/>
      <c r="K269" s="1" t="s">
        <v>94</v>
      </c>
      <c r="L269" s="1"/>
    </row>
    <row r="270">
      <c r="A270" s="1"/>
      <c r="B270" s="1" t="s">
        <v>151</v>
      </c>
      <c r="C270" s="5"/>
      <c r="D270" s="5"/>
      <c r="E270" s="5"/>
      <c r="F270" s="5"/>
      <c r="G270" s="5"/>
      <c r="H270" s="5">
        <f>(H269-C269)*10000</f>
        <v>-4.000000000000011</v>
      </c>
      <c r="I270" s="5">
        <f>(I269-D269)*10000</f>
        <v>-5.000000000000004</v>
      </c>
      <c r="J270" s="15"/>
      <c r="K270" s="1"/>
      <c r="L270" s="1"/>
    </row>
    <row r="271">
      <c r="A271" s="1"/>
      <c r="B271" s="1" t="s">
        <v>152</v>
      </c>
      <c r="C271" s="5"/>
      <c r="D271" s="5">
        <f>(D269-C269)*10000</f>
        <v>-17.999999999999996</v>
      </c>
      <c r="E271" s="5">
        <f>(E269-D269)*10000</f>
        <v>5.000000000000004</v>
      </c>
      <c r="F271" s="5">
        <f>(F269-E269)*10000</f>
        <v>9.999999999999973</v>
      </c>
      <c r="G271" s="5"/>
      <c r="H271" s="5">
        <f>(H269-F269)*10000</f>
        <v>-0.999999999999994</v>
      </c>
      <c r="I271" s="5">
        <f>(I269-H269)*10000</f>
        <v>-18.99999999999999</v>
      </c>
      <c r="J271" s="15"/>
      <c r="K271" s="1"/>
      <c r="L271" s="1"/>
    </row>
    <row r="272">
      <c r="A272" s="1"/>
      <c r="B272" s="6" t="s">
        <v>212</v>
      </c>
      <c r="C272" s="199">
        <v>0.0145</v>
      </c>
      <c r="D272" s="199">
        <v>0.0132</v>
      </c>
      <c r="E272" s="199">
        <v>0.0134</v>
      </c>
      <c r="F272" s="199">
        <v>0.0142</v>
      </c>
      <c r="G272" s="209"/>
      <c r="H272" s="199">
        <v>0.0145</v>
      </c>
      <c r="I272" s="199">
        <v>0.0134</v>
      </c>
      <c r="J272" s="47"/>
      <c r="K272" s="1" t="s">
        <v>94</v>
      </c>
      <c r="L272" s="1"/>
    </row>
    <row r="273">
      <c r="A273" s="1"/>
      <c r="B273" s="1" t="s">
        <v>151</v>
      </c>
      <c r="C273" s="5"/>
      <c r="D273" s="5"/>
      <c r="E273" s="5"/>
      <c r="F273" s="5"/>
      <c r="G273" s="5"/>
      <c r="H273" s="5">
        <f>(H272-C272)*10000</f>
        <v>0</v>
      </c>
      <c r="I273" s="5">
        <f>(I272-D272)*10000</f>
        <v>2.0000000000000053</v>
      </c>
      <c r="J273" s="15"/>
      <c r="K273" s="1"/>
      <c r="L273" s="1"/>
    </row>
    <row r="274">
      <c r="A274" s="1"/>
      <c r="B274" s="1" t="s">
        <v>152</v>
      </c>
      <c r="C274" s="5"/>
      <c r="D274" s="5">
        <f>(D272-C272)*10000</f>
        <v>-13.000000000000009</v>
      </c>
      <c r="E274" s="5">
        <f>(E272-D272)*10000</f>
        <v>2.0000000000000053</v>
      </c>
      <c r="F274" s="5">
        <f>(F272-E272)*10000</f>
        <v>8.000000000000004</v>
      </c>
      <c r="G274" s="5"/>
      <c r="H274" s="5">
        <f>(H272-F272)*10000</f>
        <v>2.999999999999999</v>
      </c>
      <c r="I274" s="5">
        <f>(I272-H272)*10000</f>
        <v>-11.000000000000004</v>
      </c>
      <c r="J274" s="15"/>
      <c r="K274" s="1"/>
      <c r="L274" s="1"/>
    </row>
    <row r="275">
      <c r="A275" s="1"/>
      <c r="B275" s="6" t="s">
        <v>213</v>
      </c>
      <c r="C275" s="199">
        <v>0.0187</v>
      </c>
      <c r="D275" s="199">
        <v>0.0172</v>
      </c>
      <c r="E275" s="199">
        <v>0.0154</v>
      </c>
      <c r="F275" s="199">
        <v>0.0152</v>
      </c>
      <c r="G275" s="209"/>
      <c r="H275" s="199">
        <v>0.0126</v>
      </c>
      <c r="I275" s="199">
        <v>0.0131</v>
      </c>
      <c r="J275" s="47"/>
      <c r="K275" s="1" t="s">
        <v>94</v>
      </c>
      <c r="L275" s="1"/>
    </row>
    <row r="276">
      <c r="A276" s="1"/>
      <c r="B276" s="1" t="s">
        <v>151</v>
      </c>
      <c r="C276" s="5"/>
      <c r="D276" s="5"/>
      <c r="E276" s="5"/>
      <c r="F276" s="5"/>
      <c r="G276" s="5"/>
      <c r="H276" s="5">
        <f>(H275-C275)*10000</f>
        <v>-61.000000000000014</v>
      </c>
      <c r="I276" s="5">
        <f>(I275-D275)*10000</f>
        <v>-40.99999999999999</v>
      </c>
      <c r="J276" s="15"/>
      <c r="K276" s="1"/>
      <c r="L276" s="1"/>
    </row>
    <row r="277">
      <c r="A277" s="1"/>
      <c r="B277" s="1" t="s">
        <v>152</v>
      </c>
      <c r="C277" s="5"/>
      <c r="D277" s="5">
        <f>(D275-C275)*10000</f>
        <v>-15.000000000000014</v>
      </c>
      <c r="E277" s="5">
        <f>(E275-D275)*10000</f>
        <v>-17.999999999999996</v>
      </c>
      <c r="F277" s="5">
        <f>(F275-E275)*10000</f>
        <v>-2.0000000000000053</v>
      </c>
      <c r="G277" s="5"/>
      <c r="H277" s="5">
        <f>(H275-F275)*10000</f>
        <v>-26</v>
      </c>
      <c r="I277" s="5">
        <f>(I275-H275)*10000</f>
        <v>5.000000000000004</v>
      </c>
      <c r="J277" s="15"/>
      <c r="K277" s="1"/>
      <c r="L277" s="1"/>
    </row>
    <row r="278" ht="29.25">
      <c r="A278" s="1"/>
      <c r="B278" s="194" t="s">
        <v>214</v>
      </c>
      <c r="C278" s="199">
        <v>0.0029</v>
      </c>
      <c r="D278" s="199">
        <v>0.003</v>
      </c>
      <c r="E278" s="199">
        <v>0.0032</v>
      </c>
      <c r="F278" s="199">
        <v>0.0031</v>
      </c>
      <c r="G278" s="209"/>
      <c r="H278" s="199">
        <v>0.003</v>
      </c>
      <c r="I278" s="199">
        <v>0.0032</v>
      </c>
      <c r="J278" s="47"/>
      <c r="K278" s="1" t="s">
        <v>94</v>
      </c>
      <c r="L278" s="1"/>
    </row>
    <row r="279">
      <c r="A279" s="1"/>
      <c r="B279" s="1" t="s">
        <v>151</v>
      </c>
      <c r="C279" s="5"/>
      <c r="D279" s="5"/>
      <c r="E279" s="5"/>
      <c r="F279" s="5"/>
      <c r="G279" s="5"/>
      <c r="H279" s="5">
        <f>(H278-C278)*10000</f>
        <v>1.0000000000000027</v>
      </c>
      <c r="I279" s="5">
        <f>(I278-D278)*10000</f>
        <v>2.000000000000001</v>
      </c>
      <c r="J279" s="15"/>
      <c r="K279" s="1"/>
      <c r="L279" s="1"/>
    </row>
    <row r="280">
      <c r="A280" s="1"/>
      <c r="B280" s="1" t="s">
        <v>152</v>
      </c>
      <c r="C280" s="5"/>
      <c r="D280" s="5">
        <f>(D278-C278)*10000</f>
        <v>1.0000000000000027</v>
      </c>
      <c r="E280" s="5">
        <f>(E278-D278)*10000</f>
        <v>2.000000000000001</v>
      </c>
      <c r="F280" s="5">
        <f>(F278-E278)*10000</f>
        <v>-1.0000000000000027</v>
      </c>
      <c r="G280" s="5"/>
      <c r="H280" s="5">
        <f>(H278-F278)*10000</f>
        <v>-0.9999999999999983</v>
      </c>
      <c r="I280" s="5">
        <f>(I278-H278)*10000</f>
        <v>2.000000000000001</v>
      </c>
      <c r="J280" s="15"/>
      <c r="K280" s="1"/>
      <c r="L280" s="1"/>
    </row>
    <row r="281">
      <c r="A281" s="1"/>
      <c r="B281" s="1"/>
      <c r="C281" s="13"/>
      <c r="D281" s="13"/>
      <c r="E281" s="13"/>
      <c r="F281" s="13"/>
      <c r="G281" s="13"/>
      <c r="H281" s="13"/>
      <c r="I281" s="13"/>
      <c r="J281" s="27"/>
      <c r="K281" s="1"/>
      <c r="L281" s="1"/>
    </row>
    <row r="282">
      <c r="A282" s="1"/>
      <c r="B282" s="9" t="s">
        <v>215</v>
      </c>
      <c r="C282" s="25"/>
      <c r="D282" s="25"/>
      <c r="E282" s="25"/>
      <c r="F282" s="25"/>
      <c r="G282" s="25"/>
      <c r="H282" s="25"/>
      <c r="I282" s="25"/>
      <c r="J282" s="37"/>
      <c r="K282" s="1"/>
      <c r="L282" s="1"/>
    </row>
    <row r="283">
      <c r="A283" s="1"/>
      <c r="B283" s="1" t="s">
        <v>216</v>
      </c>
      <c r="C283" s="35">
        <v>877</v>
      </c>
      <c r="D283" s="35">
        <v>818</v>
      </c>
      <c r="E283" s="35">
        <v>766</v>
      </c>
      <c r="F283" s="35">
        <v>775</v>
      </c>
      <c r="G283" s="5">
        <f>SUM(C283:F283)</f>
        <v>3236</v>
      </c>
      <c r="H283" s="35">
        <v>820</v>
      </c>
      <c r="I283" s="35">
        <v>799</v>
      </c>
      <c r="J283" s="15">
        <f>J121*J286*J9/365</f>
        <v>814.2208903013699</v>
      </c>
      <c r="K283" s="1" t="s">
        <v>94</v>
      </c>
      <c r="L283" s="1"/>
    </row>
    <row r="284">
      <c r="A284" s="1"/>
      <c r="B284" s="1" t="s">
        <v>139</v>
      </c>
      <c r="C284" s="5"/>
      <c r="D284" s="5"/>
      <c r="E284" s="5"/>
      <c r="F284" s="5"/>
      <c r="G284" s="5"/>
      <c r="H284" s="5">
        <f>H283-C283</f>
        <v>-57</v>
      </c>
      <c r="I284" s="5">
        <f>I283-D283</f>
        <v>-19</v>
      </c>
      <c r="J284" s="15">
        <f>J283-E283</f>
        <v>48.22089030136988</v>
      </c>
      <c r="K284" s="1"/>
      <c r="L284" s="1"/>
    </row>
    <row r="285">
      <c r="A285" s="1"/>
      <c r="B285" s="1" t="s">
        <v>140</v>
      </c>
      <c r="C285" s="5"/>
      <c r="D285" s="5">
        <f>D283-C283</f>
        <v>-59</v>
      </c>
      <c r="E285" s="5">
        <f>E283-D283</f>
        <v>-52</v>
      </c>
      <c r="F285" s="5">
        <f>F283-E283</f>
        <v>9</v>
      </c>
      <c r="G285" s="5"/>
      <c r="H285" s="5">
        <f>H283-F283</f>
        <v>45</v>
      </c>
      <c r="I285" s="5">
        <f>I283-H283</f>
        <v>-21</v>
      </c>
      <c r="J285" s="15">
        <f>J283-I283</f>
        <v>15.220890301369877</v>
      </c>
      <c r="K285" s="1"/>
      <c r="L285" s="1"/>
    </row>
    <row r="286">
      <c r="A286" s="1"/>
      <c r="B286" s="6" t="s">
        <v>217</v>
      </c>
      <c r="C286" s="200">
        <f>C283/C121*365/C9</f>
        <v>0.011064138510757729</v>
      </c>
      <c r="D286" s="200">
        <f>D283/D121*365/D9</f>
        <v>0.010284168129908226</v>
      </c>
      <c r="E286" s="200">
        <f>E283/E121*365/E9</f>
        <v>0.009234369412032352</v>
      </c>
      <c r="F286" s="200">
        <f>F283/F121*365/F9</f>
        <v>0.009233390472910186</v>
      </c>
      <c r="G286" s="200">
        <f>G283/G121*365/G9</f>
        <v>0.009935819103992419</v>
      </c>
      <c r="H286" s="200">
        <f>H283/H121*365/H9</f>
        <v>0.009919184989651636</v>
      </c>
      <c r="I286" s="200">
        <f>I283/I121*365/I9</f>
        <v>0.009486425695265697</v>
      </c>
      <c r="J286" s="204">
        <v>0.0095</v>
      </c>
      <c r="K286" s="1"/>
      <c r="L286" s="1"/>
    </row>
    <row r="287">
      <c r="A287" s="1"/>
      <c r="B287" s="1" t="s">
        <v>151</v>
      </c>
      <c r="C287" s="5"/>
      <c r="D287" s="5"/>
      <c r="E287" s="5"/>
      <c r="F287" s="5"/>
      <c r="G287" s="5"/>
      <c r="H287" s="5">
        <f>(H286-C286)*10000</f>
        <v>-11.44953521106093</v>
      </c>
      <c r="I287" s="5">
        <f>(I286-D286)*10000</f>
        <v>-7.977424346425291</v>
      </c>
      <c r="J287" s="15">
        <f>(J286-E286)*10000</f>
        <v>2.6563058796764785</v>
      </c>
      <c r="K287" s="1"/>
      <c r="L287" s="1"/>
    </row>
    <row r="288">
      <c r="A288" s="1"/>
      <c r="B288" s="1" t="s">
        <v>152</v>
      </c>
      <c r="C288" s="5"/>
      <c r="D288" s="5">
        <f>(D286-C286)*10000</f>
        <v>-7.799703808495026</v>
      </c>
      <c r="E288" s="5">
        <f>(E286-D286)*10000</f>
        <v>-10.497987178758745</v>
      </c>
      <c r="F288" s="5">
        <f>(F286-E286)*10000</f>
        <v>-0.009789391221658866</v>
      </c>
      <c r="G288" s="5"/>
      <c r="H288" s="5">
        <f>(H286-F286)*10000</f>
        <v>6.8579451674145</v>
      </c>
      <c r="I288" s="5">
        <f>(I286-H286)*10000</f>
        <v>-4.327592943859388</v>
      </c>
      <c r="J288" s="15">
        <f>(J286-I286)*10000</f>
        <v>0.135743047343026</v>
      </c>
      <c r="K288" s="1"/>
      <c r="L288" s="1"/>
    </row>
    <row r="289" ht="29.25">
      <c r="A289" s="1"/>
      <c r="B289" s="191" t="s">
        <v>218</v>
      </c>
      <c r="C289" s="35">
        <v>-138</v>
      </c>
      <c r="D289" s="35">
        <v>127</v>
      </c>
      <c r="E289" s="35">
        <v>1</v>
      </c>
      <c r="F289" s="35">
        <v>136</v>
      </c>
      <c r="G289" s="5">
        <f>SUM(C289:F289)</f>
        <v>126</v>
      </c>
      <c r="H289" s="35">
        <v>-2</v>
      </c>
      <c r="I289" s="35">
        <v>146</v>
      </c>
      <c r="J289" s="38">
        <v>80</v>
      </c>
      <c r="K289" s="1" t="s">
        <v>94</v>
      </c>
      <c r="L289" s="1"/>
    </row>
    <row r="290">
      <c r="A290" s="1"/>
      <c r="B290" s="1" t="s">
        <v>139</v>
      </c>
      <c r="C290" s="5"/>
      <c r="D290" s="5"/>
      <c r="E290" s="5"/>
      <c r="F290" s="5"/>
      <c r="G290" s="5"/>
      <c r="H290" s="5">
        <f>H289-C289</f>
        <v>136</v>
      </c>
      <c r="I290" s="5">
        <f>I289-D289</f>
        <v>19</v>
      </c>
      <c r="J290" s="15">
        <f>J289-E289</f>
        <v>79</v>
      </c>
      <c r="K290" s="1"/>
      <c r="L290" s="1"/>
    </row>
    <row r="291">
      <c r="A291" s="1"/>
      <c r="B291" s="1" t="s">
        <v>140</v>
      </c>
      <c r="C291" s="5"/>
      <c r="D291" s="5">
        <f>D289-C289</f>
        <v>265</v>
      </c>
      <c r="E291" s="5">
        <f>E289-D289</f>
        <v>-126</v>
      </c>
      <c r="F291" s="5">
        <f>F289-E289</f>
        <v>135</v>
      </c>
      <c r="G291" s="5"/>
      <c r="H291" s="5">
        <f>H289-F289</f>
        <v>-138</v>
      </c>
      <c r="I291" s="5">
        <f>I289-H289</f>
        <v>148</v>
      </c>
      <c r="J291" s="15">
        <f>J289-I289</f>
        <v>-66</v>
      </c>
      <c r="K291" s="1"/>
      <c r="L291" s="1"/>
    </row>
    <row r="292">
      <c r="A292" s="1"/>
      <c r="B292" s="9" t="s">
        <v>219</v>
      </c>
      <c r="C292" s="17">
        <f>C283+C289</f>
        <v>739</v>
      </c>
      <c r="D292" s="17">
        <f>D283+D289</f>
        <v>945</v>
      </c>
      <c r="E292" s="17">
        <f>E283+E289</f>
        <v>767</v>
      </c>
      <c r="F292" s="17">
        <f>F283+F289</f>
        <v>911</v>
      </c>
      <c r="G292" s="17">
        <f>G283+G289</f>
        <v>3362</v>
      </c>
      <c r="H292" s="17">
        <f>H283+H289</f>
        <v>818</v>
      </c>
      <c r="I292" s="17">
        <f>I283+I289</f>
        <v>945</v>
      </c>
      <c r="J292" s="42">
        <f>J283+J289</f>
        <v>894.2208903013699</v>
      </c>
      <c r="K292" s="1"/>
      <c r="L292" s="1"/>
    </row>
    <row r="293">
      <c r="A293" s="1"/>
      <c r="B293" s="1" t="s">
        <v>220</v>
      </c>
      <c r="C293" s="35">
        <v>6342</v>
      </c>
      <c r="D293" s="35">
        <v>6179</v>
      </c>
      <c r="E293" s="35">
        <v>6376</v>
      </c>
      <c r="F293" s="35">
        <v>6238</v>
      </c>
      <c r="G293" s="5">
        <f>SUM(C293:F293)</f>
        <v>25135</v>
      </c>
      <c r="H293" s="35">
        <v>6589</v>
      </c>
      <c r="I293" s="35">
        <v>6286</v>
      </c>
      <c r="J293" s="15">
        <f>I293*(1+J296)</f>
        <v>6348.86</v>
      </c>
      <c r="K293" s="1" t="s">
        <v>94</v>
      </c>
      <c r="L293" s="1"/>
    </row>
    <row r="294">
      <c r="A294" s="1"/>
      <c r="B294" s="1" t="s">
        <v>139</v>
      </c>
      <c r="C294" s="5"/>
      <c r="D294" s="5"/>
      <c r="E294" s="5"/>
      <c r="F294" s="5"/>
      <c r="G294" s="5"/>
      <c r="H294" s="5">
        <f>H293-C293</f>
        <v>247</v>
      </c>
      <c r="I294" s="5">
        <f>I293-D293</f>
        <v>107</v>
      </c>
      <c r="J294" s="15">
        <f>J293-E293</f>
        <v>-27.140000000000327</v>
      </c>
      <c r="K294" s="1"/>
      <c r="L294" s="1"/>
    </row>
    <row r="295">
      <c r="A295" s="1"/>
      <c r="B295" s="1" t="s">
        <v>140</v>
      </c>
      <c r="C295" s="5"/>
      <c r="D295" s="5">
        <f>D293-C293</f>
        <v>-163</v>
      </c>
      <c r="E295" s="5">
        <f>E293-D293</f>
        <v>197</v>
      </c>
      <c r="F295" s="5">
        <f>F293-E293</f>
        <v>-138</v>
      </c>
      <c r="G295" s="5"/>
      <c r="H295" s="5">
        <f>H293-F293</f>
        <v>351</v>
      </c>
      <c r="I295" s="5">
        <f>I293-H293</f>
        <v>-303</v>
      </c>
      <c r="J295" s="15">
        <f>J293-I293</f>
        <v>62.85999999999967</v>
      </c>
      <c r="K295" s="1"/>
      <c r="L295" s="1"/>
    </row>
    <row r="296">
      <c r="A296" s="1"/>
      <c r="B296" s="6" t="s">
        <v>124</v>
      </c>
      <c r="C296" s="26"/>
      <c r="D296" s="26">
        <f>D293/C293-1</f>
        <v>-0.025701671397035608</v>
      </c>
      <c r="E296" s="26">
        <f>E293/D293-1</f>
        <v>0.03188218158278033</v>
      </c>
      <c r="F296" s="26">
        <f>F293/E293-1</f>
        <v>-0.02164366373902138</v>
      </c>
      <c r="G296" s="26"/>
      <c r="H296" s="26">
        <f>H293/F293-1</f>
        <v>0.05626803462648278</v>
      </c>
      <c r="I296" s="26">
        <f>I293/H293-1</f>
        <v>-0.04598573379875548</v>
      </c>
      <c r="J296" s="106">
        <v>0.01</v>
      </c>
      <c r="K296" s="1"/>
      <c r="L296" s="1"/>
    </row>
    <row r="297">
      <c r="A297" s="1"/>
      <c r="B297" s="9" t="s">
        <v>221</v>
      </c>
      <c r="C297" s="17">
        <f>C59-C292-C293</f>
        <v>2302</v>
      </c>
      <c r="D297" s="17">
        <f>D59-D292-D293</f>
        <v>2564</v>
      </c>
      <c r="E297" s="17">
        <f>E59-E292-E293</f>
        <v>3029</v>
      </c>
      <c r="F297" s="17">
        <f>F59-F292-F293</f>
        <v>2961</v>
      </c>
      <c r="G297" s="17">
        <f>G59-G292-G293</f>
        <v>10856</v>
      </c>
      <c r="H297" s="17">
        <f>H59-H292-H293</f>
        <v>2591</v>
      </c>
      <c r="I297" s="17">
        <f>I59-I292-I293</f>
        <v>3057</v>
      </c>
      <c r="J297" s="42">
        <f>J59-J292-J293</f>
        <v>3223.6128315697506</v>
      </c>
      <c r="K297" s="1"/>
      <c r="L297" s="1"/>
    </row>
    <row r="298">
      <c r="A298" s="1"/>
      <c r="B298" s="1" t="s">
        <v>222</v>
      </c>
      <c r="C298" s="35">
        <v>570</v>
      </c>
      <c r="D298" s="35">
        <v>641</v>
      </c>
      <c r="E298" s="35">
        <v>759</v>
      </c>
      <c r="F298" s="35">
        <v>742</v>
      </c>
      <c r="G298" s="5">
        <f>SUM(C298:F298)</f>
        <v>2712</v>
      </c>
      <c r="H298" s="35">
        <v>650</v>
      </c>
      <c r="I298" s="35">
        <v>767</v>
      </c>
      <c r="J298" s="15">
        <f>J297*J299</f>
        <v>805.9032078924376</v>
      </c>
      <c r="K298" s="1" t="s">
        <v>94</v>
      </c>
      <c r="L298" s="1"/>
    </row>
    <row r="299">
      <c r="A299" s="1"/>
      <c r="B299" s="6" t="s">
        <v>223</v>
      </c>
      <c r="C299" s="26">
        <f>C298/C297</f>
        <v>0.2476107732406603</v>
      </c>
      <c r="D299" s="26">
        <f>D298/D297</f>
        <v>0.25</v>
      </c>
      <c r="E299" s="26">
        <f>E298/E297</f>
        <v>0.2505777484318257</v>
      </c>
      <c r="F299" s="26">
        <f>F298/F297</f>
        <v>0.25059101654846333</v>
      </c>
      <c r="G299" s="26">
        <f>G298/G297</f>
        <v>0.24981577008106118</v>
      </c>
      <c r="H299" s="26">
        <f>H298/H297</f>
        <v>0.2508683905827866</v>
      </c>
      <c r="I299" s="26">
        <f>I298/I297</f>
        <v>0.2508995747464835</v>
      </c>
      <c r="J299" s="106">
        <v>0.25</v>
      </c>
      <c r="K299" s="1"/>
      <c r="L299" s="1"/>
    </row>
    <row r="300">
      <c r="A300" s="1"/>
      <c r="B300" s="1" t="s">
        <v>151</v>
      </c>
      <c r="C300" s="5"/>
      <c r="D300" s="5"/>
      <c r="E300" s="5"/>
      <c r="F300" s="5"/>
      <c r="G300" s="5"/>
      <c r="H300" s="5">
        <f>(H299-C299)*10000</f>
        <v>32.5761734212629</v>
      </c>
      <c r="I300" s="5">
        <f>(I299-D299)*10000</f>
        <v>8.995747464835002</v>
      </c>
      <c r="J300" s="15">
        <f>(J299-E299)*10000</f>
        <v>-5.777484318256754</v>
      </c>
      <c r="K300" s="1"/>
      <c r="L300" s="1"/>
    </row>
    <row r="301">
      <c r="A301" s="1"/>
      <c r="B301" s="1" t="s">
        <v>152</v>
      </c>
      <c r="C301" s="5"/>
      <c r="D301" s="5">
        <f>(D299-C299)*10000</f>
        <v>23.892267593396966</v>
      </c>
      <c r="E301" s="5">
        <f>(E299-D299)*10000</f>
        <v>5.777484318256754</v>
      </c>
      <c r="F301" s="5">
        <f>(F299-E299)*10000</f>
        <v>0.13268116637654703</v>
      </c>
      <c r="G301" s="5"/>
      <c r="H301" s="5">
        <f>(H299-F299)*10000</f>
        <v>2.7737403432326335</v>
      </c>
      <c r="I301" s="5">
        <f>(I299-H299)*10000</f>
        <v>0.31184163696906797</v>
      </c>
      <c r="J301" s="15">
        <f>(J299-I299)*10000</f>
        <v>-8.995747464835002</v>
      </c>
      <c r="K301" s="1"/>
      <c r="L301" s="1"/>
    </row>
    <row r="302">
      <c r="A302" s="1"/>
      <c r="B302" s="9" t="s">
        <v>102</v>
      </c>
      <c r="C302" s="17">
        <f>C297-C298</f>
        <v>1732</v>
      </c>
      <c r="D302" s="17">
        <f>D297-D298</f>
        <v>1923</v>
      </c>
      <c r="E302" s="17">
        <f>E297-E298</f>
        <v>2270</v>
      </c>
      <c r="F302" s="17">
        <f>F297-F298</f>
        <v>2219</v>
      </c>
      <c r="G302" s="17">
        <f>G297-G298</f>
        <v>8144</v>
      </c>
      <c r="H302" s="17">
        <f>H297-H298</f>
        <v>1941</v>
      </c>
      <c r="I302" s="17">
        <f>I297-I298</f>
        <v>2290</v>
      </c>
      <c r="J302" s="42">
        <f>J297-J298</f>
        <v>2417.709623677313</v>
      </c>
      <c r="K302" s="1"/>
      <c r="L302" s="1"/>
    </row>
    <row r="303">
      <c r="A303" s="1"/>
      <c r="B303" s="6" t="s">
        <v>75</v>
      </c>
      <c r="C303" s="26"/>
      <c r="D303" s="26"/>
      <c r="E303" s="26"/>
      <c r="F303" s="26"/>
      <c r="G303" s="26"/>
      <c r="H303" s="26">
        <f>IFERROR(IF(OR(C302&lt;=0,H302&lt;0),"n/m",H302/C302-1),"n/m")</f>
        <v>0.12066974595842961</v>
      </c>
      <c r="I303" s="26">
        <f>IFERROR(IF(OR(D302&lt;=0,I302&lt;0),"n/m",I302/D302-1),"n/m")</f>
        <v>0.1908476339053562</v>
      </c>
      <c r="J303" s="47">
        <f>IFERROR(IF(OR(E302&lt;=0,J302&lt;0),"n/m",J302/E302-1),"n/m")</f>
        <v>0.06507031880057856</v>
      </c>
      <c r="K303" s="1"/>
      <c r="L303" s="1"/>
    </row>
    <row r="304">
      <c r="A304" s="1"/>
      <c r="B304" s="6" t="s">
        <v>76</v>
      </c>
      <c r="C304" s="26"/>
      <c r="D304" s="26">
        <f>IFERROR(IF(OR(C302&lt;=0,D302&lt;0),"n/m",D302/C302-1),"n/m")</f>
        <v>0.11027713625866054</v>
      </c>
      <c r="E304" s="26">
        <f>IFERROR(IF(OR(D302&lt;=0,E302&lt;0),"n/m",E302/D302-1),"n/m")</f>
        <v>0.18044721788871554</v>
      </c>
      <c r="F304" s="26">
        <f>IFERROR(IF(OR(E302&lt;=0,F302&lt;0),"n/m",F302/E302-1),"n/m")</f>
        <v>-0.022466960352422904</v>
      </c>
      <c r="G304" s="26"/>
      <c r="H304" s="26">
        <f>IFERROR(IF(OR(F302&lt;=0,H302&lt;0),"n/m",H302/F302-1),"n/m")</f>
        <v>-0.12528165840468675</v>
      </c>
      <c r="I304" s="26">
        <f>IFERROR(IF(OR(H302&lt;=0,I302&lt;0),"n/m",I302/H302-1),"n/m")</f>
        <v>0.17980422462648127</v>
      </c>
      <c r="J304" s="47">
        <f>IFERROR(IF(OR(I302&lt;=0,J302&lt;0),"n/m",J302/I302-1),"n/m")</f>
        <v>0.05576839461891403</v>
      </c>
      <c r="K304" s="1"/>
      <c r="L304" s="1"/>
    </row>
    <row r="305" ht="29.25">
      <c r="A305" s="1"/>
      <c r="B305" s="191" t="s">
        <v>224</v>
      </c>
      <c r="C305" s="35">
        <v>1732</v>
      </c>
      <c r="D305" s="35">
        <v>1923</v>
      </c>
      <c r="E305" s="35">
        <v>2270</v>
      </c>
      <c r="F305" s="35">
        <v>2219</v>
      </c>
      <c r="G305" s="5">
        <f>SUM(C305:F305)</f>
        <v>8144</v>
      </c>
      <c r="H305" s="35">
        <v>1941</v>
      </c>
      <c r="I305" s="35">
        <v>2290</v>
      </c>
      <c r="J305" s="15"/>
      <c r="K305" s="1" t="s">
        <v>94</v>
      </c>
      <c r="L305" s="1"/>
    </row>
    <row r="306" ht="29.25">
      <c r="A306" s="1"/>
      <c r="B306" s="194" t="s">
        <v>225</v>
      </c>
      <c r="C306" s="197">
        <f>C302-C305</f>
        <v>0</v>
      </c>
      <c r="D306" s="197">
        <f>D302-D305</f>
        <v>0</v>
      </c>
      <c r="E306" s="197">
        <f>E302-E305</f>
        <v>0</v>
      </c>
      <c r="F306" s="197">
        <f>F302-F305</f>
        <v>0</v>
      </c>
      <c r="G306" s="197">
        <f>G302-G305</f>
        <v>0</v>
      </c>
      <c r="H306" s="197">
        <f>H302-H305</f>
        <v>0</v>
      </c>
      <c r="I306" s="197">
        <f>I302-I305</f>
        <v>0</v>
      </c>
      <c r="J306" s="40"/>
      <c r="K306" s="1"/>
      <c r="L306" s="1"/>
    </row>
    <row r="307">
      <c r="A307" s="1"/>
      <c r="B307" s="6" t="s">
        <v>226</v>
      </c>
      <c r="C307" s="26">
        <f>C293/C59</f>
        <v>0.6759032292443782</v>
      </c>
      <c r="D307" s="26">
        <f>D293/D59</f>
        <v>0.6377993393889347</v>
      </c>
      <c r="E307" s="26">
        <f>E293/E59</f>
        <v>0.6268187180495478</v>
      </c>
      <c r="F307" s="26">
        <f>F293/F59</f>
        <v>0.6170128585558853</v>
      </c>
      <c r="G307" s="26">
        <f>G293/G59</f>
        <v>0.6387060706934669</v>
      </c>
      <c r="H307" s="26">
        <f>H293/H59</f>
        <v>0.6590318063612722</v>
      </c>
      <c r="I307" s="26">
        <f>I293/I59</f>
        <v>0.6110031104199067</v>
      </c>
      <c r="J307" s="47">
        <f>J293/J59</f>
        <v>0.6065774129545295</v>
      </c>
      <c r="K307" s="1"/>
      <c r="L307" s="1"/>
    </row>
    <row r="308">
      <c r="A308" s="1"/>
      <c r="B308" s="1" t="s">
        <v>151</v>
      </c>
      <c r="C308" s="5"/>
      <c r="D308" s="5"/>
      <c r="E308" s="5"/>
      <c r="F308" s="5"/>
      <c r="G308" s="5"/>
      <c r="H308" s="5">
        <f>(H307-C307)*10000</f>
        <v>-168.71422883105947</v>
      </c>
      <c r="I308" s="5">
        <f>(I307-D307)*10000</f>
        <v>-267.96228969028004</v>
      </c>
      <c r="J308" s="15">
        <f>(J307-E307)*10000</f>
        <v>-202.41305095018313</v>
      </c>
      <c r="K308" s="1"/>
      <c r="L308" s="1"/>
    </row>
    <row r="309">
      <c r="A309" s="1"/>
      <c r="B309" s="1" t="s">
        <v>152</v>
      </c>
      <c r="C309" s="5"/>
      <c r="D309" s="5">
        <f>(D307-C307)*10000</f>
        <v>-381.0388985544344</v>
      </c>
      <c r="E309" s="5">
        <f>(E307-D307)*10000</f>
        <v>-109.80621339386931</v>
      </c>
      <c r="F309" s="5">
        <f>(F307-E307)*10000</f>
        <v>-98.05859493662527</v>
      </c>
      <c r="G309" s="5"/>
      <c r="H309" s="5">
        <f>(H307-F307)*10000</f>
        <v>420.18947805386955</v>
      </c>
      <c r="I309" s="5">
        <f>(I307-H307)*10000</f>
        <v>-480.286959413655</v>
      </c>
      <c r="J309" s="15">
        <f>(J307-I307)*10000</f>
        <v>-44.25697465377243</v>
      </c>
      <c r="K309" s="1"/>
      <c r="L309" s="1"/>
    </row>
    <row r="310">
      <c r="A310" s="1"/>
      <c r="B310" s="6" t="s">
        <v>227</v>
      </c>
      <c r="C310" s="26">
        <f>C297/C59</f>
        <v>0.2453373121602899</v>
      </c>
      <c r="D310" s="26">
        <f>D297/D59</f>
        <v>0.26465730800990916</v>
      </c>
      <c r="E310" s="26">
        <f>E297/E59</f>
        <v>0.2977782147070389</v>
      </c>
      <c r="F310" s="26">
        <f>F297/F59</f>
        <v>0.2928783382789317</v>
      </c>
      <c r="G310" s="26">
        <f>G297/G59</f>
        <v>0.27586206896551724</v>
      </c>
      <c r="H310" s="26">
        <f>H297/H59</f>
        <v>0.2591518303660732</v>
      </c>
      <c r="I310" s="26">
        <f>I297/I59</f>
        <v>0.29714230171073097</v>
      </c>
      <c r="J310" s="47">
        <f>J297/J59</f>
        <v>0.3079876909776881</v>
      </c>
      <c r="K310" s="1"/>
      <c r="L310" s="1"/>
    </row>
    <row r="311">
      <c r="A311" s="1"/>
      <c r="B311" s="1" t="s">
        <v>151</v>
      </c>
      <c r="C311" s="5"/>
      <c r="D311" s="5"/>
      <c r="E311" s="5"/>
      <c r="F311" s="5"/>
      <c r="G311" s="5"/>
      <c r="H311" s="5">
        <f>(H310-C310)*10000</f>
        <v>138.14518205783304</v>
      </c>
      <c r="I311" s="5">
        <f>(I310-D310)*10000</f>
        <v>324.8499370082181</v>
      </c>
      <c r="J311" s="15">
        <f>(J310-E310)*10000</f>
        <v>102.09476270649165</v>
      </c>
      <c r="K311" s="1"/>
      <c r="L311" s="1"/>
    </row>
    <row r="312">
      <c r="A312" s="1"/>
      <c r="B312" s="1" t="s">
        <v>152</v>
      </c>
      <c r="C312" s="5"/>
      <c r="D312" s="5">
        <f>(D310-C310)*10000</f>
        <v>193.1999584961927</v>
      </c>
      <c r="E312" s="5">
        <f>(E310-D310)*10000</f>
        <v>331.2090669712975</v>
      </c>
      <c r="F312" s="5">
        <f>(F310-E310)*10000</f>
        <v>-48.99876428107186</v>
      </c>
      <c r="G312" s="5"/>
      <c r="H312" s="5">
        <f>(H310-F310)*10000</f>
        <v>-337.2650791285853</v>
      </c>
      <c r="I312" s="5">
        <f>(I310-H310)*10000</f>
        <v>379.9047134465777</v>
      </c>
      <c r="J312" s="15">
        <f>(J310-I310)*10000</f>
        <v>108.45389266957106</v>
      </c>
      <c r="K312" s="1"/>
      <c r="L312" s="1"/>
    </row>
    <row r="313">
      <c r="A313" s="1"/>
      <c r="B313" s="1" t="s">
        <v>228</v>
      </c>
      <c r="C313" s="35">
        <v>45500</v>
      </c>
      <c r="D313" s="35">
        <v>45500</v>
      </c>
      <c r="E313" s="35">
        <v>45500</v>
      </c>
      <c r="F313" s="35">
        <v>45500</v>
      </c>
      <c r="G313" s="5">
        <f>(C313*C$6+D313*D$6+E313*E$6+F313*F$6)/G$6</f>
        <v>45500</v>
      </c>
      <c r="H313" s="35">
        <v>33000</v>
      </c>
      <c r="I313" s="35">
        <v>33000</v>
      </c>
      <c r="J313" s="15"/>
      <c r="K313" s="1" t="s">
        <v>94</v>
      </c>
      <c r="L313" s="1"/>
    </row>
    <row r="314">
      <c r="A314" s="1"/>
      <c r="B314" s="1" t="s">
        <v>139</v>
      </c>
      <c r="C314" s="5"/>
      <c r="D314" s="5"/>
      <c r="E314" s="5"/>
      <c r="F314" s="5"/>
      <c r="G314" s="5"/>
      <c r="H314" s="5">
        <f>H313-C313</f>
        <v>-12500</v>
      </c>
      <c r="I314" s="5">
        <f>I313-D313</f>
        <v>-12500</v>
      </c>
      <c r="J314" s="15"/>
      <c r="K314" s="1"/>
      <c r="L314" s="1"/>
    </row>
    <row r="315">
      <c r="A315" s="1"/>
      <c r="B315" s="1" t="s">
        <v>140</v>
      </c>
      <c r="C315" s="5"/>
      <c r="D315" s="5">
        <f>D313-C313</f>
        <v>0</v>
      </c>
      <c r="E315" s="5">
        <f>E313-D313</f>
        <v>0</v>
      </c>
      <c r="F315" s="5">
        <f>F313-E313</f>
        <v>0</v>
      </c>
      <c r="G315" s="5"/>
      <c r="H315" s="5">
        <f>H313-F313</f>
        <v>-12500</v>
      </c>
      <c r="I315" s="5">
        <f>I313-H313</f>
        <v>0</v>
      </c>
      <c r="J315" s="15"/>
      <c r="K315" s="1"/>
      <c r="L315" s="1"/>
    </row>
    <row r="316" ht="29.25">
      <c r="A316" s="1"/>
      <c r="B316" s="194" t="s">
        <v>229</v>
      </c>
      <c r="C316" s="65">
        <v>0.149</v>
      </c>
      <c r="D316" s="65">
        <v>0.164</v>
      </c>
      <c r="E316" s="65">
        <v>0.192</v>
      </c>
      <c r="F316" s="65">
        <v>0.188</v>
      </c>
      <c r="G316" s="26"/>
      <c r="H316" s="65">
        <v>0.231</v>
      </c>
      <c r="I316" s="65">
        <v>0.271</v>
      </c>
      <c r="J316" s="47"/>
      <c r="K316" s="1" t="s">
        <v>94</v>
      </c>
      <c r="L316" s="1"/>
    </row>
    <row r="317">
      <c r="A317" s="1"/>
      <c r="B317" s="1" t="s">
        <v>151</v>
      </c>
      <c r="C317" s="5"/>
      <c r="D317" s="5"/>
      <c r="E317" s="5"/>
      <c r="F317" s="5"/>
      <c r="G317" s="5"/>
      <c r="H317" s="5">
        <f>(H316-C316)*10000</f>
        <v>820.0000000000002</v>
      </c>
      <c r="I317" s="5">
        <f>(I316-D316)*10000</f>
        <v>1070.0000000000002</v>
      </c>
      <c r="J317" s="15"/>
      <c r="K317" s="1"/>
      <c r="L317" s="1"/>
    </row>
    <row r="318">
      <c r="A318" s="1"/>
      <c r="B318" s="1" t="s">
        <v>152</v>
      </c>
      <c r="C318" s="5"/>
      <c r="D318" s="5">
        <f>(D316-C316)*10000</f>
        <v>150.00000000000014</v>
      </c>
      <c r="E318" s="5">
        <f>(E316-D316)*10000</f>
        <v>279.99999999999994</v>
      </c>
      <c r="F318" s="5">
        <f>(F316-E316)*10000</f>
        <v>-40.000000000000036</v>
      </c>
      <c r="G318" s="5"/>
      <c r="H318" s="5">
        <f>(H316-F316)*10000</f>
        <v>430.0000000000001</v>
      </c>
      <c r="I318" s="5">
        <f>(I316-H316)*10000</f>
        <v>400.00000000000006</v>
      </c>
      <c r="J318" s="15"/>
      <c r="K318" s="1"/>
      <c r="L318" s="1"/>
    </row>
    <row r="319">
      <c r="A319" s="1"/>
      <c r="B319" s="1"/>
      <c r="C319" s="13"/>
      <c r="D319" s="13"/>
      <c r="E319" s="13"/>
      <c r="F319" s="13"/>
      <c r="G319" s="13"/>
      <c r="H319" s="13"/>
      <c r="I319" s="13"/>
      <c r="J319" s="27"/>
      <c r="K319" s="1"/>
      <c r="L319" s="1"/>
    </row>
    <row r="320">
      <c r="A320" s="1"/>
      <c r="B320" s="9" t="s">
        <v>230</v>
      </c>
      <c r="C320" s="25"/>
      <c r="D320" s="25"/>
      <c r="E320" s="25"/>
      <c r="F320" s="25"/>
      <c r="G320" s="25"/>
      <c r="H320" s="25"/>
      <c r="I320" s="25"/>
      <c r="J320" s="37"/>
      <c r="K320" s="1"/>
      <c r="L320" s="1"/>
    </row>
    <row r="321" ht="29.25">
      <c r="A321" s="1"/>
      <c r="B321" s="191" t="s">
        <v>231</v>
      </c>
      <c r="C321" s="5" t="s">
        <v>81</v>
      </c>
      <c r="D321" s="5">
        <f>C169</f>
        <v>319462</v>
      </c>
      <c r="E321" s="5">
        <f>D169</f>
        <v>320005</v>
      </c>
      <c r="F321" s="5">
        <f>E169</f>
        <v>331180</v>
      </c>
      <c r="G321" s="5" t="s">
        <v>81</v>
      </c>
      <c r="H321" s="5">
        <f>F169</f>
        <v>336010</v>
      </c>
      <c r="I321" s="5">
        <f>H169</f>
        <v>336560</v>
      </c>
      <c r="J321" s="15">
        <f>I169</f>
        <v>340939</v>
      </c>
      <c r="K321" s="1"/>
      <c r="L321" s="1"/>
    </row>
    <row r="322">
      <c r="A322" s="1"/>
      <c r="B322" s="1" t="s">
        <v>232</v>
      </c>
      <c r="C322" s="5"/>
      <c r="D322" s="5">
        <f>D323-D321</f>
        <v>543</v>
      </c>
      <c r="E322" s="5">
        <f>E323-E321</f>
        <v>11175</v>
      </c>
      <c r="F322" s="5">
        <f>F323-F321</f>
        <v>4830</v>
      </c>
      <c r="G322" s="5"/>
      <c r="H322" s="5">
        <f>H323-H321</f>
        <v>550</v>
      </c>
      <c r="I322" s="5">
        <f>I323-I321</f>
        <v>4379</v>
      </c>
      <c r="J322" s="15">
        <f>J323-J321</f>
        <v>2227.3642521045986</v>
      </c>
      <c r="K322" s="1"/>
      <c r="L322" s="1"/>
    </row>
    <row r="323">
      <c r="A323" s="1"/>
      <c r="B323" s="9" t="s">
        <v>233</v>
      </c>
      <c r="C323" s="17">
        <f>C169</f>
        <v>319462</v>
      </c>
      <c r="D323" s="17">
        <f>D169</f>
        <v>320005</v>
      </c>
      <c r="E323" s="17">
        <f>E169</f>
        <v>331180</v>
      </c>
      <c r="F323" s="17">
        <f>F169</f>
        <v>336010</v>
      </c>
      <c r="G323" s="17">
        <f>G169</f>
        <v>336010</v>
      </c>
      <c r="H323" s="17">
        <f>H169</f>
        <v>336560</v>
      </c>
      <c r="I323" s="17">
        <f>I169</f>
        <v>340939</v>
      </c>
      <c r="J323" s="42">
        <f>J321*J121/I121</f>
        <v>343166.3642521046</v>
      </c>
      <c r="K323" s="1"/>
      <c r="L323" s="1"/>
    </row>
    <row r="324">
      <c r="A324" s="1"/>
      <c r="B324" s="1" t="s">
        <v>139</v>
      </c>
      <c r="C324" s="5"/>
      <c r="D324" s="5"/>
      <c r="E324" s="5"/>
      <c r="F324" s="5"/>
      <c r="G324" s="5"/>
      <c r="H324" s="5">
        <f>H323-C323</f>
        <v>17098</v>
      </c>
      <c r="I324" s="5">
        <f>I323-D323</f>
        <v>20934</v>
      </c>
      <c r="J324" s="15">
        <f>J323-E323</f>
        <v>11986.364252104599</v>
      </c>
      <c r="K324" s="1"/>
      <c r="L324" s="1"/>
    </row>
    <row r="325">
      <c r="A325" s="1"/>
      <c r="B325" s="1" t="s">
        <v>140</v>
      </c>
      <c r="C325" s="5"/>
      <c r="D325" s="5">
        <f>D323-C323</f>
        <v>543</v>
      </c>
      <c r="E325" s="5">
        <f>E323-D323</f>
        <v>11175</v>
      </c>
      <c r="F325" s="5">
        <f>F323-E323</f>
        <v>4830</v>
      </c>
      <c r="G325" s="5"/>
      <c r="H325" s="5">
        <f>H323-F323</f>
        <v>550</v>
      </c>
      <c r="I325" s="5">
        <f>I323-H323</f>
        <v>4379</v>
      </c>
      <c r="J325" s="15">
        <f>J323-I323</f>
        <v>2227.3642521045986</v>
      </c>
      <c r="K325" s="1"/>
      <c r="L325" s="1"/>
    </row>
    <row r="326">
      <c r="A326" s="1"/>
      <c r="B326" s="1" t="s">
        <v>234</v>
      </c>
      <c r="C326" s="5">
        <f>C121</f>
        <v>321464</v>
      </c>
      <c r="D326" s="5">
        <f>D121</f>
        <v>319033</v>
      </c>
      <c r="E326" s="5">
        <f>E121</f>
        <v>329099</v>
      </c>
      <c r="F326" s="5">
        <f>F121</f>
        <v>333001</v>
      </c>
      <c r="G326" s="5">
        <f>G121</f>
        <v>325690.3095890411</v>
      </c>
      <c r="H326" s="5">
        <f>H121</f>
        <v>335265</v>
      </c>
      <c r="I326" s="5">
        <f>I121</f>
        <v>337828</v>
      </c>
      <c r="J326" s="15">
        <f>J121</f>
        <v>340035.04</v>
      </c>
      <c r="K326" s="1"/>
      <c r="L326" s="1"/>
    </row>
    <row r="327">
      <c r="A327" s="1"/>
      <c r="B327" s="1" t="s">
        <v>235</v>
      </c>
      <c r="C327" s="5">
        <f>C323-C326</f>
        <v>-2002</v>
      </c>
      <c r="D327" s="5">
        <f>D323-D326</f>
        <v>972</v>
      </c>
      <c r="E327" s="5">
        <f>E323-E326</f>
        <v>2081</v>
      </c>
      <c r="F327" s="5">
        <f>F323-F326</f>
        <v>3009</v>
      </c>
      <c r="G327" s="5">
        <f>G323-G326</f>
        <v>10319.690410958894</v>
      </c>
      <c r="H327" s="5">
        <f>H323-H326</f>
        <v>1295</v>
      </c>
      <c r="I327" s="5">
        <f>I323-I326</f>
        <v>3111</v>
      </c>
      <c r="J327" s="15">
        <f>J323-J326</f>
        <v>3131.3242521046195</v>
      </c>
      <c r="K327" s="1"/>
      <c r="L327" s="1"/>
    </row>
    <row r="328">
      <c r="A328" s="1"/>
      <c r="B328" s="9" t="s">
        <v>236</v>
      </c>
      <c r="C328" s="25"/>
      <c r="D328" s="25"/>
      <c r="E328" s="25"/>
      <c r="F328" s="25"/>
      <c r="G328" s="25"/>
      <c r="H328" s="25"/>
      <c r="I328" s="25"/>
      <c r="J328" s="37"/>
      <c r="K328" s="1"/>
      <c r="L328" s="1"/>
    </row>
    <row r="329" ht="29.25">
      <c r="A329" s="1"/>
      <c r="B329" s="191" t="s">
        <v>237</v>
      </c>
      <c r="C329" s="5" t="s">
        <v>81</v>
      </c>
      <c r="D329" s="5">
        <f>C170</f>
        <v>821261</v>
      </c>
      <c r="E329" s="5">
        <f>D170</f>
        <v>806572</v>
      </c>
      <c r="F329" s="5">
        <f>E170</f>
        <v>810992</v>
      </c>
      <c r="G329" s="5" t="s">
        <v>81</v>
      </c>
      <c r="H329" s="5">
        <f>F170</f>
        <v>821100</v>
      </c>
      <c r="I329" s="5">
        <f>H170</f>
        <v>840556</v>
      </c>
      <c r="J329" s="15">
        <f>I170</f>
        <v>832165</v>
      </c>
      <c r="K329" s="1"/>
      <c r="L329" s="1"/>
    </row>
    <row r="330">
      <c r="A330" s="1"/>
      <c r="B330" s="1" t="s">
        <v>232</v>
      </c>
      <c r="C330" s="5"/>
      <c r="D330" s="5">
        <f>D331-D329</f>
        <v>-14689</v>
      </c>
      <c r="E330" s="5">
        <f>E331-E329</f>
        <v>4420</v>
      </c>
      <c r="F330" s="5">
        <f>F331-F329</f>
        <v>10108</v>
      </c>
      <c r="G330" s="5"/>
      <c r="H330" s="5">
        <f>H331-H329</f>
        <v>19456</v>
      </c>
      <c r="I330" s="5">
        <f>I331-I329</f>
        <v>-8391</v>
      </c>
      <c r="J330" s="15">
        <f>J331-J329</f>
        <v>4160.824999999953</v>
      </c>
      <c r="K330" s="1"/>
      <c r="L330" s="1"/>
    </row>
    <row r="331">
      <c r="A331" s="1"/>
      <c r="B331" s="9" t="s">
        <v>238</v>
      </c>
      <c r="C331" s="17">
        <f>C170</f>
        <v>821261</v>
      </c>
      <c r="D331" s="17">
        <f>D170</f>
        <v>806572</v>
      </c>
      <c r="E331" s="17">
        <f>E170</f>
        <v>810992</v>
      </c>
      <c r="F331" s="17">
        <f>F170</f>
        <v>821100</v>
      </c>
      <c r="G331" s="17">
        <f>G170</f>
        <v>821100</v>
      </c>
      <c r="H331" s="17">
        <f>H170</f>
        <v>840556</v>
      </c>
      <c r="I331" s="17">
        <f>I170</f>
        <v>832165</v>
      </c>
      <c r="J331" s="42">
        <f>J329*J124/I124</f>
        <v>836325.825</v>
      </c>
      <c r="K331" s="1"/>
      <c r="L331" s="1"/>
    </row>
    <row r="332">
      <c r="A332" s="1"/>
      <c r="B332" s="1" t="s">
        <v>139</v>
      </c>
      <c r="C332" s="5"/>
      <c r="D332" s="5"/>
      <c r="E332" s="5"/>
      <c r="F332" s="5"/>
      <c r="G332" s="5"/>
      <c r="H332" s="5">
        <f>H331-C331</f>
        <v>19295</v>
      </c>
      <c r="I332" s="5">
        <f>I331-D331</f>
        <v>25593</v>
      </c>
      <c r="J332" s="15">
        <f>J331-E331</f>
        <v>25333.824999999953</v>
      </c>
      <c r="K332" s="1"/>
      <c r="L332" s="1"/>
    </row>
    <row r="333">
      <c r="A333" s="1"/>
      <c r="B333" s="1" t="s">
        <v>140</v>
      </c>
      <c r="C333" s="5"/>
      <c r="D333" s="5">
        <f>D331-C331</f>
        <v>-14689</v>
      </c>
      <c r="E333" s="5">
        <f>E331-D331</f>
        <v>4420</v>
      </c>
      <c r="F333" s="5">
        <f>F331-E331</f>
        <v>10108</v>
      </c>
      <c r="G333" s="5"/>
      <c r="H333" s="5">
        <f>H331-F331</f>
        <v>19456</v>
      </c>
      <c r="I333" s="5">
        <f>I331-H331</f>
        <v>-8391</v>
      </c>
      <c r="J333" s="15">
        <f>J331-I331</f>
        <v>4160.824999999953</v>
      </c>
      <c r="K333" s="1"/>
      <c r="L333" s="1"/>
    </row>
    <row r="334">
      <c r="A334" s="1"/>
      <c r="B334" s="1" t="s">
        <v>148</v>
      </c>
      <c r="C334" s="5">
        <f>C124</f>
        <v>799882</v>
      </c>
      <c r="D334" s="5">
        <f>D124</f>
        <v>805537</v>
      </c>
      <c r="E334" s="5">
        <f>E124</f>
        <v>808942</v>
      </c>
      <c r="F334" s="5">
        <f>F124</f>
        <v>807643</v>
      </c>
      <c r="G334" s="5">
        <f>G124</f>
        <v>805531.690410959</v>
      </c>
      <c r="H334" s="5">
        <f>H124</f>
        <v>816621</v>
      </c>
      <c r="I334" s="5">
        <f>I124</f>
        <v>828363</v>
      </c>
      <c r="J334" s="15">
        <f>J124</f>
        <v>832504.815</v>
      </c>
      <c r="K334" s="1"/>
      <c r="L334" s="1"/>
    </row>
    <row r="335">
      <c r="A335" s="1"/>
      <c r="B335" s="1" t="s">
        <v>235</v>
      </c>
      <c r="C335" s="5">
        <f>C331-C334</f>
        <v>21379</v>
      </c>
      <c r="D335" s="5">
        <f>D331-D334</f>
        <v>1035</v>
      </c>
      <c r="E335" s="5">
        <f>E331-E334</f>
        <v>2050</v>
      </c>
      <c r="F335" s="5">
        <f>F331-F334</f>
        <v>13457</v>
      </c>
      <c r="G335" s="5">
        <f>G331-G334</f>
        <v>15568.309589041048</v>
      </c>
      <c r="H335" s="5">
        <f>H331-H334</f>
        <v>23935</v>
      </c>
      <c r="I335" s="5">
        <f>I331-I334</f>
        <v>3802</v>
      </c>
      <c r="J335" s="15">
        <f>J331-J334</f>
        <v>3821.0100000000093</v>
      </c>
      <c r="K335" s="1"/>
      <c r="L335" s="1"/>
    </row>
    <row r="336">
      <c r="A336" s="1"/>
      <c r="B336" s="1"/>
      <c r="C336" s="13"/>
      <c r="D336" s="13"/>
      <c r="E336" s="13"/>
      <c r="F336" s="13"/>
      <c r="G336" s="13"/>
      <c r="H336" s="13"/>
      <c r="I336" s="13"/>
      <c r="J336" s="27"/>
      <c r="K336" s="1"/>
      <c r="L336" s="1"/>
    </row>
    <row r="337">
      <c r="A337" s="1"/>
      <c r="B337" s="1"/>
      <c r="C337" s="13"/>
      <c r="D337" s="13"/>
      <c r="E337" s="13"/>
      <c r="F337" s="13"/>
      <c r="G337" s="13"/>
      <c r="H337" s="13"/>
      <c r="I337" s="13"/>
      <c r="J337" s="27"/>
      <c r="K337" s="1"/>
      <c r="L337" s="1"/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80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14" customWidth="1"/>
  </cols>
  <sheetData>
    <row r="1">
      <c r="A1" s="1"/>
      <c r="B1" s="3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9" t="s">
        <v>239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64" t="s">
        <v>62</v>
      </c>
      <c r="C4" s="29" t="s">
        <v>63</v>
      </c>
      <c r="D4" s="29" t="s">
        <v>64</v>
      </c>
      <c r="E4" s="29" t="s">
        <v>65</v>
      </c>
      <c r="F4" s="29" t="s">
        <v>66</v>
      </c>
      <c r="G4" s="29" t="s">
        <v>67</v>
      </c>
      <c r="H4" s="29" t="s">
        <v>68</v>
      </c>
      <c r="I4" s="29" t="s">
        <v>69</v>
      </c>
      <c r="J4" s="39" t="s">
        <v>70</v>
      </c>
      <c r="K4" s="131" t="s">
        <v>3</v>
      </c>
      <c r="L4" s="1"/>
    </row>
    <row r="5">
      <c r="A5" s="1"/>
      <c r="B5" s="67" t="s">
        <v>71</v>
      </c>
      <c r="C5" s="32">
        <v>45747</v>
      </c>
      <c r="D5" s="32">
        <v>45838</v>
      </c>
      <c r="E5" s="32">
        <v>45930</v>
      </c>
      <c r="F5" s="32">
        <v>46022</v>
      </c>
      <c r="G5" s="32">
        <v>46022</v>
      </c>
      <c r="H5" s="32">
        <v>46112</v>
      </c>
      <c r="I5" s="32">
        <v>46203</v>
      </c>
      <c r="J5" s="66">
        <v>46295</v>
      </c>
      <c r="K5" s="71"/>
      <c r="L5" s="1"/>
    </row>
    <row r="6">
      <c r="A6" s="1"/>
      <c r="B6" s="8" t="s">
        <v>72</v>
      </c>
      <c r="C6" s="20">
        <f>C5-EOMONTH(C5,-3)</f>
        <v>90</v>
      </c>
      <c r="D6" s="20">
        <f>D5-EOMONTH(D5,-3)</f>
        <v>91</v>
      </c>
      <c r="E6" s="20">
        <f>E5-EOMONTH(E5,-3)</f>
        <v>92</v>
      </c>
      <c r="F6" s="20">
        <f>F5-EOMONTH(F5,-3)</f>
        <v>92</v>
      </c>
      <c r="G6" s="20">
        <f>G5-DATE(YEAR(G5)-1,12,31)</f>
        <v>365</v>
      </c>
      <c r="H6" s="20">
        <f>H5-EOMONTH(H5,-3)</f>
        <v>90</v>
      </c>
      <c r="I6" s="20">
        <f>I5-EOMONTH(I5,-3)</f>
        <v>91</v>
      </c>
      <c r="J6" s="50">
        <f>J5-EOMONTH(J5,-3)</f>
        <v>92</v>
      </c>
      <c r="K6" s="7"/>
      <c r="L6" s="1"/>
    </row>
    <row r="7">
      <c r="A7" s="1"/>
      <c r="B7" s="1"/>
      <c r="C7" s="13"/>
      <c r="D7" s="13"/>
      <c r="E7" s="13"/>
      <c r="F7" s="13"/>
      <c r="G7" s="13"/>
      <c r="H7" s="13"/>
      <c r="I7" s="13"/>
      <c r="J7" s="27"/>
      <c r="K7" s="1"/>
      <c r="L7" s="1"/>
    </row>
    <row r="8">
      <c r="A8" s="1"/>
      <c r="B8" s="9" t="s">
        <v>240</v>
      </c>
      <c r="C8" s="25"/>
      <c r="D8" s="25"/>
      <c r="E8" s="25"/>
      <c r="F8" s="25"/>
      <c r="G8" s="25"/>
      <c r="H8" s="25"/>
      <c r="I8" s="25"/>
      <c r="J8" s="37"/>
      <c r="K8" s="1"/>
      <c r="L8" s="1"/>
    </row>
    <row r="9">
      <c r="A9" s="1"/>
      <c r="B9" s="1" t="s">
        <v>120</v>
      </c>
      <c r="C9" s="107">
        <f>C6</f>
        <v>90</v>
      </c>
      <c r="D9" s="107">
        <f>D6</f>
        <v>91</v>
      </c>
      <c r="E9" s="107">
        <f>E6</f>
        <v>92</v>
      </c>
      <c r="F9" s="107">
        <f>F6</f>
        <v>92</v>
      </c>
      <c r="G9" s="107">
        <f>G6</f>
        <v>365</v>
      </c>
      <c r="H9" s="107">
        <f>H6</f>
        <v>90</v>
      </c>
      <c r="I9" s="107">
        <f>I6</f>
        <v>91</v>
      </c>
      <c r="J9" s="113">
        <f>J6</f>
        <v>92</v>
      </c>
      <c r="K9" s="1"/>
      <c r="L9" s="1"/>
    </row>
    <row r="10">
      <c r="A10" s="1"/>
      <c r="B10" s="1" t="s">
        <v>99</v>
      </c>
      <c r="C10" s="35">
        <v>1977</v>
      </c>
      <c r="D10" s="35">
        <v>1983</v>
      </c>
      <c r="E10" s="35">
        <v>1949</v>
      </c>
      <c r="F10" s="35">
        <v>1993</v>
      </c>
      <c r="G10" s="5">
        <f>SUM(C10:F10)</f>
        <v>7902</v>
      </c>
      <c r="H10" s="35">
        <v>1988</v>
      </c>
      <c r="I10" s="35">
        <v>2047</v>
      </c>
      <c r="J10" s="15">
        <f>J95*J98*J9/365</f>
        <v>2107.271082964159</v>
      </c>
      <c r="K10" s="1" t="s">
        <v>94</v>
      </c>
      <c r="L10" s="1"/>
    </row>
    <row r="11">
      <c r="A11" s="1"/>
      <c r="B11" s="6" t="s">
        <v>84</v>
      </c>
      <c r="C11" s="26"/>
      <c r="D11" s="26"/>
      <c r="E11" s="26"/>
      <c r="F11" s="26"/>
      <c r="G11" s="26"/>
      <c r="H11" s="26">
        <f>IFERROR(IF(OR(C10&lt;=0,H10&lt;0),"n/m",H10/C10-1),"n/m")</f>
        <v>0.005563985837127028</v>
      </c>
      <c r="I11" s="26">
        <f>IFERROR(IF(OR(D10&lt;=0,I10&lt;0),"n/m",I10/D10-1),"n/m")</f>
        <v>0.03227433182047412</v>
      </c>
      <c r="J11" s="47">
        <f>IFERROR(IF(OR(E10&lt;=0,J10&lt;0),"n/m",J10/E10-1),"n/m")</f>
        <v>0.08120630218787017</v>
      </c>
      <c r="K11" s="1"/>
      <c r="L11" s="1"/>
    </row>
    <row r="12">
      <c r="A12" s="1"/>
      <c r="B12" s="6" t="s">
        <v>85</v>
      </c>
      <c r="C12" s="26"/>
      <c r="D12" s="26">
        <f>IFERROR(IF(OR(C10&lt;=0,D10&lt;0),"n/m",D10/C10-1),"n/m")</f>
        <v>0.003034901365705611</v>
      </c>
      <c r="E12" s="26">
        <f>IFERROR(IF(OR(D10&lt;=0,E10&lt;0),"n/m",E10/D10-1),"n/m")</f>
        <v>-0.017145738779626774</v>
      </c>
      <c r="F12" s="26">
        <f>IFERROR(IF(OR(E10&lt;=0,F10&lt;0),"n/m",F10/E10-1),"n/m")</f>
        <v>0.02257567983581321</v>
      </c>
      <c r="G12" s="26"/>
      <c r="H12" s="26">
        <f>IFERROR(IF(OR(F10&lt;=0,H10&lt;0),"n/m",H10/F10-1),"n/m")</f>
        <v>-0.0025087807325639977</v>
      </c>
      <c r="I12" s="26">
        <f>IFERROR(IF(OR(H10&lt;=0,I10&lt;0),"n/m",I10/H10-1),"n/m")</f>
        <v>0.02967806841046272</v>
      </c>
      <c r="J12" s="47">
        <f>IFERROR(IF(OR(I10&lt;=0,J10&lt;0),"n/m",J10/I10-1),"n/m")</f>
        <v>0.029443616494459812</v>
      </c>
      <c r="K12" s="1"/>
      <c r="L12" s="1"/>
    </row>
    <row r="13">
      <c r="A13" s="1"/>
      <c r="B13" s="6" t="s">
        <v>86</v>
      </c>
      <c r="C13" s="26"/>
      <c r="D13" s="26"/>
      <c r="E13" s="26"/>
      <c r="F13" s="26"/>
      <c r="G13" s="26"/>
      <c r="H13" s="26" t="s">
        <v>78</v>
      </c>
      <c r="I13" s="26" t="s">
        <v>78</v>
      </c>
      <c r="J13" s="47" t="s">
        <v>78</v>
      </c>
      <c r="K13" s="1"/>
      <c r="L13" s="1"/>
    </row>
    <row r="14">
      <c r="A14" s="1"/>
      <c r="B14" s="6" t="s">
        <v>87</v>
      </c>
      <c r="C14" s="26"/>
      <c r="D14" s="26"/>
      <c r="E14" s="26"/>
      <c r="F14" s="26"/>
      <c r="G14" s="26"/>
      <c r="H14" s="26" t="s">
        <v>78</v>
      </c>
      <c r="I14" s="26" t="s">
        <v>78</v>
      </c>
      <c r="J14" s="47" t="s">
        <v>78</v>
      </c>
      <c r="K14" s="1"/>
      <c r="L14" s="1"/>
    </row>
    <row r="15">
      <c r="A15" s="1"/>
      <c r="B15" s="6" t="s">
        <v>88</v>
      </c>
      <c r="C15" s="26"/>
      <c r="D15" s="26"/>
      <c r="E15" s="26"/>
      <c r="F15" s="26"/>
      <c r="G15" s="26"/>
      <c r="H15" s="26" t="s">
        <v>81</v>
      </c>
      <c r="I15" s="26" t="s">
        <v>81</v>
      </c>
      <c r="J15" s="47" t="s">
        <v>81</v>
      </c>
      <c r="K15" s="1"/>
      <c r="L15" s="1"/>
    </row>
    <row r="16">
      <c r="A16" s="1"/>
      <c r="B16" s="1" t="s">
        <v>121</v>
      </c>
      <c r="C16" s="35">
        <v>335</v>
      </c>
      <c r="D16" s="35">
        <v>324</v>
      </c>
      <c r="E16" s="35">
        <v>311</v>
      </c>
      <c r="F16" s="35">
        <v>320</v>
      </c>
      <c r="G16" s="5">
        <f>SUM(C16:F16)</f>
        <v>1290</v>
      </c>
      <c r="H16" s="35">
        <v>319</v>
      </c>
      <c r="I16" s="35">
        <v>325</v>
      </c>
      <c r="J16" s="15">
        <f>J91*J101*J9/365</f>
        <v>333.49999999999994</v>
      </c>
      <c r="K16" s="1" t="s">
        <v>94</v>
      </c>
      <c r="L16" s="1"/>
    </row>
    <row r="17">
      <c r="A17" s="1"/>
      <c r="B17" s="6" t="s">
        <v>84</v>
      </c>
      <c r="C17" s="26"/>
      <c r="D17" s="26"/>
      <c r="E17" s="26"/>
      <c r="F17" s="26"/>
      <c r="G17" s="26"/>
      <c r="H17" s="26">
        <f>IFERROR(IF(OR(C16&lt;=0,H16&lt;0),"n/m",H16/C16-1),"n/m")</f>
        <v>-0.047761194029850795</v>
      </c>
      <c r="I17" s="26">
        <f>IFERROR(IF(OR(D16&lt;=0,I16&lt;0),"n/m",I16/D16-1),"n/m")</f>
        <v>0.0030864197530864335</v>
      </c>
      <c r="J17" s="47">
        <f>IFERROR(IF(OR(E16&lt;=0,J16&lt;0),"n/m",J16/E16-1),"n/m")</f>
        <v>0.07234726688102877</v>
      </c>
      <c r="K17" s="1"/>
      <c r="L17" s="1"/>
    </row>
    <row r="18">
      <c r="A18" s="1"/>
      <c r="B18" s="6" t="s">
        <v>85</v>
      </c>
      <c r="C18" s="26"/>
      <c r="D18" s="26">
        <f>IFERROR(IF(OR(C16&lt;=0,D16&lt;0),"n/m",D16/C16-1),"n/m")</f>
        <v>-0.032835820895522394</v>
      </c>
      <c r="E18" s="26">
        <f>IFERROR(IF(OR(D16&lt;=0,E16&lt;0),"n/m",E16/D16-1),"n/m")</f>
        <v>-0.04012345679012341</v>
      </c>
      <c r="F18" s="26">
        <f>IFERROR(IF(OR(E16&lt;=0,F16&lt;0),"n/m",F16/E16-1),"n/m")</f>
        <v>0.02893890675241151</v>
      </c>
      <c r="G18" s="26"/>
      <c r="H18" s="26">
        <f>IFERROR(IF(OR(F16&lt;=0,H16&lt;0),"n/m",H16/F16-1),"n/m")</f>
        <v>-0.0031250000000000444</v>
      </c>
      <c r="I18" s="26">
        <f>IFERROR(IF(OR(H16&lt;=0,I16&lt;0),"n/m",I16/H16-1),"n/m")</f>
        <v>0.018808777429467183</v>
      </c>
      <c r="J18" s="47">
        <f>IFERROR(IF(OR(I16&lt;=0,J16&lt;0),"n/m",J16/I16-1),"n/m")</f>
        <v>0.026153846153845972</v>
      </c>
      <c r="K18" s="1"/>
      <c r="L18" s="1"/>
    </row>
    <row r="19">
      <c r="A19" s="1"/>
      <c r="B19" s="6" t="s">
        <v>86</v>
      </c>
      <c r="C19" s="26"/>
      <c r="D19" s="26"/>
      <c r="E19" s="26"/>
      <c r="F19" s="26"/>
      <c r="G19" s="26"/>
      <c r="H19" s="26" t="s">
        <v>78</v>
      </c>
      <c r="I19" s="26" t="s">
        <v>78</v>
      </c>
      <c r="J19" s="47" t="s">
        <v>78</v>
      </c>
      <c r="K19" s="1"/>
      <c r="L19" s="1"/>
    </row>
    <row r="20">
      <c r="A20" s="1"/>
      <c r="B20" s="6" t="s">
        <v>87</v>
      </c>
      <c r="C20" s="26"/>
      <c r="D20" s="26"/>
      <c r="E20" s="26"/>
      <c r="F20" s="26"/>
      <c r="G20" s="26"/>
      <c r="H20" s="26" t="s">
        <v>78</v>
      </c>
      <c r="I20" s="26" t="s">
        <v>78</v>
      </c>
      <c r="J20" s="47" t="s">
        <v>78</v>
      </c>
      <c r="K20" s="1"/>
      <c r="L20" s="1"/>
    </row>
    <row r="21">
      <c r="A21" s="1"/>
      <c r="B21" s="6" t="s">
        <v>88</v>
      </c>
      <c r="C21" s="26"/>
      <c r="D21" s="26"/>
      <c r="E21" s="26"/>
      <c r="F21" s="26"/>
      <c r="G21" s="26"/>
      <c r="H21" s="26" t="s">
        <v>81</v>
      </c>
      <c r="I21" s="26" t="s">
        <v>81</v>
      </c>
      <c r="J21" s="47" t="s">
        <v>81</v>
      </c>
      <c r="K21" s="1"/>
      <c r="L21" s="1"/>
    </row>
    <row r="22">
      <c r="A22" s="1"/>
      <c r="B22" s="1" t="s">
        <v>241</v>
      </c>
      <c r="C22" s="35">
        <v>136</v>
      </c>
      <c r="D22" s="35">
        <v>138</v>
      </c>
      <c r="E22" s="35">
        <v>144</v>
      </c>
      <c r="F22" s="35">
        <v>147</v>
      </c>
      <c r="G22" s="5">
        <f>SUM(C22:F22)</f>
        <v>565</v>
      </c>
      <c r="H22" s="35">
        <v>150</v>
      </c>
      <c r="I22" s="35">
        <v>148</v>
      </c>
      <c r="J22" s="15">
        <f>J88*J104*J9/365</f>
        <v>152.74681992127648</v>
      </c>
      <c r="K22" s="1" t="s">
        <v>94</v>
      </c>
      <c r="L22" s="1"/>
    </row>
    <row r="23">
      <c r="A23" s="1"/>
      <c r="B23" s="6" t="s">
        <v>84</v>
      </c>
      <c r="C23" s="26"/>
      <c r="D23" s="26"/>
      <c r="E23" s="26"/>
      <c r="F23" s="26"/>
      <c r="G23" s="26"/>
      <c r="H23" s="26">
        <f>IFERROR(IF(OR(C22&lt;=0,H22&lt;0),"n/m",H22/C22-1),"n/m")</f>
        <v>0.10294117647058831</v>
      </c>
      <c r="I23" s="26">
        <f>IFERROR(IF(OR(D22&lt;=0,I22&lt;0),"n/m",I22/D22-1),"n/m")</f>
        <v>0.07246376811594213</v>
      </c>
      <c r="J23" s="47">
        <f>IFERROR(IF(OR(E22&lt;=0,J22&lt;0),"n/m",J22/E22-1),"n/m")</f>
        <v>0.06074180500886439</v>
      </c>
      <c r="K23" s="1"/>
      <c r="L23" s="1"/>
    </row>
    <row r="24">
      <c r="A24" s="1"/>
      <c r="B24" s="6" t="s">
        <v>85</v>
      </c>
      <c r="C24" s="26"/>
      <c r="D24" s="26">
        <f>IFERROR(IF(OR(C22&lt;=0,D22&lt;0),"n/m",D22/C22-1),"n/m")</f>
        <v>0.014705882352941124</v>
      </c>
      <c r="E24" s="26">
        <f>IFERROR(IF(OR(D22&lt;=0,E22&lt;0),"n/m",E22/D22-1),"n/m")</f>
        <v>0.04347826086956519</v>
      </c>
      <c r="F24" s="26">
        <f>IFERROR(IF(OR(E22&lt;=0,F22&lt;0),"n/m",F22/E22-1),"n/m")</f>
        <v>0.02083333333333326</v>
      </c>
      <c r="G24" s="26"/>
      <c r="H24" s="26">
        <f>IFERROR(IF(OR(F22&lt;=0,H22&lt;0),"n/m",H22/F22-1),"n/m")</f>
        <v>0.020408163265306145</v>
      </c>
      <c r="I24" s="26">
        <f>IFERROR(IF(OR(H22&lt;=0,I22&lt;0),"n/m",I22/H22-1),"n/m")</f>
        <v>-0.013333333333333308</v>
      </c>
      <c r="J24" s="47">
        <f>IFERROR(IF(OR(I22&lt;=0,J22&lt;0),"n/m",J22/I22-1),"n/m")</f>
        <v>0.03207310757619242</v>
      </c>
      <c r="K24" s="1"/>
      <c r="L24" s="1"/>
    </row>
    <row r="25">
      <c r="A25" s="1"/>
      <c r="B25" s="6" t="s">
        <v>86</v>
      </c>
      <c r="C25" s="26"/>
      <c r="D25" s="26"/>
      <c r="E25" s="26"/>
      <c r="F25" s="26"/>
      <c r="G25" s="26"/>
      <c r="H25" s="26" t="s">
        <v>78</v>
      </c>
      <c r="I25" s="26" t="s">
        <v>78</v>
      </c>
      <c r="J25" s="47" t="s">
        <v>78</v>
      </c>
      <c r="K25" s="1"/>
      <c r="L25" s="1"/>
    </row>
    <row r="26">
      <c r="A26" s="1"/>
      <c r="B26" s="6" t="s">
        <v>87</v>
      </c>
      <c r="C26" s="26"/>
      <c r="D26" s="26"/>
      <c r="E26" s="26"/>
      <c r="F26" s="26"/>
      <c r="G26" s="26"/>
      <c r="H26" s="26" t="s">
        <v>78</v>
      </c>
      <c r="I26" s="26" t="s">
        <v>78</v>
      </c>
      <c r="J26" s="47" t="s">
        <v>78</v>
      </c>
      <c r="K26" s="1"/>
      <c r="L26" s="1"/>
    </row>
    <row r="27">
      <c r="A27" s="1"/>
      <c r="B27" s="6" t="s">
        <v>88</v>
      </c>
      <c r="C27" s="26"/>
      <c r="D27" s="26"/>
      <c r="E27" s="26"/>
      <c r="F27" s="26"/>
      <c r="G27" s="26"/>
      <c r="H27" s="26" t="s">
        <v>81</v>
      </c>
      <c r="I27" s="26" t="s">
        <v>81</v>
      </c>
      <c r="J27" s="47" t="s">
        <v>81</v>
      </c>
      <c r="K27" s="1"/>
      <c r="L27" s="1"/>
    </row>
    <row r="28">
      <c r="A28" s="1"/>
      <c r="B28" s="1" t="s">
        <v>242</v>
      </c>
      <c r="C28" s="35">
        <v>123</v>
      </c>
      <c r="D28" s="35">
        <v>116</v>
      </c>
      <c r="E28" s="35">
        <v>119</v>
      </c>
      <c r="F28" s="35">
        <v>115</v>
      </c>
      <c r="G28" s="5">
        <f>SUM(C28:F28)</f>
        <v>473</v>
      </c>
      <c r="H28" s="35">
        <v>121</v>
      </c>
      <c r="I28" s="35">
        <v>106</v>
      </c>
      <c r="J28" s="38">
        <v>105</v>
      </c>
      <c r="K28" s="1" t="s">
        <v>94</v>
      </c>
      <c r="L28" s="1"/>
    </row>
    <row r="29">
      <c r="A29" s="1"/>
      <c r="B29" s="6" t="s">
        <v>84</v>
      </c>
      <c r="C29" s="26"/>
      <c r="D29" s="26"/>
      <c r="E29" s="26"/>
      <c r="F29" s="26"/>
      <c r="G29" s="26"/>
      <c r="H29" s="26">
        <f>IFERROR(IF(OR(C28&lt;=0,H28&lt;0),"n/m",H28/C28-1),"n/m")</f>
        <v>-0.016260162601625994</v>
      </c>
      <c r="I29" s="26">
        <f>IFERROR(IF(OR(D28&lt;=0,I28&lt;0),"n/m",I28/D28-1),"n/m")</f>
        <v>-0.08620689655172409</v>
      </c>
      <c r="J29" s="47">
        <f>IFERROR(IF(OR(E28&lt;=0,J28&lt;0),"n/m",J28/E28-1),"n/m")</f>
        <v>-0.11764705882352944</v>
      </c>
      <c r="K29" s="1"/>
      <c r="L29" s="1"/>
    </row>
    <row r="30">
      <c r="A30" s="1"/>
      <c r="B30" s="6" t="s">
        <v>85</v>
      </c>
      <c r="C30" s="26"/>
      <c r="D30" s="26">
        <f>IFERROR(IF(OR(C28&lt;=0,D28&lt;0),"n/m",D28/C28-1),"n/m")</f>
        <v>-0.05691056910569103</v>
      </c>
      <c r="E30" s="26">
        <f>IFERROR(IF(OR(D28&lt;=0,E28&lt;0),"n/m",E28/D28-1),"n/m")</f>
        <v>0.02586206896551735</v>
      </c>
      <c r="F30" s="26">
        <f>IFERROR(IF(OR(E28&lt;=0,F28&lt;0),"n/m",F28/E28-1),"n/m")</f>
        <v>-0.03361344537815125</v>
      </c>
      <c r="G30" s="26"/>
      <c r="H30" s="26">
        <f>IFERROR(IF(OR(F28&lt;=0,H28&lt;0),"n/m",H28/F28-1),"n/m")</f>
        <v>0.05217391304347818</v>
      </c>
      <c r="I30" s="26">
        <f>IFERROR(IF(OR(H28&lt;=0,I28&lt;0),"n/m",I28/H28-1),"n/m")</f>
        <v>-0.12396694214876036</v>
      </c>
      <c r="J30" s="47">
        <f>IFERROR(IF(OR(I28&lt;=0,J28&lt;0),"n/m",J28/I28-1),"n/m")</f>
        <v>-0.009433962264150941</v>
      </c>
      <c r="K30" s="1"/>
      <c r="L30" s="1"/>
    </row>
    <row r="31">
      <c r="A31" s="1"/>
      <c r="B31" s="6" t="s">
        <v>86</v>
      </c>
      <c r="C31" s="26"/>
      <c r="D31" s="26"/>
      <c r="E31" s="26"/>
      <c r="F31" s="26"/>
      <c r="G31" s="26"/>
      <c r="H31" s="26" t="s">
        <v>78</v>
      </c>
      <c r="I31" s="26" t="s">
        <v>78</v>
      </c>
      <c r="J31" s="47" t="s">
        <v>78</v>
      </c>
      <c r="K31" s="1"/>
      <c r="L31" s="1"/>
    </row>
    <row r="32">
      <c r="A32" s="1"/>
      <c r="B32" s="6" t="s">
        <v>87</v>
      </c>
      <c r="C32" s="26"/>
      <c r="D32" s="26"/>
      <c r="E32" s="26"/>
      <c r="F32" s="26"/>
      <c r="G32" s="26"/>
      <c r="H32" s="26" t="s">
        <v>78</v>
      </c>
      <c r="I32" s="26" t="s">
        <v>78</v>
      </c>
      <c r="J32" s="47" t="s">
        <v>78</v>
      </c>
      <c r="K32" s="1"/>
      <c r="L32" s="1"/>
    </row>
    <row r="33">
      <c r="A33" s="1"/>
      <c r="B33" s="6" t="s">
        <v>88</v>
      </c>
      <c r="C33" s="26"/>
      <c r="D33" s="26"/>
      <c r="E33" s="26"/>
      <c r="F33" s="26"/>
      <c r="G33" s="26"/>
      <c r="H33" s="26" t="s">
        <v>81</v>
      </c>
      <c r="I33" s="26" t="s">
        <v>81</v>
      </c>
      <c r="J33" s="47" t="s">
        <v>81</v>
      </c>
      <c r="K33" s="1"/>
      <c r="L33" s="1"/>
    </row>
    <row r="34">
      <c r="A34" s="1"/>
      <c r="B34" s="1" t="s">
        <v>127</v>
      </c>
      <c r="C34" s="35">
        <v>354</v>
      </c>
      <c r="D34" s="35">
        <v>372</v>
      </c>
      <c r="E34" s="35">
        <v>518</v>
      </c>
      <c r="F34" s="35">
        <v>504</v>
      </c>
      <c r="G34" s="5">
        <f>SUM(C34:F34)</f>
        <v>1748</v>
      </c>
      <c r="H34" s="35">
        <v>542</v>
      </c>
      <c r="I34" s="35">
        <v>492</v>
      </c>
      <c r="J34" s="38">
        <v>500</v>
      </c>
      <c r="K34" s="1" t="s">
        <v>94</v>
      </c>
      <c r="L34" s="1"/>
    </row>
    <row r="35">
      <c r="A35" s="1"/>
      <c r="B35" s="6" t="s">
        <v>84</v>
      </c>
      <c r="C35" s="26"/>
      <c r="D35" s="26"/>
      <c r="E35" s="26"/>
      <c r="F35" s="26"/>
      <c r="G35" s="26"/>
      <c r="H35" s="26">
        <f>IFERROR(IF(OR(C34&lt;=0,H34&lt;0),"n/m",H34/C34-1),"n/m")</f>
        <v>0.5310734463276836</v>
      </c>
      <c r="I35" s="26">
        <f>IFERROR(IF(OR(D34&lt;=0,I34&lt;0),"n/m",I34/D34-1),"n/m")</f>
        <v>0.32258064516129026</v>
      </c>
      <c r="J35" s="47">
        <f>IFERROR(IF(OR(E34&lt;=0,J34&lt;0),"n/m",J34/E34-1),"n/m")</f>
        <v>-0.03474903474903479</v>
      </c>
      <c r="K35" s="1"/>
      <c r="L35" s="1"/>
    </row>
    <row r="36">
      <c r="A36" s="1"/>
      <c r="B36" s="6" t="s">
        <v>85</v>
      </c>
      <c r="C36" s="26"/>
      <c r="D36" s="26">
        <f>IFERROR(IF(OR(C34&lt;=0,D34&lt;0),"n/m",D34/C34-1),"n/m")</f>
        <v>0.05084745762711873</v>
      </c>
      <c r="E36" s="26">
        <f>IFERROR(IF(OR(D34&lt;=0,E34&lt;0),"n/m",E34/D34-1),"n/m")</f>
        <v>0.39247311827957</v>
      </c>
      <c r="F36" s="26">
        <f>IFERROR(IF(OR(E34&lt;=0,F34&lt;0),"n/m",F34/E34-1),"n/m")</f>
        <v>-0.027027027027026973</v>
      </c>
      <c r="G36" s="26"/>
      <c r="H36" s="26">
        <f>IFERROR(IF(OR(F34&lt;=0,H34&lt;0),"n/m",H34/F34-1),"n/m")</f>
        <v>0.07539682539682535</v>
      </c>
      <c r="I36" s="26">
        <f>IFERROR(IF(OR(H34&lt;=0,I34&lt;0),"n/m",I34/H34-1),"n/m")</f>
        <v>-0.09225092250922506</v>
      </c>
      <c r="J36" s="47">
        <f>IFERROR(IF(OR(I34&lt;=0,J34&lt;0),"n/m",J34/I34-1),"n/m")</f>
        <v>0.016260162601626105</v>
      </c>
      <c r="K36" s="1"/>
      <c r="L36" s="1"/>
    </row>
    <row r="37">
      <c r="A37" s="1"/>
      <c r="B37" s="6" t="s">
        <v>86</v>
      </c>
      <c r="C37" s="26"/>
      <c r="D37" s="26"/>
      <c r="E37" s="26"/>
      <c r="F37" s="26"/>
      <c r="G37" s="26"/>
      <c r="H37" s="26" t="s">
        <v>78</v>
      </c>
      <c r="I37" s="26" t="s">
        <v>78</v>
      </c>
      <c r="J37" s="47" t="s">
        <v>78</v>
      </c>
      <c r="K37" s="1"/>
      <c r="L37" s="1"/>
    </row>
    <row r="38">
      <c r="A38" s="1"/>
      <c r="B38" s="6" t="s">
        <v>87</v>
      </c>
      <c r="C38" s="26"/>
      <c r="D38" s="26"/>
      <c r="E38" s="26"/>
      <c r="F38" s="26"/>
      <c r="G38" s="26"/>
      <c r="H38" s="26" t="s">
        <v>78</v>
      </c>
      <c r="I38" s="26" t="s">
        <v>78</v>
      </c>
      <c r="J38" s="47" t="s">
        <v>78</v>
      </c>
      <c r="K38" s="1"/>
      <c r="L38" s="1"/>
    </row>
    <row r="39">
      <c r="A39" s="1"/>
      <c r="B39" s="6" t="s">
        <v>88</v>
      </c>
      <c r="C39" s="26"/>
      <c r="D39" s="26"/>
      <c r="E39" s="26"/>
      <c r="F39" s="26"/>
      <c r="G39" s="26"/>
      <c r="H39" s="26" t="s">
        <v>81</v>
      </c>
      <c r="I39" s="26" t="s">
        <v>81</v>
      </c>
      <c r="J39" s="47" t="s">
        <v>81</v>
      </c>
      <c r="K39" s="1"/>
      <c r="L39" s="1"/>
    </row>
    <row r="40">
      <c r="A40" s="1"/>
      <c r="B40" s="9" t="s">
        <v>128</v>
      </c>
      <c r="C40" s="17">
        <f>C16+C22+C28+C34</f>
        <v>948</v>
      </c>
      <c r="D40" s="17">
        <f>D16+D22+D28+D34</f>
        <v>950</v>
      </c>
      <c r="E40" s="17">
        <f>E16+E22+E28+E34</f>
        <v>1092</v>
      </c>
      <c r="F40" s="17">
        <f>F16+F22+F28+F34</f>
        <v>1086</v>
      </c>
      <c r="G40" s="17">
        <f>G16+G22+G28+G34</f>
        <v>4076</v>
      </c>
      <c r="H40" s="17">
        <f>H16+H22+H28+H34</f>
        <v>1132</v>
      </c>
      <c r="I40" s="17">
        <f>I16+I22+I28+I34</f>
        <v>1071</v>
      </c>
      <c r="J40" s="42">
        <f>J16+J22+J28+J34</f>
        <v>1091.2468199212765</v>
      </c>
      <c r="K40" s="1"/>
      <c r="L40" s="1"/>
    </row>
    <row r="41">
      <c r="A41" s="1"/>
      <c r="B41" s="6" t="s">
        <v>75</v>
      </c>
      <c r="C41" s="26"/>
      <c r="D41" s="26"/>
      <c r="E41" s="26"/>
      <c r="F41" s="26"/>
      <c r="G41" s="26"/>
      <c r="H41" s="26">
        <f>IFERROR(IF(OR(C40&lt;=0,H40&lt;0),"n/m",H40/C40-1),"n/m")</f>
        <v>0.19409282700421948</v>
      </c>
      <c r="I41" s="26">
        <f>IFERROR(IF(OR(D40&lt;=0,I40&lt;0),"n/m",I40/D40-1),"n/m")</f>
        <v>0.12736842105263158</v>
      </c>
      <c r="J41" s="47">
        <f>IFERROR(IF(OR(E40&lt;=0,J40&lt;0),"n/m",J40/E40-1),"n/m")</f>
        <v>-0.0006897253468164388</v>
      </c>
      <c r="K41" s="1"/>
      <c r="L41" s="1"/>
    </row>
    <row r="42">
      <c r="A42" s="1"/>
      <c r="B42" s="6" t="s">
        <v>76</v>
      </c>
      <c r="C42" s="26"/>
      <c r="D42" s="26">
        <f>IFERROR(IF(OR(C40&lt;=0,D40&lt;0),"n/m",D40/C40-1),"n/m")</f>
        <v>0.0021097046413502962</v>
      </c>
      <c r="E42" s="26">
        <f>IFERROR(IF(OR(D40&lt;=0,E40&lt;0),"n/m",E40/D40-1),"n/m")</f>
        <v>0.14947368421052643</v>
      </c>
      <c r="F42" s="26">
        <f>IFERROR(IF(OR(E40&lt;=0,F40&lt;0),"n/m",F40/E40-1),"n/m")</f>
        <v>-0.005494505494505475</v>
      </c>
      <c r="G42" s="26"/>
      <c r="H42" s="26">
        <f>IFERROR(IF(OR(F40&lt;=0,H40&lt;0),"n/m",H40/F40-1),"n/m")</f>
        <v>0.0423572744014733</v>
      </c>
      <c r="I42" s="26">
        <f>IFERROR(IF(OR(H40&lt;=0,I40&lt;0),"n/m",I40/H40-1),"n/m")</f>
        <v>-0.05388692579505305</v>
      </c>
      <c r="J42" s="47">
        <f>IFERROR(IF(OR(I40&lt;=0,J40&lt;0),"n/m",J40/I40-1),"n/m")</f>
        <v>0.01890459376403042</v>
      </c>
      <c r="K42" s="1"/>
      <c r="L42" s="1"/>
    </row>
    <row r="43">
      <c r="A43" s="1"/>
      <c r="B43" s="6" t="s">
        <v>77</v>
      </c>
      <c r="C43" s="26"/>
      <c r="D43" s="26"/>
      <c r="E43" s="26"/>
      <c r="F43" s="26"/>
      <c r="G43" s="26"/>
      <c r="H43" s="26" t="s">
        <v>78</v>
      </c>
      <c r="I43" s="26" t="s">
        <v>78</v>
      </c>
      <c r="J43" s="47" t="s">
        <v>78</v>
      </c>
      <c r="K43" s="1"/>
      <c r="L43" s="1"/>
    </row>
    <row r="44">
      <c r="A44" s="1"/>
      <c r="B44" s="6" t="s">
        <v>79</v>
      </c>
      <c r="C44" s="26"/>
      <c r="D44" s="26"/>
      <c r="E44" s="26"/>
      <c r="F44" s="26"/>
      <c r="G44" s="26"/>
      <c r="H44" s="26" t="s">
        <v>78</v>
      </c>
      <c r="I44" s="26" t="s">
        <v>78</v>
      </c>
      <c r="J44" s="47" t="s">
        <v>78</v>
      </c>
      <c r="K44" s="1"/>
      <c r="L44" s="1"/>
    </row>
    <row r="45">
      <c r="A45" s="1"/>
      <c r="B45" s="6" t="s">
        <v>80</v>
      </c>
      <c r="C45" s="26"/>
      <c r="D45" s="26"/>
      <c r="E45" s="26"/>
      <c r="F45" s="26"/>
      <c r="G45" s="26"/>
      <c r="H45" s="26" t="s">
        <v>81</v>
      </c>
      <c r="I45" s="26" t="s">
        <v>81</v>
      </c>
      <c r="J45" s="47" t="s">
        <v>81</v>
      </c>
      <c r="K45" s="1"/>
      <c r="L45" s="1"/>
    </row>
    <row r="46">
      <c r="A46" s="1"/>
      <c r="B46" s="9" t="s">
        <v>74</v>
      </c>
      <c r="C46" s="17">
        <f>C10+C40</f>
        <v>2925</v>
      </c>
      <c r="D46" s="17">
        <f>D10+D40</f>
        <v>2933</v>
      </c>
      <c r="E46" s="17">
        <f>E10+E40</f>
        <v>3041</v>
      </c>
      <c r="F46" s="17">
        <f>F10+F40</f>
        <v>3079</v>
      </c>
      <c r="G46" s="17">
        <f>G10+G40</f>
        <v>11978</v>
      </c>
      <c r="H46" s="17">
        <f>H10+H40</f>
        <v>3120</v>
      </c>
      <c r="I46" s="17">
        <f>I10+I40</f>
        <v>3118</v>
      </c>
      <c r="J46" s="42">
        <f>J10+J40</f>
        <v>3198.5179028854354</v>
      </c>
      <c r="K46" s="1"/>
      <c r="L46" s="1"/>
    </row>
    <row r="47">
      <c r="A47" s="1"/>
      <c r="B47" s="6" t="s">
        <v>75</v>
      </c>
      <c r="C47" s="26"/>
      <c r="D47" s="26"/>
      <c r="E47" s="26"/>
      <c r="F47" s="26"/>
      <c r="G47" s="26"/>
      <c r="H47" s="26">
        <f>IFERROR(IF(OR(C46&lt;=0,H46&lt;0),"n/m",H46/C46-1),"n/m")</f>
        <v>0.06666666666666665</v>
      </c>
      <c r="I47" s="26">
        <f>IFERROR(IF(OR(D46&lt;=0,I46&lt;0),"n/m",I46/D46-1),"n/m")</f>
        <v>0.06307534947153082</v>
      </c>
      <c r="J47" s="47">
        <f>IFERROR(IF(OR(E46&lt;=0,J46&lt;0),"n/m",J46/E46-1),"n/m")</f>
        <v>0.051798060797578316</v>
      </c>
      <c r="K47" s="1"/>
      <c r="L47" s="1"/>
    </row>
    <row r="48">
      <c r="A48" s="1"/>
      <c r="B48" s="6" t="s">
        <v>76</v>
      </c>
      <c r="C48" s="26"/>
      <c r="D48" s="26">
        <f>IFERROR(IF(OR(C46&lt;=0,D46&lt;0),"n/m",D46/C46-1),"n/m")</f>
        <v>0.0027350427350427697</v>
      </c>
      <c r="E48" s="26">
        <f>IFERROR(IF(OR(D46&lt;=0,E46&lt;0),"n/m",E46/D46-1),"n/m")</f>
        <v>0.03682236617797474</v>
      </c>
      <c r="F48" s="26">
        <f>IFERROR(IF(OR(E46&lt;=0,F46&lt;0),"n/m",F46/E46-1),"n/m")</f>
        <v>0.012495889510029556</v>
      </c>
      <c r="G48" s="26"/>
      <c r="H48" s="26">
        <f>IFERROR(IF(OR(F46&lt;=0,H46&lt;0),"n/m",H46/F46-1),"n/m")</f>
        <v>0.013316011692107832</v>
      </c>
      <c r="I48" s="26">
        <f>IFERROR(IF(OR(H46&lt;=0,I46&lt;0),"n/m",I46/H46-1),"n/m")</f>
        <v>-0.0006410256410256387</v>
      </c>
      <c r="J48" s="47">
        <f>IFERROR(IF(OR(I46&lt;=0,J46&lt;0),"n/m",J46/I46-1),"n/m")</f>
        <v>0.02582357372849109</v>
      </c>
      <c r="K48" s="1"/>
      <c r="L48" s="1"/>
    </row>
    <row r="49">
      <c r="A49" s="1"/>
      <c r="B49" s="6" t="s">
        <v>77</v>
      </c>
      <c r="C49" s="26"/>
      <c r="D49" s="26"/>
      <c r="E49" s="26"/>
      <c r="F49" s="26"/>
      <c r="G49" s="26"/>
      <c r="H49" s="26" t="s">
        <v>78</v>
      </c>
      <c r="I49" s="26" t="s">
        <v>78</v>
      </c>
      <c r="J49" s="47" t="s">
        <v>78</v>
      </c>
      <c r="K49" s="1"/>
      <c r="L49" s="1"/>
    </row>
    <row r="50">
      <c r="A50" s="1"/>
      <c r="B50" s="6" t="s">
        <v>79</v>
      </c>
      <c r="C50" s="26"/>
      <c r="D50" s="26"/>
      <c r="E50" s="26"/>
      <c r="F50" s="26"/>
      <c r="G50" s="26"/>
      <c r="H50" s="26" t="s">
        <v>78</v>
      </c>
      <c r="I50" s="26" t="s">
        <v>78</v>
      </c>
      <c r="J50" s="47" t="s">
        <v>78</v>
      </c>
      <c r="K50" s="1"/>
      <c r="L50" s="1"/>
    </row>
    <row r="51">
      <c r="A51" s="1"/>
      <c r="B51" s="6" t="s">
        <v>80</v>
      </c>
      <c r="C51" s="26"/>
      <c r="D51" s="26"/>
      <c r="E51" s="26"/>
      <c r="F51" s="26"/>
      <c r="G51" s="26"/>
      <c r="H51" s="26" t="s">
        <v>81</v>
      </c>
      <c r="I51" s="26" t="s">
        <v>81</v>
      </c>
      <c r="J51" s="47" t="s">
        <v>81</v>
      </c>
      <c r="K51" s="1"/>
      <c r="L51" s="1"/>
    </row>
    <row r="52">
      <c r="A52" s="1"/>
      <c r="B52" s="1"/>
      <c r="C52" s="13"/>
      <c r="D52" s="13"/>
      <c r="E52" s="13"/>
      <c r="F52" s="13"/>
      <c r="G52" s="13"/>
      <c r="H52" s="13"/>
      <c r="I52" s="13"/>
      <c r="J52" s="27"/>
      <c r="K52" s="1"/>
      <c r="L52" s="1"/>
    </row>
    <row r="53">
      <c r="A53" s="1"/>
      <c r="B53" s="9" t="s">
        <v>243</v>
      </c>
      <c r="C53" s="25"/>
      <c r="D53" s="25"/>
      <c r="E53" s="25"/>
      <c r="F53" s="25"/>
      <c r="G53" s="25"/>
      <c r="H53" s="25"/>
      <c r="I53" s="25"/>
      <c r="J53" s="37"/>
      <c r="K53" s="1"/>
      <c r="L53" s="1"/>
    </row>
    <row r="54">
      <c r="A54" s="1"/>
      <c r="B54" s="1" t="s">
        <v>244</v>
      </c>
      <c r="C54" s="35">
        <v>1267</v>
      </c>
      <c r="D54" s="35">
        <v>1262</v>
      </c>
      <c r="E54" s="35">
        <v>1251</v>
      </c>
      <c r="F54" s="35">
        <v>1254</v>
      </c>
      <c r="G54" s="5">
        <f>SUM(C54:F54)</f>
        <v>5034</v>
      </c>
      <c r="H54" s="35">
        <v>1250</v>
      </c>
      <c r="I54" s="35">
        <v>1278</v>
      </c>
      <c r="J54" s="15">
        <f>J88*J107*J9/365</f>
        <v>1318.989431482374</v>
      </c>
      <c r="K54" s="1" t="s">
        <v>94</v>
      </c>
      <c r="L54" s="1"/>
    </row>
    <row r="55">
      <c r="A55" s="1"/>
      <c r="B55" s="6" t="s">
        <v>84</v>
      </c>
      <c r="C55" s="26"/>
      <c r="D55" s="26"/>
      <c r="E55" s="26"/>
      <c r="F55" s="26"/>
      <c r="G55" s="26"/>
      <c r="H55" s="26">
        <f>IFERROR(IF(OR(C54&lt;=0,H54&lt;0),"n/m",H54/C54-1),"n/m")</f>
        <v>-0.013417521704814472</v>
      </c>
      <c r="I55" s="26">
        <f>IFERROR(IF(OR(D54&lt;=0,I54&lt;0),"n/m",I54/D54-1),"n/m")</f>
        <v>0.01267828843106189</v>
      </c>
      <c r="J55" s="47">
        <f>IFERROR(IF(OR(E54&lt;=0,J54&lt;0),"n/m",J54/E54-1),"n/m")</f>
        <v>0.054348066732513134</v>
      </c>
      <c r="K55" s="1"/>
      <c r="L55" s="1"/>
    </row>
    <row r="56">
      <c r="A56" s="1"/>
      <c r="B56" s="6" t="s">
        <v>85</v>
      </c>
      <c r="C56" s="26"/>
      <c r="D56" s="26">
        <f>IFERROR(IF(OR(C54&lt;=0,D54&lt;0),"n/m",D54/C54-1),"n/m")</f>
        <v>-0.003946329913180779</v>
      </c>
      <c r="E56" s="26">
        <f>IFERROR(IF(OR(D54&lt;=0,E54&lt;0),"n/m",E54/D54-1),"n/m")</f>
        <v>-0.008716323296354966</v>
      </c>
      <c r="F56" s="26">
        <f>IFERROR(IF(OR(E54&lt;=0,F54&lt;0),"n/m",F54/E54-1),"n/m")</f>
        <v>0.0023980815347721673</v>
      </c>
      <c r="G56" s="26"/>
      <c r="H56" s="26">
        <f>IFERROR(IF(OR(F54&lt;=0,H54&lt;0),"n/m",H54/F54-1),"n/m")</f>
        <v>-0.0031897926634768536</v>
      </c>
      <c r="I56" s="26">
        <f>IFERROR(IF(OR(H54&lt;=0,I54&lt;0),"n/m",I54/H54-1),"n/m")</f>
        <v>0.022399999999999975</v>
      </c>
      <c r="J56" s="47">
        <f>IFERROR(IF(OR(I54&lt;=0,J54&lt;0),"n/m",J54/I54-1),"n/m")</f>
        <v>0.03207310757619242</v>
      </c>
      <c r="K56" s="1"/>
      <c r="L56" s="1"/>
    </row>
    <row r="57">
      <c r="A57" s="1"/>
      <c r="B57" s="6" t="s">
        <v>86</v>
      </c>
      <c r="C57" s="26"/>
      <c r="D57" s="26"/>
      <c r="E57" s="26"/>
      <c r="F57" s="26"/>
      <c r="G57" s="26"/>
      <c r="H57" s="26" t="s">
        <v>78</v>
      </c>
      <c r="I57" s="26" t="s">
        <v>78</v>
      </c>
      <c r="J57" s="47" t="s">
        <v>78</v>
      </c>
      <c r="K57" s="1"/>
      <c r="L57" s="1"/>
    </row>
    <row r="58">
      <c r="A58" s="1"/>
      <c r="B58" s="6" t="s">
        <v>87</v>
      </c>
      <c r="C58" s="26"/>
      <c r="D58" s="26"/>
      <c r="E58" s="26"/>
      <c r="F58" s="26"/>
      <c r="G58" s="26"/>
      <c r="H58" s="26" t="s">
        <v>78</v>
      </c>
      <c r="I58" s="26" t="s">
        <v>78</v>
      </c>
      <c r="J58" s="47" t="s">
        <v>78</v>
      </c>
      <c r="K58" s="1"/>
      <c r="L58" s="1"/>
    </row>
    <row r="59">
      <c r="A59" s="1"/>
      <c r="B59" s="6" t="s">
        <v>88</v>
      </c>
      <c r="C59" s="26"/>
      <c r="D59" s="26"/>
      <c r="E59" s="26"/>
      <c r="F59" s="26"/>
      <c r="G59" s="26"/>
      <c r="H59" s="26" t="s">
        <v>81</v>
      </c>
      <c r="I59" s="26" t="s">
        <v>81</v>
      </c>
      <c r="J59" s="47" t="s">
        <v>81</v>
      </c>
      <c r="K59" s="1"/>
      <c r="L59" s="1"/>
    </row>
    <row r="60" ht="29.25">
      <c r="A60" s="1"/>
      <c r="B60" s="191" t="s">
        <v>245</v>
      </c>
      <c r="C60" s="35">
        <v>1260</v>
      </c>
      <c r="D60" s="35">
        <v>1250</v>
      </c>
      <c r="E60" s="35">
        <v>1206</v>
      </c>
      <c r="F60" s="35">
        <v>1284</v>
      </c>
      <c r="G60" s="5">
        <f>SUM(C60:F60)</f>
        <v>5000</v>
      </c>
      <c r="H60" s="35">
        <v>1304</v>
      </c>
      <c r="I60" s="35">
        <v>1307</v>
      </c>
      <c r="J60" s="15">
        <f>J91*J110*J9/365</f>
        <v>1341.1830769230767</v>
      </c>
      <c r="K60" s="1" t="s">
        <v>94</v>
      </c>
      <c r="L60" s="1"/>
    </row>
    <row r="61">
      <c r="A61" s="1"/>
      <c r="B61" s="6" t="s">
        <v>84</v>
      </c>
      <c r="C61" s="26"/>
      <c r="D61" s="26"/>
      <c r="E61" s="26"/>
      <c r="F61" s="26"/>
      <c r="G61" s="26"/>
      <c r="H61" s="26">
        <f>IFERROR(IF(OR(C60&lt;=0,H60&lt;0),"n/m",H60/C60-1),"n/m")</f>
        <v>0.03492063492063502</v>
      </c>
      <c r="I61" s="26">
        <f>IFERROR(IF(OR(D60&lt;=0,I60&lt;0),"n/m",I60/D60-1),"n/m")</f>
        <v>0.045600000000000085</v>
      </c>
      <c r="J61" s="47">
        <f>IFERROR(IF(OR(E60&lt;=0,J60&lt;0),"n/m",J60/E60-1),"n/m")</f>
        <v>0.11209210358464072</v>
      </c>
      <c r="K61" s="1"/>
      <c r="L61" s="1"/>
    </row>
    <row r="62">
      <c r="A62" s="1"/>
      <c r="B62" s="6" t="s">
        <v>85</v>
      </c>
      <c r="C62" s="26"/>
      <c r="D62" s="26">
        <f>IFERROR(IF(OR(C60&lt;=0,D60&lt;0),"n/m",D60/C60-1),"n/m")</f>
        <v>-0.007936507936507908</v>
      </c>
      <c r="E62" s="26">
        <f>IFERROR(IF(OR(D60&lt;=0,E60&lt;0),"n/m",E60/D60-1),"n/m")</f>
        <v>-0.03520000000000001</v>
      </c>
      <c r="F62" s="26">
        <f>IFERROR(IF(OR(E60&lt;=0,F60&lt;0),"n/m",F60/E60-1),"n/m")</f>
        <v>0.06467661691542292</v>
      </c>
      <c r="G62" s="26"/>
      <c r="H62" s="26">
        <f>IFERROR(IF(OR(F60&lt;=0,H60&lt;0),"n/m",H60/F60-1),"n/m")</f>
        <v>0.015576323987538832</v>
      </c>
      <c r="I62" s="26">
        <f>IFERROR(IF(OR(H60&lt;=0,I60&lt;0),"n/m",I60/H60-1),"n/m")</f>
        <v>0.0023006134969325576</v>
      </c>
      <c r="J62" s="47">
        <f>IFERROR(IF(OR(I60&lt;=0,J60&lt;0),"n/m",J60/I60-1),"n/m")</f>
        <v>0.026153846153845972</v>
      </c>
      <c r="K62" s="1"/>
      <c r="L62" s="1"/>
    </row>
    <row r="63">
      <c r="A63" s="1"/>
      <c r="B63" s="6" t="s">
        <v>86</v>
      </c>
      <c r="C63" s="26"/>
      <c r="D63" s="26"/>
      <c r="E63" s="26"/>
      <c r="F63" s="26"/>
      <c r="G63" s="26"/>
      <c r="H63" s="26" t="s">
        <v>78</v>
      </c>
      <c r="I63" s="26" t="s">
        <v>78</v>
      </c>
      <c r="J63" s="47" t="s">
        <v>78</v>
      </c>
      <c r="K63" s="1"/>
      <c r="L63" s="1"/>
    </row>
    <row r="64">
      <c r="A64" s="1"/>
      <c r="B64" s="6" t="s">
        <v>87</v>
      </c>
      <c r="C64" s="26"/>
      <c r="D64" s="26"/>
      <c r="E64" s="26"/>
      <c r="F64" s="26"/>
      <c r="G64" s="26"/>
      <c r="H64" s="26" t="s">
        <v>78</v>
      </c>
      <c r="I64" s="26" t="s">
        <v>78</v>
      </c>
      <c r="J64" s="47" t="s">
        <v>78</v>
      </c>
      <c r="K64" s="1"/>
      <c r="L64" s="1"/>
    </row>
    <row r="65">
      <c r="A65" s="1"/>
      <c r="B65" s="6" t="s">
        <v>88</v>
      </c>
      <c r="C65" s="26"/>
      <c r="D65" s="26"/>
      <c r="E65" s="26"/>
      <c r="F65" s="26"/>
      <c r="G65" s="26"/>
      <c r="H65" s="26" t="s">
        <v>81</v>
      </c>
      <c r="I65" s="26" t="s">
        <v>81</v>
      </c>
      <c r="J65" s="47" t="s">
        <v>81</v>
      </c>
      <c r="K65" s="1"/>
      <c r="L65" s="1"/>
    </row>
    <row r="66">
      <c r="A66" s="1"/>
      <c r="B66" s="1" t="s">
        <v>246</v>
      </c>
      <c r="C66" s="35">
        <v>398</v>
      </c>
      <c r="D66" s="35">
        <v>421</v>
      </c>
      <c r="E66" s="35">
        <v>584</v>
      </c>
      <c r="F66" s="35">
        <v>541</v>
      </c>
      <c r="G66" s="5">
        <f>SUM(C66:F66)</f>
        <v>1944</v>
      </c>
      <c r="H66" s="35">
        <v>566</v>
      </c>
      <c r="I66" s="35">
        <v>533</v>
      </c>
      <c r="J66" s="15">
        <f>J46-J54-J60</f>
        <v>538.3453944799849</v>
      </c>
      <c r="K66" s="1" t="s">
        <v>94</v>
      </c>
      <c r="L66" s="1"/>
    </row>
    <row r="67">
      <c r="A67" s="1"/>
      <c r="B67" s="6" t="s">
        <v>84</v>
      </c>
      <c r="C67" s="26"/>
      <c r="D67" s="26"/>
      <c r="E67" s="26"/>
      <c r="F67" s="26"/>
      <c r="G67" s="26"/>
      <c r="H67" s="26">
        <f>IFERROR(IF(OR(C66&lt;=0,H66&lt;0),"n/m",H66/C66-1),"n/m")</f>
        <v>0.42211055276381915</v>
      </c>
      <c r="I67" s="26">
        <f>IFERROR(IF(OR(D66&lt;=0,I66&lt;0),"n/m",I66/D66-1),"n/m")</f>
        <v>0.2660332541567696</v>
      </c>
      <c r="J67" s="47">
        <f>IFERROR(IF(OR(E66&lt;=0,J66&lt;0),"n/m",J66/E66-1),"n/m")</f>
        <v>-0.07817569438358751</v>
      </c>
      <c r="K67" s="1"/>
      <c r="L67" s="1"/>
    </row>
    <row r="68">
      <c r="A68" s="1"/>
      <c r="B68" s="6" t="s">
        <v>85</v>
      </c>
      <c r="C68" s="26"/>
      <c r="D68" s="26">
        <f>IFERROR(IF(OR(C66&lt;=0,D66&lt;0),"n/m",D66/C66-1),"n/m")</f>
        <v>0.057788944723618174</v>
      </c>
      <c r="E68" s="26">
        <f>IFERROR(IF(OR(D66&lt;=0,E66&lt;0),"n/m",E66/D66-1),"n/m")</f>
        <v>0.3871733966745843</v>
      </c>
      <c r="F68" s="26">
        <f>IFERROR(IF(OR(E66&lt;=0,F66&lt;0),"n/m",F66/E66-1),"n/m")</f>
        <v>-0.07363013698630139</v>
      </c>
      <c r="G68" s="26"/>
      <c r="H68" s="26">
        <f>IFERROR(IF(OR(F66&lt;=0,H66&lt;0),"n/m",H66/F66-1),"n/m")</f>
        <v>0.04621072088724576</v>
      </c>
      <c r="I68" s="26">
        <f>IFERROR(IF(OR(H66&lt;=0,I66&lt;0),"n/m",I66/H66-1),"n/m")</f>
        <v>-0.05830388692579502</v>
      </c>
      <c r="J68" s="47">
        <f>IFERROR(IF(OR(I66&lt;=0,J66&lt;0),"n/m",J66/I66-1),"n/m")</f>
        <v>0.010028882701660136</v>
      </c>
      <c r="K68" s="1"/>
      <c r="L68" s="1"/>
    </row>
    <row r="69">
      <c r="A69" s="1"/>
      <c r="B69" s="6" t="s">
        <v>86</v>
      </c>
      <c r="C69" s="26"/>
      <c r="D69" s="26"/>
      <c r="E69" s="26"/>
      <c r="F69" s="26"/>
      <c r="G69" s="26"/>
      <c r="H69" s="26" t="s">
        <v>78</v>
      </c>
      <c r="I69" s="26" t="s">
        <v>78</v>
      </c>
      <c r="J69" s="47" t="s">
        <v>78</v>
      </c>
      <c r="K69" s="1"/>
      <c r="L69" s="1"/>
    </row>
    <row r="70">
      <c r="A70" s="1"/>
      <c r="B70" s="6" t="s">
        <v>87</v>
      </c>
      <c r="C70" s="26"/>
      <c r="D70" s="26"/>
      <c r="E70" s="26"/>
      <c r="F70" s="26"/>
      <c r="G70" s="26"/>
      <c r="H70" s="26" t="s">
        <v>78</v>
      </c>
      <c r="I70" s="26" t="s">
        <v>78</v>
      </c>
      <c r="J70" s="47" t="s">
        <v>78</v>
      </c>
      <c r="K70" s="1"/>
      <c r="L70" s="1"/>
    </row>
    <row r="71">
      <c r="A71" s="1"/>
      <c r="B71" s="6" t="s">
        <v>88</v>
      </c>
      <c r="C71" s="26"/>
      <c r="D71" s="26"/>
      <c r="E71" s="26"/>
      <c r="F71" s="26"/>
      <c r="G71" s="26"/>
      <c r="H71" s="26" t="s">
        <v>81</v>
      </c>
      <c r="I71" s="26" t="s">
        <v>81</v>
      </c>
      <c r="J71" s="47" t="s">
        <v>81</v>
      </c>
      <c r="K71" s="1"/>
      <c r="L71" s="1"/>
    </row>
    <row r="72">
      <c r="A72" s="1"/>
      <c r="B72" s="9" t="s">
        <v>247</v>
      </c>
      <c r="C72" s="17">
        <f>C54+C60+C66</f>
        <v>2925</v>
      </c>
      <c r="D72" s="17">
        <f>D54+D60+D66</f>
        <v>2933</v>
      </c>
      <c r="E72" s="17">
        <f>E54+E60+E66</f>
        <v>3041</v>
      </c>
      <c r="F72" s="17">
        <f>F54+F60+F66</f>
        <v>3079</v>
      </c>
      <c r="G72" s="17">
        <f>G54+G60+G66</f>
        <v>11978</v>
      </c>
      <c r="H72" s="17">
        <f>H54+H60+H66</f>
        <v>3120</v>
      </c>
      <c r="I72" s="17">
        <f>I54+I60+I66</f>
        <v>3118</v>
      </c>
      <c r="J72" s="42">
        <f>J54+J60+J66</f>
        <v>3198.5179028854354</v>
      </c>
      <c r="K72" s="1"/>
      <c r="L72" s="1"/>
    </row>
    <row r="73" ht="29.25">
      <c r="A73" s="1"/>
      <c r="B73" s="194" t="s">
        <v>248</v>
      </c>
      <c r="C73" s="197">
        <f>C72-C46</f>
        <v>0</v>
      </c>
      <c r="D73" s="197">
        <f>D72-D46</f>
        <v>0</v>
      </c>
      <c r="E73" s="197">
        <f>E72-E46</f>
        <v>0</v>
      </c>
      <c r="F73" s="197">
        <f>F72-F46</f>
        <v>0</v>
      </c>
      <c r="G73" s="197">
        <f>G72-G46</f>
        <v>0</v>
      </c>
      <c r="H73" s="197">
        <f>H72-H46</f>
        <v>0</v>
      </c>
      <c r="I73" s="197">
        <f>I72-I46</f>
        <v>0</v>
      </c>
      <c r="J73" s="196">
        <f>J72-J46</f>
        <v>0</v>
      </c>
      <c r="K73" s="1"/>
      <c r="L73" s="1"/>
    </row>
    <row r="74">
      <c r="A74" s="1"/>
      <c r="B74" s="1"/>
      <c r="C74" s="13"/>
      <c r="D74" s="13"/>
      <c r="E74" s="13"/>
      <c r="F74" s="13"/>
      <c r="G74" s="13"/>
      <c r="H74" s="13"/>
      <c r="I74" s="13"/>
      <c r="J74" s="27"/>
      <c r="K74" s="1"/>
      <c r="L74" s="1"/>
    </row>
    <row r="75" ht="42">
      <c r="A75" s="1"/>
      <c r="B75" s="28" t="s">
        <v>249</v>
      </c>
      <c r="C75" s="25"/>
      <c r="D75" s="25"/>
      <c r="E75" s="25"/>
      <c r="F75" s="25"/>
      <c r="G75" s="25"/>
      <c r="H75" s="25"/>
      <c r="I75" s="25"/>
      <c r="J75" s="37"/>
      <c r="K75" s="1"/>
      <c r="L75" s="1"/>
    </row>
    <row r="76" ht="29.25">
      <c r="A76" s="1"/>
      <c r="B76" s="191" t="s">
        <v>250</v>
      </c>
      <c r="C76" s="35">
        <v>164113</v>
      </c>
      <c r="D76" s="35">
        <v>167134</v>
      </c>
      <c r="E76" s="35">
        <v>166946</v>
      </c>
      <c r="F76" s="35">
        <v>170565</v>
      </c>
      <c r="G76" s="5">
        <f>(C76*C$6+D76*D$6+E76*E$6+F76*F$6)/G$6</f>
        <v>167206.5095890411</v>
      </c>
      <c r="H76" s="35">
        <v>174308</v>
      </c>
      <c r="I76" s="35">
        <v>181739</v>
      </c>
      <c r="J76" s="15">
        <f>I76*(1+J77)</f>
        <v>186282.47499999998</v>
      </c>
      <c r="K76" s="1" t="s">
        <v>94</v>
      </c>
      <c r="L76" s="1"/>
    </row>
    <row r="77">
      <c r="A77" s="1"/>
      <c r="B77" s="6" t="s">
        <v>124</v>
      </c>
      <c r="C77" s="26"/>
      <c r="D77" s="26">
        <f>D76/C76-1</f>
        <v>0.0184080481131903</v>
      </c>
      <c r="E77" s="26">
        <f>E76/D76-1</f>
        <v>-0.0011248459320066795</v>
      </c>
      <c r="F77" s="26">
        <f>F76/E76-1</f>
        <v>0.02167766822804973</v>
      </c>
      <c r="G77" s="26"/>
      <c r="H77" s="26">
        <f>H76/F76-1</f>
        <v>0.021944713159206097</v>
      </c>
      <c r="I77" s="26">
        <f>I76/H76-1</f>
        <v>0.04263143401335556</v>
      </c>
      <c r="J77" s="106">
        <v>0.025</v>
      </c>
      <c r="K77" s="1"/>
      <c r="L77" s="1"/>
    </row>
    <row r="78">
      <c r="A78" s="1"/>
      <c r="B78" s="1" t="s">
        <v>139</v>
      </c>
      <c r="C78" s="5"/>
      <c r="D78" s="5"/>
      <c r="E78" s="5"/>
      <c r="F78" s="5"/>
      <c r="G78" s="5"/>
      <c r="H78" s="5">
        <f>H76-C76</f>
        <v>10195</v>
      </c>
      <c r="I78" s="5">
        <f>I76-D76</f>
        <v>14605</v>
      </c>
      <c r="J78" s="15">
        <f>J76-E76</f>
        <v>19336.474999999977</v>
      </c>
      <c r="K78" s="1"/>
      <c r="L78" s="1"/>
    </row>
    <row r="79">
      <c r="A79" s="1"/>
      <c r="B79" s="1" t="s">
        <v>140</v>
      </c>
      <c r="C79" s="5"/>
      <c r="D79" s="5">
        <f>D76-C76</f>
        <v>3021</v>
      </c>
      <c r="E79" s="5">
        <f>E76-D76</f>
        <v>-188</v>
      </c>
      <c r="F79" s="5">
        <f>F76-E76</f>
        <v>3619</v>
      </c>
      <c r="G79" s="5"/>
      <c r="H79" s="5">
        <f>H76-F76</f>
        <v>3743</v>
      </c>
      <c r="I79" s="5">
        <f>I76-H76</f>
        <v>7431</v>
      </c>
      <c r="J79" s="15">
        <f>J76-I76</f>
        <v>4543.474999999977</v>
      </c>
      <c r="K79" s="1"/>
      <c r="L79" s="1"/>
    </row>
    <row r="80" ht="29.25">
      <c r="A80" s="1"/>
      <c r="B80" s="191" t="s">
        <v>251</v>
      </c>
      <c r="C80" s="35">
        <v>44598</v>
      </c>
      <c r="D80" s="35">
        <v>44373</v>
      </c>
      <c r="E80" s="35">
        <v>37605</v>
      </c>
      <c r="F80" s="35">
        <v>38405</v>
      </c>
      <c r="G80" s="5">
        <f>(C80*C$6+D80*D$6+E80*E$6+F80*F$6)/G$6</f>
        <v>41218.3095890411</v>
      </c>
      <c r="H80" s="35">
        <v>39481</v>
      </c>
      <c r="I80" s="35">
        <v>40179</v>
      </c>
      <c r="J80" s="15">
        <f>I80*(1+J81)</f>
        <v>40580.79</v>
      </c>
      <c r="K80" s="1" t="s">
        <v>94</v>
      </c>
      <c r="L80" s="1"/>
    </row>
    <row r="81">
      <c r="A81" s="1"/>
      <c r="B81" s="6" t="s">
        <v>124</v>
      </c>
      <c r="C81" s="26"/>
      <c r="D81" s="26">
        <f>D80/C80-1</f>
        <v>-0.005045069285618209</v>
      </c>
      <c r="E81" s="26">
        <f>E80/D80-1</f>
        <v>-0.15252518423365558</v>
      </c>
      <c r="F81" s="26">
        <f>F80/E80-1</f>
        <v>0.021273766786331638</v>
      </c>
      <c r="G81" s="26"/>
      <c r="H81" s="26">
        <f>H80/F80-1</f>
        <v>0.028017185262335653</v>
      </c>
      <c r="I81" s="26">
        <f>I80/H80-1</f>
        <v>0.01767939008637076</v>
      </c>
      <c r="J81" s="106">
        <v>0.01</v>
      </c>
      <c r="K81" s="1"/>
      <c r="L81" s="1"/>
    </row>
    <row r="82">
      <c r="A82" s="1"/>
      <c r="B82" s="1" t="s">
        <v>139</v>
      </c>
      <c r="C82" s="5"/>
      <c r="D82" s="5"/>
      <c r="E82" s="5"/>
      <c r="F82" s="5"/>
      <c r="G82" s="5"/>
      <c r="H82" s="5">
        <f>H80-C80</f>
        <v>-5117</v>
      </c>
      <c r="I82" s="5">
        <f>I80-D80</f>
        <v>-4194</v>
      </c>
      <c r="J82" s="15">
        <f>J80-E80</f>
        <v>2975.790000000001</v>
      </c>
      <c r="K82" s="1"/>
      <c r="L82" s="1"/>
    </row>
    <row r="83">
      <c r="A83" s="1"/>
      <c r="B83" s="1" t="s">
        <v>140</v>
      </c>
      <c r="C83" s="5"/>
      <c r="D83" s="5">
        <f>D80-C80</f>
        <v>-225</v>
      </c>
      <c r="E83" s="5">
        <f>E80-D80</f>
        <v>-6768</v>
      </c>
      <c r="F83" s="5">
        <f>F80-E80</f>
        <v>800</v>
      </c>
      <c r="G83" s="5"/>
      <c r="H83" s="5">
        <f>H80-F80</f>
        <v>1076</v>
      </c>
      <c r="I83" s="5">
        <f>I80-H80</f>
        <v>698</v>
      </c>
      <c r="J83" s="15">
        <f>J80-I80</f>
        <v>401.7900000000009</v>
      </c>
      <c r="K83" s="1"/>
      <c r="L83" s="1"/>
    </row>
    <row r="84" ht="29.25">
      <c r="A84" s="1"/>
      <c r="B84" s="191" t="s">
        <v>252</v>
      </c>
      <c r="C84" s="35">
        <v>15093</v>
      </c>
      <c r="D84" s="35">
        <v>14954</v>
      </c>
      <c r="E84" s="35">
        <v>14805</v>
      </c>
      <c r="F84" s="35">
        <v>15046</v>
      </c>
      <c r="G84" s="5">
        <f>(C84*C$6+D84*D$6+E84*E$6+F84*F$6)/G$6</f>
        <v>14973.906849315068</v>
      </c>
      <c r="H84" s="35">
        <v>15271</v>
      </c>
      <c r="I84" s="35">
        <v>15209</v>
      </c>
      <c r="J84" s="15">
        <f>I84*(1+J85)</f>
        <v>15209</v>
      </c>
      <c r="K84" s="1" t="s">
        <v>94</v>
      </c>
      <c r="L84" s="1"/>
    </row>
    <row r="85">
      <c r="A85" s="1"/>
      <c r="B85" s="6" t="s">
        <v>124</v>
      </c>
      <c r="C85" s="26"/>
      <c r="D85" s="26">
        <f>D84/C84-1</f>
        <v>-0.009209567349102277</v>
      </c>
      <c r="E85" s="26">
        <f>E84/D84-1</f>
        <v>-0.009963889260398595</v>
      </c>
      <c r="F85" s="26">
        <f>F84/E84-1</f>
        <v>0.01627828436339085</v>
      </c>
      <c r="G85" s="26"/>
      <c r="H85" s="26">
        <f>H84/F84-1</f>
        <v>0.014954140635384805</v>
      </c>
      <c r="I85" s="26">
        <f>I84/H84-1</f>
        <v>-0.0040599829742649085</v>
      </c>
      <c r="J85" s="202">
        <v>0</v>
      </c>
      <c r="K85" s="1"/>
      <c r="L85" s="1"/>
    </row>
    <row r="86">
      <c r="A86" s="1"/>
      <c r="B86" s="1" t="s">
        <v>139</v>
      </c>
      <c r="C86" s="5"/>
      <c r="D86" s="5"/>
      <c r="E86" s="5"/>
      <c r="F86" s="5"/>
      <c r="G86" s="5"/>
      <c r="H86" s="5">
        <f>H84-C84</f>
        <v>178</v>
      </c>
      <c r="I86" s="5">
        <f>I84-D84</f>
        <v>255</v>
      </c>
      <c r="J86" s="15">
        <f>J84-E84</f>
        <v>404</v>
      </c>
      <c r="K86" s="1"/>
      <c r="L86" s="1"/>
    </row>
    <row r="87">
      <c r="A87" s="1"/>
      <c r="B87" s="1" t="s">
        <v>140</v>
      </c>
      <c r="C87" s="5"/>
      <c r="D87" s="5">
        <f>D84-C84</f>
        <v>-139</v>
      </c>
      <c r="E87" s="5">
        <f>E84-D84</f>
        <v>-149</v>
      </c>
      <c r="F87" s="5">
        <f>F84-E84</f>
        <v>241</v>
      </c>
      <c r="G87" s="5"/>
      <c r="H87" s="5">
        <f>H84-F84</f>
        <v>225</v>
      </c>
      <c r="I87" s="5">
        <f>I84-H84</f>
        <v>-62</v>
      </c>
      <c r="J87" s="15">
        <f>J84-I84</f>
        <v>0</v>
      </c>
      <c r="K87" s="1"/>
      <c r="L87" s="1"/>
    </row>
    <row r="88">
      <c r="A88" s="1"/>
      <c r="B88" s="9" t="s">
        <v>145</v>
      </c>
      <c r="C88" s="17">
        <f>C76+C80+C84</f>
        <v>223804</v>
      </c>
      <c r="D88" s="17">
        <f>D76+D80+D84</f>
        <v>226461</v>
      </c>
      <c r="E88" s="17">
        <f>E76+E80+E84</f>
        <v>219356</v>
      </c>
      <c r="F88" s="17">
        <f>F76+F80+F84</f>
        <v>224016</v>
      </c>
      <c r="G88" s="17">
        <f>G76+G80+G84</f>
        <v>223398.72602739726</v>
      </c>
      <c r="H88" s="17">
        <f>H76+H80+H84</f>
        <v>229060</v>
      </c>
      <c r="I88" s="17">
        <f>I76+I80+I84</f>
        <v>237127</v>
      </c>
      <c r="J88" s="42">
        <f>J76+J80+J84</f>
        <v>242072.26499999998</v>
      </c>
      <c r="K88" s="1"/>
      <c r="L88" s="1"/>
    </row>
    <row r="89">
      <c r="A89" s="1"/>
      <c r="B89" s="1" t="s">
        <v>146</v>
      </c>
      <c r="C89" s="5"/>
      <c r="D89" s="5"/>
      <c r="E89" s="5"/>
      <c r="F89" s="5"/>
      <c r="G89" s="5"/>
      <c r="H89" s="5">
        <f>H88-C88</f>
        <v>5256</v>
      </c>
      <c r="I89" s="5">
        <f>I88-D88</f>
        <v>10666</v>
      </c>
      <c r="J89" s="15">
        <f>J88-E88</f>
        <v>22716.264999999985</v>
      </c>
      <c r="K89" s="1"/>
      <c r="L89" s="1"/>
    </row>
    <row r="90">
      <c r="A90" s="1"/>
      <c r="B90" s="1" t="s">
        <v>147</v>
      </c>
      <c r="C90" s="5"/>
      <c r="D90" s="5">
        <f>D88-C88</f>
        <v>2657</v>
      </c>
      <c r="E90" s="5">
        <f>E88-D88</f>
        <v>-7105</v>
      </c>
      <c r="F90" s="5">
        <f>F88-E88</f>
        <v>4660</v>
      </c>
      <c r="G90" s="5"/>
      <c r="H90" s="5">
        <f>H88-F88</f>
        <v>5044</v>
      </c>
      <c r="I90" s="5">
        <f>I88-H88</f>
        <v>8067</v>
      </c>
      <c r="J90" s="15">
        <f>J88-I88</f>
        <v>4945.264999999985</v>
      </c>
      <c r="K90" s="1"/>
      <c r="L90" s="1"/>
    </row>
    <row r="91">
      <c r="A91" s="1"/>
      <c r="B91" s="1" t="s">
        <v>148</v>
      </c>
      <c r="C91" s="35">
        <v>182859</v>
      </c>
      <c r="D91" s="35">
        <v>177994</v>
      </c>
      <c r="E91" s="35">
        <v>171976</v>
      </c>
      <c r="F91" s="35">
        <v>180989</v>
      </c>
      <c r="G91" s="5">
        <f>(C91*C$6+D91*D$6+E91*E$6+F91*F$6)/G$6</f>
        <v>178431.62739726028</v>
      </c>
      <c r="H91" s="35">
        <v>185897</v>
      </c>
      <c r="I91" s="35">
        <v>189534</v>
      </c>
      <c r="J91" s="15">
        <f>I91*(1+J92)</f>
        <v>192377.00999999998</v>
      </c>
      <c r="K91" s="1" t="s">
        <v>94</v>
      </c>
      <c r="L91" s="1"/>
    </row>
    <row r="92">
      <c r="A92" s="1"/>
      <c r="B92" s="6" t="s">
        <v>124</v>
      </c>
      <c r="C92" s="26"/>
      <c r="D92" s="26">
        <f>D91/C91-1</f>
        <v>-0.026605198540952335</v>
      </c>
      <c r="E92" s="26">
        <f>E91/D91-1</f>
        <v>-0.03381012843129538</v>
      </c>
      <c r="F92" s="26">
        <f>F91/E91-1</f>
        <v>0.05240847560124662</v>
      </c>
      <c r="G92" s="26"/>
      <c r="H92" s="26">
        <f>H91/F91-1</f>
        <v>0.027117670134649163</v>
      </c>
      <c r="I92" s="26">
        <f>I91/H91-1</f>
        <v>0.019564597599746048</v>
      </c>
      <c r="J92" s="106">
        <v>0.015</v>
      </c>
      <c r="K92" s="1"/>
      <c r="L92" s="1"/>
    </row>
    <row r="93">
      <c r="A93" s="1"/>
      <c r="B93" s="1" t="s">
        <v>139</v>
      </c>
      <c r="C93" s="5"/>
      <c r="D93" s="5"/>
      <c r="E93" s="5"/>
      <c r="F93" s="5"/>
      <c r="G93" s="5"/>
      <c r="H93" s="5">
        <f>H91-C91</f>
        <v>3038</v>
      </c>
      <c r="I93" s="5">
        <f>I91-D91</f>
        <v>11540</v>
      </c>
      <c r="J93" s="15">
        <f>J91-E91</f>
        <v>20401.00999999998</v>
      </c>
      <c r="K93" s="1"/>
      <c r="L93" s="1"/>
    </row>
    <row r="94">
      <c r="A94" s="1"/>
      <c r="B94" s="1" t="s">
        <v>140</v>
      </c>
      <c r="C94" s="5"/>
      <c r="D94" s="5">
        <f>D91-C91</f>
        <v>-4865</v>
      </c>
      <c r="E94" s="5">
        <f>E91-D91</f>
        <v>-6018</v>
      </c>
      <c r="F94" s="5">
        <f>F91-E91</f>
        <v>9013</v>
      </c>
      <c r="G94" s="5"/>
      <c r="H94" s="5">
        <f>H91-F91</f>
        <v>4908</v>
      </c>
      <c r="I94" s="5">
        <f>I91-H91</f>
        <v>3637</v>
      </c>
      <c r="J94" s="15">
        <f>J91-I91</f>
        <v>2843.00999999998</v>
      </c>
      <c r="K94" s="1"/>
      <c r="L94" s="1"/>
    </row>
    <row r="95" ht="29.25">
      <c r="A95" s="1"/>
      <c r="B95" s="191" t="s">
        <v>149</v>
      </c>
      <c r="C95" s="5">
        <f>C88+C91</f>
        <v>406663</v>
      </c>
      <c r="D95" s="5">
        <f>D88+D91</f>
        <v>404455</v>
      </c>
      <c r="E95" s="5">
        <f>E88+E91</f>
        <v>391332</v>
      </c>
      <c r="F95" s="5">
        <f>F88+F91</f>
        <v>405005</v>
      </c>
      <c r="G95" s="5">
        <f>G88+G91</f>
        <v>401830.35342465754</v>
      </c>
      <c r="H95" s="5">
        <f>H88+H91</f>
        <v>414957</v>
      </c>
      <c r="I95" s="5">
        <f>I88+I91</f>
        <v>426661</v>
      </c>
      <c r="J95" s="15">
        <f>J88+J91</f>
        <v>434449.27499999997</v>
      </c>
      <c r="K95" s="1"/>
      <c r="L95" s="1"/>
    </row>
    <row r="96">
      <c r="A96" s="1"/>
      <c r="B96" s="1" t="s">
        <v>139</v>
      </c>
      <c r="C96" s="5"/>
      <c r="D96" s="5"/>
      <c r="E96" s="5"/>
      <c r="F96" s="5"/>
      <c r="G96" s="5"/>
      <c r="H96" s="5">
        <f>H95-C95</f>
        <v>8294</v>
      </c>
      <c r="I96" s="5">
        <f>I95-D95</f>
        <v>22206</v>
      </c>
      <c r="J96" s="15">
        <f>J95-E95</f>
        <v>43117.274999999965</v>
      </c>
      <c r="K96" s="1"/>
      <c r="L96" s="1"/>
    </row>
    <row r="97">
      <c r="A97" s="1"/>
      <c r="B97" s="1" t="s">
        <v>140</v>
      </c>
      <c r="C97" s="5"/>
      <c r="D97" s="5">
        <f>D95-C95</f>
        <v>-2208</v>
      </c>
      <c r="E97" s="5">
        <f>E95-D95</f>
        <v>-13123</v>
      </c>
      <c r="F97" s="5">
        <f>F95-E95</f>
        <v>13673</v>
      </c>
      <c r="G97" s="5"/>
      <c r="H97" s="5">
        <f>H95-F95</f>
        <v>9952</v>
      </c>
      <c r="I97" s="5">
        <f>I95-H95</f>
        <v>11704</v>
      </c>
      <c r="J97" s="15">
        <f>J95-I95</f>
        <v>7788.274999999965</v>
      </c>
      <c r="K97" s="1"/>
      <c r="L97" s="1"/>
    </row>
    <row r="98" ht="29.25">
      <c r="A98" s="1"/>
      <c r="B98" s="194" t="s">
        <v>150</v>
      </c>
      <c r="C98" s="200">
        <f>C10/C95*365/C9</f>
        <v>0.019716161375225513</v>
      </c>
      <c r="D98" s="200">
        <f>D10/D95*365/D9</f>
        <v>0.019665454027744025</v>
      </c>
      <c r="E98" s="200">
        <f>E10/E95*365/E9</f>
        <v>0.019759298120710582</v>
      </c>
      <c r="F98" s="200">
        <f>F10/F95*365/F9</f>
        <v>0.019523242600869663</v>
      </c>
      <c r="G98" s="200">
        <f>G10/G95*365/G9</f>
        <v>0.019665015180297</v>
      </c>
      <c r="H98" s="200">
        <f>H10/H95*365/H9</f>
        <v>0.019429590161015347</v>
      </c>
      <c r="I98" s="200">
        <f>I10/I95*365/I9</f>
        <v>0.019243602076342823</v>
      </c>
      <c r="J98" s="201">
        <f>I98</f>
        <v>0.019243602076342823</v>
      </c>
      <c r="K98" s="1"/>
      <c r="L98" s="1"/>
    </row>
    <row r="99">
      <c r="A99" s="1"/>
      <c r="B99" s="1" t="s">
        <v>151</v>
      </c>
      <c r="C99" s="5"/>
      <c r="D99" s="5"/>
      <c r="E99" s="5"/>
      <c r="F99" s="5"/>
      <c r="G99" s="5"/>
      <c r="H99" s="5">
        <f>(H98-C98)*10000</f>
        <v>-2.865712142101663</v>
      </c>
      <c r="I99" s="5">
        <f>(I98-D98)*10000</f>
        <v>-4.2185195140120175</v>
      </c>
      <c r="J99" s="15">
        <f>(J98-E98)*10000</f>
        <v>-5.1569604436775895</v>
      </c>
      <c r="K99" s="1"/>
      <c r="L99" s="1"/>
    </row>
    <row r="100">
      <c r="A100" s="1"/>
      <c r="B100" s="1" t="s">
        <v>152</v>
      </c>
      <c r="C100" s="5"/>
      <c r="D100" s="5">
        <f>(D98-C98)*10000</f>
        <v>-0.5070734748148855</v>
      </c>
      <c r="E100" s="5">
        <f>(E98-D98)*10000</f>
        <v>0.9384409296655725</v>
      </c>
      <c r="F100" s="5">
        <f>(F98-E98)*10000</f>
        <v>-2.360555198409192</v>
      </c>
      <c r="G100" s="5"/>
      <c r="H100" s="5">
        <f>(H98-F98)*10000</f>
        <v>-0.9365243985431579</v>
      </c>
      <c r="I100" s="5">
        <f>(I98-H98)*10000</f>
        <v>-1.8598808467252397</v>
      </c>
      <c r="J100" s="15">
        <f>(J98-I98)*10000</f>
        <v>0</v>
      </c>
      <c r="K100" s="1"/>
      <c r="L100" s="1"/>
    </row>
    <row r="101" ht="29.25">
      <c r="A101" s="1"/>
      <c r="B101" s="194" t="s">
        <v>153</v>
      </c>
      <c r="C101" s="200">
        <f>C16/C91*365/C9</f>
        <v>0.007429829054687552</v>
      </c>
      <c r="D101" s="200">
        <f>D16/D91*365/D9</f>
        <v>0.007301147451939051</v>
      </c>
      <c r="E101" s="200">
        <f>E16/E91*365/E9</f>
        <v>0.007174598174467216</v>
      </c>
      <c r="F101" s="200">
        <f>F16/F91*365/F9</f>
        <v>0.007014598773358073</v>
      </c>
      <c r="G101" s="200">
        <f>G16/G91*365/G9</f>
        <v>0.007229660003761235</v>
      </c>
      <c r="H101" s="200">
        <f>H16/H91*365/H9</f>
        <v>0.006959349651808379</v>
      </c>
      <c r="I101" s="200">
        <f>I16/I91*365/I9</f>
        <v>0.006877770893725814</v>
      </c>
      <c r="J101" s="201">
        <f>I101</f>
        <v>0.006877770893725814</v>
      </c>
      <c r="K101" s="1"/>
      <c r="L101" s="1"/>
    </row>
    <row r="102">
      <c r="A102" s="1"/>
      <c r="B102" s="1" t="s">
        <v>151</v>
      </c>
      <c r="C102" s="5"/>
      <c r="D102" s="5"/>
      <c r="E102" s="5"/>
      <c r="F102" s="5"/>
      <c r="G102" s="5"/>
      <c r="H102" s="5">
        <f>(H101-C101)*10000</f>
        <v>-4.70479402879173</v>
      </c>
      <c r="I102" s="5">
        <f>(I101-D101)*10000</f>
        <v>-4.233765582132374</v>
      </c>
      <c r="J102" s="15">
        <f>(J101-E101)*10000</f>
        <v>-2.9682728074140186</v>
      </c>
      <c r="K102" s="1"/>
      <c r="L102" s="1"/>
    </row>
    <row r="103">
      <c r="A103" s="1"/>
      <c r="B103" s="1" t="s">
        <v>152</v>
      </c>
      <c r="C103" s="5"/>
      <c r="D103" s="5">
        <f>(D101-C101)*10000</f>
        <v>-1.286816027485007</v>
      </c>
      <c r="E103" s="5">
        <f>(E101-D101)*10000</f>
        <v>-1.2654927747183555</v>
      </c>
      <c r="F103" s="5">
        <f>(F101-E101)*10000</f>
        <v>-1.599994011091425</v>
      </c>
      <c r="G103" s="5"/>
      <c r="H103" s="5">
        <f>(H101-F101)*10000</f>
        <v>-0.5524912154969419</v>
      </c>
      <c r="I103" s="5">
        <f>(I101-H101)*10000</f>
        <v>-0.8157875808256516</v>
      </c>
      <c r="J103" s="15">
        <f>(J101-I101)*10000</f>
        <v>0</v>
      </c>
      <c r="K103" s="1"/>
      <c r="L103" s="1"/>
    </row>
    <row r="104" ht="29.25">
      <c r="A104" s="1"/>
      <c r="B104" s="194" t="s">
        <v>253</v>
      </c>
      <c r="C104" s="200">
        <f>C22/C88*365/C9</f>
        <v>0.0024644579880411235</v>
      </c>
      <c r="D104" s="200">
        <f>D22/D88*365/D9</f>
        <v>0.0024442022401936028</v>
      </c>
      <c r="E104" s="200">
        <f>E22/E88*365/E9</f>
        <v>0.002604461914997023</v>
      </c>
      <c r="F104" s="200">
        <f>F22/F88*365/F9</f>
        <v>0.002603414585293597</v>
      </c>
      <c r="G104" s="200">
        <f>G22/G88*365/G9</f>
        <v>0.0025291102149378832</v>
      </c>
      <c r="H104" s="200">
        <f>H22/H88*365/H9</f>
        <v>0.002655781600162985</v>
      </c>
      <c r="I104" s="200">
        <f>I22/I88*365/I9</f>
        <v>0.002503411140976665</v>
      </c>
      <c r="J104" s="201">
        <f>I104</f>
        <v>0.002503411140976665</v>
      </c>
      <c r="K104" s="1"/>
      <c r="L104" s="1"/>
    </row>
    <row r="105">
      <c r="A105" s="1"/>
      <c r="B105" s="1" t="s">
        <v>151</v>
      </c>
      <c r="C105" s="5"/>
      <c r="D105" s="5"/>
      <c r="E105" s="5"/>
      <c r="F105" s="5"/>
      <c r="G105" s="5"/>
      <c r="H105" s="5">
        <f>(H104-C104)*10000</f>
        <v>1.9132361212186164</v>
      </c>
      <c r="I105" s="5">
        <f>(I104-D104)*10000</f>
        <v>0.5920890078306212</v>
      </c>
      <c r="J105" s="15">
        <f>(J104-E104)*10000</f>
        <v>-1.010507740203579</v>
      </c>
      <c r="K105" s="1"/>
      <c r="L105" s="1"/>
    </row>
    <row r="106">
      <c r="A106" s="1"/>
      <c r="B106" s="1" t="s">
        <v>152</v>
      </c>
      <c r="C106" s="5"/>
      <c r="D106" s="5">
        <f>(D104-C104)*10000</f>
        <v>-0.20255747847520728</v>
      </c>
      <c r="E106" s="5">
        <f>(E104-D104)*10000</f>
        <v>1.6025967480342</v>
      </c>
      <c r="F106" s="5">
        <f>(F104-E104)*10000</f>
        <v>-0.010473297034256993</v>
      </c>
      <c r="G106" s="5"/>
      <c r="H106" s="5">
        <f>(H104-F104)*10000</f>
        <v>0.5236701486938805</v>
      </c>
      <c r="I106" s="5">
        <f>(I104-H104)*10000</f>
        <v>-1.5237045918632024</v>
      </c>
      <c r="J106" s="15">
        <f>(J104-I104)*10000</f>
        <v>0</v>
      </c>
      <c r="K106" s="1"/>
      <c r="L106" s="1"/>
    </row>
    <row r="107" ht="29.25">
      <c r="A107" s="1"/>
      <c r="B107" s="194" t="s">
        <v>254</v>
      </c>
      <c r="C107" s="200">
        <f>C54/C88*365/C9</f>
        <v>0.022959325520941935</v>
      </c>
      <c r="D107" s="200">
        <f>D54/D88*365/D9</f>
        <v>0.02235205237046614</v>
      </c>
      <c r="E107" s="200">
        <f>E54/E88*365/E9</f>
        <v>0.022626262886536637</v>
      </c>
      <c r="F107" s="200">
        <f>F54/F88*365/F9</f>
        <v>0.0222087203398515</v>
      </c>
      <c r="G107" s="200">
        <f>G54/G88*365/G9</f>
        <v>0.022533700569906733</v>
      </c>
      <c r="H107" s="200">
        <f>H54/H88*365/H9</f>
        <v>0.02213151333469154</v>
      </c>
      <c r="I107" s="200">
        <f>I54/I88*365/I9</f>
        <v>0.021617293501136337</v>
      </c>
      <c r="J107" s="201">
        <f>I107</f>
        <v>0.021617293501136337</v>
      </c>
      <c r="K107" s="1"/>
      <c r="L107" s="1"/>
    </row>
    <row r="108">
      <c r="A108" s="1"/>
      <c r="B108" s="1" t="s">
        <v>151</v>
      </c>
      <c r="C108" s="5"/>
      <c r="D108" s="5"/>
      <c r="E108" s="5"/>
      <c r="F108" s="5"/>
      <c r="G108" s="5"/>
      <c r="H108" s="5">
        <f>(H107-C107)*10000</f>
        <v>-8.278121862503943</v>
      </c>
      <c r="I108" s="5">
        <f>(I107-D107)*10000</f>
        <v>-7.3475886932980465</v>
      </c>
      <c r="J108" s="15">
        <f>(J107-E107)*10000</f>
        <v>-10.089693854003004</v>
      </c>
      <c r="K108" s="1"/>
      <c r="L108" s="1"/>
    </row>
    <row r="109">
      <c r="A109" s="1"/>
      <c r="B109" s="1" t="s">
        <v>152</v>
      </c>
      <c r="C109" s="5"/>
      <c r="D109" s="5">
        <f>(D107-C107)*10000</f>
        <v>-6.072731504757935</v>
      </c>
      <c r="E109" s="5">
        <f>(E107-D107)*10000</f>
        <v>2.742105160704958</v>
      </c>
      <c r="F109" s="5">
        <f>(F107-E107)*10000</f>
        <v>-4.17542546685138</v>
      </c>
      <c r="G109" s="5"/>
      <c r="H109" s="5">
        <f>(H107-F107)*10000</f>
        <v>-0.7720700515995854</v>
      </c>
      <c r="I109" s="5">
        <f>(I107-H107)*10000</f>
        <v>-5.142198335552038</v>
      </c>
      <c r="J109" s="15">
        <f>(J107-I107)*10000</f>
        <v>0</v>
      </c>
      <c r="K109" s="1"/>
      <c r="L109" s="1"/>
    </row>
    <row r="110" ht="29.25">
      <c r="A110" s="1"/>
      <c r="B110" s="194" t="s">
        <v>255</v>
      </c>
      <c r="C110" s="200">
        <f>C60/C91*365/C9</f>
        <v>0.027945028683302436</v>
      </c>
      <c r="D110" s="200">
        <f>D60/D91*365/D9</f>
        <v>0.028168007144826587</v>
      </c>
      <c r="E110" s="200">
        <f>E60/E91*365/E9</f>
        <v>0.027821753692628494</v>
      </c>
      <c r="F110" s="200">
        <f>F60/F91*365/F9</f>
        <v>0.02814607757809927</v>
      </c>
      <c r="G110" s="200">
        <f>G60/G91*365/G9</f>
        <v>0.028021937999074552</v>
      </c>
      <c r="H110" s="200">
        <f>H60/H91*365/H9</f>
        <v>0.028448250614288798</v>
      </c>
      <c r="I110" s="200">
        <f>I60/I91*365/I9</f>
        <v>0.02765922017876812</v>
      </c>
      <c r="J110" s="201">
        <f>I110</f>
        <v>0.02765922017876812</v>
      </c>
      <c r="K110" s="1"/>
      <c r="L110" s="1"/>
    </row>
    <row r="111">
      <c r="A111" s="1"/>
      <c r="B111" s="1" t="s">
        <v>151</v>
      </c>
      <c r="C111" s="5"/>
      <c r="D111" s="5"/>
      <c r="E111" s="5"/>
      <c r="F111" s="5"/>
      <c r="G111" s="5"/>
      <c r="H111" s="5">
        <f>(H110-C110)*10000</f>
        <v>5.032219309863625</v>
      </c>
      <c r="I111" s="5">
        <f>(I110-D110)*10000</f>
        <v>-5.087869660584666</v>
      </c>
      <c r="J111" s="15">
        <f>(J110-E110)*10000</f>
        <v>-1.6253351386037382</v>
      </c>
      <c r="K111" s="1"/>
      <c r="L111" s="1"/>
    </row>
    <row r="112">
      <c r="A112" s="1"/>
      <c r="B112" s="1" t="s">
        <v>152</v>
      </c>
      <c r="C112" s="5"/>
      <c r="D112" s="5">
        <f>(D110-C110)*10000</f>
        <v>2.229784615241509</v>
      </c>
      <c r="E112" s="5">
        <f>(E110-D110)*10000</f>
        <v>-3.462534521980927</v>
      </c>
      <c r="F112" s="5">
        <f>(F110-E110)*10000</f>
        <v>3.2432388547077444</v>
      </c>
      <c r="G112" s="5"/>
      <c r="H112" s="5">
        <f>(H110-F110)*10000</f>
        <v>3.021730361895299</v>
      </c>
      <c r="I112" s="5">
        <f>(I110-H110)*10000</f>
        <v>-7.890304355206782</v>
      </c>
      <c r="J112" s="15">
        <f>(J110-I110)*10000</f>
        <v>0</v>
      </c>
      <c r="K112" s="1"/>
      <c r="L112" s="1"/>
    </row>
    <row r="113">
      <c r="A113" s="1"/>
      <c r="B113" s="9" t="s">
        <v>256</v>
      </c>
      <c r="C113" s="25"/>
      <c r="D113" s="25"/>
      <c r="E113" s="25"/>
      <c r="F113" s="25"/>
      <c r="G113" s="25"/>
      <c r="H113" s="25"/>
      <c r="I113" s="25"/>
      <c r="J113" s="37"/>
      <c r="K113" s="1"/>
      <c r="L113" s="1"/>
    </row>
    <row r="114">
      <c r="A114" s="1"/>
      <c r="B114" s="1" t="s">
        <v>257</v>
      </c>
      <c r="C114" s="35">
        <v>168369</v>
      </c>
      <c r="D114" s="35">
        <v>169958</v>
      </c>
      <c r="E114" s="35">
        <v>170031</v>
      </c>
      <c r="F114" s="35">
        <v>173931</v>
      </c>
      <c r="G114" s="5">
        <f>F114</f>
        <v>173931</v>
      </c>
      <c r="H114" s="35">
        <v>181173</v>
      </c>
      <c r="I114" s="35">
        <v>183633</v>
      </c>
      <c r="J114" s="15"/>
      <c r="K114" s="1" t="s">
        <v>94</v>
      </c>
      <c r="L114" s="1"/>
    </row>
    <row r="115">
      <c r="A115" s="1"/>
      <c r="B115" s="1" t="s">
        <v>139</v>
      </c>
      <c r="C115" s="5"/>
      <c r="D115" s="5"/>
      <c r="E115" s="5"/>
      <c r="F115" s="5"/>
      <c r="G115" s="5"/>
      <c r="H115" s="5">
        <f>H114-C114</f>
        <v>12804</v>
      </c>
      <c r="I115" s="5">
        <f>I114-D114</f>
        <v>13675</v>
      </c>
      <c r="J115" s="15"/>
      <c r="K115" s="1"/>
      <c r="L115" s="1"/>
    </row>
    <row r="116">
      <c r="A116" s="1"/>
      <c r="B116" s="1" t="s">
        <v>140</v>
      </c>
      <c r="C116" s="5"/>
      <c r="D116" s="5">
        <f>D114-C114</f>
        <v>1589</v>
      </c>
      <c r="E116" s="5">
        <f>E114-D114</f>
        <v>73</v>
      </c>
      <c r="F116" s="5">
        <f>F114-E114</f>
        <v>3900</v>
      </c>
      <c r="G116" s="5"/>
      <c r="H116" s="5">
        <f>H114-F114</f>
        <v>7242</v>
      </c>
      <c r="I116" s="5">
        <f>I114-H114</f>
        <v>2460</v>
      </c>
      <c r="J116" s="15"/>
      <c r="K116" s="1"/>
      <c r="L116" s="1"/>
    </row>
    <row r="117">
      <c r="A117" s="1"/>
      <c r="B117" s="1" t="s">
        <v>258</v>
      </c>
      <c r="C117" s="35">
        <v>44788</v>
      </c>
      <c r="D117" s="35">
        <v>44484</v>
      </c>
      <c r="E117" s="35">
        <v>38030</v>
      </c>
      <c r="F117" s="35">
        <v>39227</v>
      </c>
      <c r="G117" s="5">
        <f>F117</f>
        <v>39227</v>
      </c>
      <c r="H117" s="35">
        <v>40029</v>
      </c>
      <c r="I117" s="35">
        <v>40648</v>
      </c>
      <c r="J117" s="15"/>
      <c r="K117" s="1" t="s">
        <v>94</v>
      </c>
      <c r="L117" s="1"/>
    </row>
    <row r="118">
      <c r="A118" s="1"/>
      <c r="B118" s="1" t="s">
        <v>139</v>
      </c>
      <c r="C118" s="5"/>
      <c r="D118" s="5"/>
      <c r="E118" s="5"/>
      <c r="F118" s="5"/>
      <c r="G118" s="5"/>
      <c r="H118" s="5">
        <f>H117-C117</f>
        <v>-4759</v>
      </c>
      <c r="I118" s="5">
        <f>I117-D117</f>
        <v>-3836</v>
      </c>
      <c r="J118" s="15"/>
      <c r="K118" s="1"/>
      <c r="L118" s="1"/>
    </row>
    <row r="119">
      <c r="A119" s="1"/>
      <c r="B119" s="1" t="s">
        <v>140</v>
      </c>
      <c r="C119" s="5"/>
      <c r="D119" s="5">
        <f>D117-C117</f>
        <v>-304</v>
      </c>
      <c r="E119" s="5">
        <f>E117-D117</f>
        <v>-6454</v>
      </c>
      <c r="F119" s="5">
        <f>F117-E117</f>
        <v>1197</v>
      </c>
      <c r="G119" s="5"/>
      <c r="H119" s="5">
        <f>H117-F117</f>
        <v>802</v>
      </c>
      <c r="I119" s="5">
        <f>I117-H117</f>
        <v>619</v>
      </c>
      <c r="J119" s="15"/>
      <c r="K119" s="1"/>
      <c r="L119" s="1"/>
    </row>
    <row r="120" ht="29.25">
      <c r="A120" s="1"/>
      <c r="B120" s="191" t="s">
        <v>259</v>
      </c>
      <c r="C120" s="35">
        <v>15109</v>
      </c>
      <c r="D120" s="35">
        <v>15102</v>
      </c>
      <c r="E120" s="35">
        <v>15174</v>
      </c>
      <c r="F120" s="35">
        <v>15469</v>
      </c>
      <c r="G120" s="5">
        <f>F120</f>
        <v>15469</v>
      </c>
      <c r="H120" s="35">
        <v>15375</v>
      </c>
      <c r="I120" s="35">
        <v>15527</v>
      </c>
      <c r="J120" s="15"/>
      <c r="K120" s="1" t="s">
        <v>94</v>
      </c>
      <c r="L120" s="1"/>
    </row>
    <row r="121">
      <c r="A121" s="1"/>
      <c r="B121" s="1" t="s">
        <v>139</v>
      </c>
      <c r="C121" s="5"/>
      <c r="D121" s="5"/>
      <c r="E121" s="5"/>
      <c r="F121" s="5"/>
      <c r="G121" s="5"/>
      <c r="H121" s="5">
        <f>H120-C120</f>
        <v>266</v>
      </c>
      <c r="I121" s="5">
        <f>I120-D120</f>
        <v>425</v>
      </c>
      <c r="J121" s="15"/>
      <c r="K121" s="1"/>
      <c r="L121" s="1"/>
    </row>
    <row r="122">
      <c r="A122" s="1"/>
      <c r="B122" s="1" t="s">
        <v>140</v>
      </c>
      <c r="C122" s="5"/>
      <c r="D122" s="5">
        <f>D120-C120</f>
        <v>-7</v>
      </c>
      <c r="E122" s="5">
        <f>E120-D120</f>
        <v>72</v>
      </c>
      <c r="F122" s="5">
        <f>F120-E120</f>
        <v>295</v>
      </c>
      <c r="G122" s="5"/>
      <c r="H122" s="5">
        <f>H120-F120</f>
        <v>-94</v>
      </c>
      <c r="I122" s="5">
        <f>I120-H120</f>
        <v>152</v>
      </c>
      <c r="J122" s="15"/>
      <c r="K122" s="1"/>
      <c r="L122" s="1"/>
    </row>
    <row r="123">
      <c r="A123" s="1"/>
      <c r="B123" s="9" t="s">
        <v>165</v>
      </c>
      <c r="C123" s="17">
        <f>C114+C117+C120</f>
        <v>228266</v>
      </c>
      <c r="D123" s="17">
        <f>D114+D117+D120</f>
        <v>229544</v>
      </c>
      <c r="E123" s="17">
        <f>E114+E117+E120</f>
        <v>223235</v>
      </c>
      <c r="F123" s="17">
        <f>F114+F117+F120</f>
        <v>228627</v>
      </c>
      <c r="G123" s="17">
        <f>G114+G117+G120</f>
        <v>228627</v>
      </c>
      <c r="H123" s="17">
        <f>H114+H117+H120</f>
        <v>236577</v>
      </c>
      <c r="I123" s="17">
        <f>I114+I117+I120</f>
        <v>239808</v>
      </c>
      <c r="J123" s="42"/>
      <c r="K123" s="1"/>
      <c r="L123" s="1"/>
    </row>
    <row r="124">
      <c r="A124" s="1"/>
      <c r="B124" s="1" t="s">
        <v>166</v>
      </c>
      <c r="C124" s="35">
        <v>181469</v>
      </c>
      <c r="D124" s="35">
        <v>179848</v>
      </c>
      <c r="E124" s="35">
        <v>176954</v>
      </c>
      <c r="F124" s="35">
        <v>190004</v>
      </c>
      <c r="G124" s="5">
        <f>F124</f>
        <v>190004</v>
      </c>
      <c r="H124" s="35">
        <v>189802</v>
      </c>
      <c r="I124" s="35">
        <v>198805</v>
      </c>
      <c r="J124" s="15"/>
      <c r="K124" s="1" t="s">
        <v>94</v>
      </c>
      <c r="L124" s="1"/>
    </row>
    <row r="125">
      <c r="A125" s="1"/>
      <c r="B125" s="1" t="s">
        <v>139</v>
      </c>
      <c r="C125" s="5"/>
      <c r="D125" s="5"/>
      <c r="E125" s="5"/>
      <c r="F125" s="5"/>
      <c r="G125" s="5"/>
      <c r="H125" s="5">
        <f>H124-C124</f>
        <v>8333</v>
      </c>
      <c r="I125" s="5">
        <f>I124-D124</f>
        <v>18957</v>
      </c>
      <c r="J125" s="15"/>
      <c r="K125" s="1"/>
      <c r="L125" s="1"/>
    </row>
    <row r="126">
      <c r="A126" s="1"/>
      <c r="B126" s="1" t="s">
        <v>140</v>
      </c>
      <c r="C126" s="5"/>
      <c r="D126" s="5">
        <f>D124-C124</f>
        <v>-1621</v>
      </c>
      <c r="E126" s="5">
        <f>E124-D124</f>
        <v>-2894</v>
      </c>
      <c r="F126" s="5">
        <f>F124-E124</f>
        <v>13050</v>
      </c>
      <c r="G126" s="5"/>
      <c r="H126" s="5">
        <f>H124-F124</f>
        <v>-202</v>
      </c>
      <c r="I126" s="5">
        <f>I124-H124</f>
        <v>9003</v>
      </c>
      <c r="J126" s="15"/>
      <c r="K126" s="1"/>
      <c r="L126" s="1"/>
    </row>
    <row r="127">
      <c r="A127" s="1"/>
      <c r="B127" s="1"/>
      <c r="C127" s="13"/>
      <c r="D127" s="13"/>
      <c r="E127" s="13"/>
      <c r="F127" s="13"/>
      <c r="G127" s="13"/>
      <c r="H127" s="13"/>
      <c r="I127" s="13"/>
      <c r="J127" s="27"/>
      <c r="K127" s="1"/>
      <c r="L127" s="1"/>
    </row>
    <row r="128">
      <c r="A128" s="1"/>
      <c r="B128" s="9" t="s">
        <v>215</v>
      </c>
      <c r="C128" s="25"/>
      <c r="D128" s="25"/>
      <c r="E128" s="25"/>
      <c r="F128" s="25"/>
      <c r="G128" s="25"/>
      <c r="H128" s="25"/>
      <c r="I128" s="25"/>
      <c r="J128" s="37"/>
      <c r="K128" s="1"/>
      <c r="L128" s="1"/>
    </row>
    <row r="129">
      <c r="A129" s="1"/>
      <c r="B129" s="1" t="s">
        <v>216</v>
      </c>
      <c r="C129" s="35">
        <v>41</v>
      </c>
      <c r="D129" s="35">
        <v>98</v>
      </c>
      <c r="E129" s="35">
        <v>83</v>
      </c>
      <c r="F129" s="35">
        <v>96</v>
      </c>
      <c r="G129" s="5">
        <f>SUM(C129:F129)</f>
        <v>318</v>
      </c>
      <c r="H129" s="35">
        <v>58</v>
      </c>
      <c r="I129" s="35">
        <v>93</v>
      </c>
      <c r="J129" s="15">
        <f>J88*J132*J9/365</f>
        <v>91.52321252054794</v>
      </c>
      <c r="K129" s="1" t="s">
        <v>94</v>
      </c>
      <c r="L129" s="1"/>
    </row>
    <row r="130">
      <c r="A130" s="1"/>
      <c r="B130" s="1" t="s">
        <v>139</v>
      </c>
      <c r="C130" s="5"/>
      <c r="D130" s="5"/>
      <c r="E130" s="5"/>
      <c r="F130" s="5"/>
      <c r="G130" s="5"/>
      <c r="H130" s="5">
        <f>H129-C129</f>
        <v>17</v>
      </c>
      <c r="I130" s="5">
        <f>I129-D129</f>
        <v>-5</v>
      </c>
      <c r="J130" s="15">
        <f>J129-E129</f>
        <v>8.523212520547943</v>
      </c>
      <c r="K130" s="1"/>
      <c r="L130" s="1"/>
    </row>
    <row r="131">
      <c r="A131" s="1"/>
      <c r="B131" s="1" t="s">
        <v>140</v>
      </c>
      <c r="C131" s="5"/>
      <c r="D131" s="5">
        <f>D129-C129</f>
        <v>57</v>
      </c>
      <c r="E131" s="5">
        <f>E129-D129</f>
        <v>-15</v>
      </c>
      <c r="F131" s="5">
        <f>F129-E129</f>
        <v>13</v>
      </c>
      <c r="G131" s="5"/>
      <c r="H131" s="5">
        <f>H129-F129</f>
        <v>-38</v>
      </c>
      <c r="I131" s="5">
        <f>I129-H129</f>
        <v>35</v>
      </c>
      <c r="J131" s="15">
        <f>J129-I129</f>
        <v>-1.4767874794520566</v>
      </c>
      <c r="K131" s="1"/>
      <c r="L131" s="1"/>
    </row>
    <row r="132">
      <c r="A132" s="1"/>
      <c r="B132" s="6" t="s">
        <v>217</v>
      </c>
      <c r="C132" s="200">
        <f>C129/C88*365/C9</f>
        <v>0.0007429615993359269</v>
      </c>
      <c r="D132" s="200">
        <f>D129/D88*365/D9</f>
        <v>0.001735737822746182</v>
      </c>
      <c r="E132" s="200">
        <f>E129/E88*365/E9</f>
        <v>0.001501182909338562</v>
      </c>
      <c r="F132" s="200">
        <f>F129/F88*365/F9</f>
        <v>0.0017001891169264307</v>
      </c>
      <c r="G132" s="200">
        <f>G129/G88*365/G9</f>
        <v>0.0014234638023898174</v>
      </c>
      <c r="H132" s="200">
        <f>H129/H88*365/H9</f>
        <v>0.0010269022187296875</v>
      </c>
      <c r="I132" s="200">
        <f>I129/I88*365/I9</f>
        <v>0.0015730894331812827</v>
      </c>
      <c r="J132" s="204">
        <v>0.0015</v>
      </c>
      <c r="K132" s="1"/>
      <c r="L132" s="1"/>
    </row>
    <row r="133">
      <c r="A133" s="1"/>
      <c r="B133" s="1" t="s">
        <v>151</v>
      </c>
      <c r="C133" s="5"/>
      <c r="D133" s="5"/>
      <c r="E133" s="5"/>
      <c r="F133" s="5"/>
      <c r="G133" s="5"/>
      <c r="H133" s="5">
        <f>(H132-C132)*10000</f>
        <v>2.8394061939376054</v>
      </c>
      <c r="I133" s="5">
        <f>(I132-D132)*10000</f>
        <v>-1.6264838956489927</v>
      </c>
      <c r="J133" s="15">
        <f>(J132-E132)*10000</f>
        <v>-0.011829093385618775</v>
      </c>
      <c r="K133" s="1"/>
      <c r="L133" s="1"/>
    </row>
    <row r="134">
      <c r="A134" s="1"/>
      <c r="B134" s="1" t="s">
        <v>152</v>
      </c>
      <c r="C134" s="5"/>
      <c r="D134" s="5">
        <f>(D132-C132)*10000</f>
        <v>9.92776223410255</v>
      </c>
      <c r="E134" s="5">
        <f>(E132-D132)*10000</f>
        <v>-2.3455491340762005</v>
      </c>
      <c r="F134" s="5">
        <f>(F132-E132)*10000</f>
        <v>1.9900620758786882</v>
      </c>
      <c r="G134" s="5"/>
      <c r="H134" s="5">
        <f>(H132-F132)*10000</f>
        <v>-6.7328689819674326</v>
      </c>
      <c r="I134" s="5">
        <f>(I132-H132)*10000</f>
        <v>5.461872144515952</v>
      </c>
      <c r="J134" s="15">
        <f>(J132-I132)*10000</f>
        <v>-0.7308943318128265</v>
      </c>
      <c r="K134" s="1"/>
      <c r="L134" s="1"/>
    </row>
    <row r="135" ht="29.25">
      <c r="A135" s="1"/>
      <c r="B135" s="191" t="s">
        <v>218</v>
      </c>
      <c r="C135" s="35">
        <v>146</v>
      </c>
      <c r="D135" s="35">
        <v>-141</v>
      </c>
      <c r="E135" s="35">
        <v>-44</v>
      </c>
      <c r="F135" s="35">
        <v>9</v>
      </c>
      <c r="G135" s="5">
        <f>SUM(C135:F135)</f>
        <v>-30</v>
      </c>
      <c r="H135" s="35">
        <v>92</v>
      </c>
      <c r="I135" s="35">
        <v>38</v>
      </c>
      <c r="J135" s="38">
        <v>40</v>
      </c>
      <c r="K135" s="1" t="s">
        <v>94</v>
      </c>
      <c r="L135" s="1"/>
    </row>
    <row r="136">
      <c r="A136" s="1"/>
      <c r="B136" s="1" t="s">
        <v>139</v>
      </c>
      <c r="C136" s="5"/>
      <c r="D136" s="5"/>
      <c r="E136" s="5"/>
      <c r="F136" s="5"/>
      <c r="G136" s="5"/>
      <c r="H136" s="5">
        <f>H135-C135</f>
        <v>-54</v>
      </c>
      <c r="I136" s="5">
        <f>I135-D135</f>
        <v>179</v>
      </c>
      <c r="J136" s="15">
        <f>J135-E135</f>
        <v>84</v>
      </c>
      <c r="K136" s="1"/>
      <c r="L136" s="1"/>
    </row>
    <row r="137">
      <c r="A137" s="1"/>
      <c r="B137" s="1" t="s">
        <v>140</v>
      </c>
      <c r="C137" s="5"/>
      <c r="D137" s="5">
        <f>D135-C135</f>
        <v>-287</v>
      </c>
      <c r="E137" s="5">
        <f>E135-D135</f>
        <v>97</v>
      </c>
      <c r="F137" s="5">
        <f>F135-E135</f>
        <v>53</v>
      </c>
      <c r="G137" s="5"/>
      <c r="H137" s="5">
        <f>H135-F135</f>
        <v>83</v>
      </c>
      <c r="I137" s="5">
        <f>I135-H135</f>
        <v>-54</v>
      </c>
      <c r="J137" s="15">
        <f>J135-I135</f>
        <v>2</v>
      </c>
      <c r="K137" s="1"/>
      <c r="L137" s="1"/>
    </row>
    <row r="138">
      <c r="A138" s="1"/>
      <c r="B138" s="9" t="s">
        <v>219</v>
      </c>
      <c r="C138" s="17">
        <f>C129+C135</f>
        <v>187</v>
      </c>
      <c r="D138" s="17">
        <f>D129+D135</f>
        <v>-43</v>
      </c>
      <c r="E138" s="17">
        <f>E129+E135</f>
        <v>39</v>
      </c>
      <c r="F138" s="17">
        <f>F129+F135</f>
        <v>105</v>
      </c>
      <c r="G138" s="17">
        <f>G129+G135</f>
        <v>288</v>
      </c>
      <c r="H138" s="17">
        <f>H129+H135</f>
        <v>150</v>
      </c>
      <c r="I138" s="17">
        <f>I129+I135</f>
        <v>131</v>
      </c>
      <c r="J138" s="42">
        <f>J129+J135</f>
        <v>131.52321252054793</v>
      </c>
      <c r="K138" s="1"/>
      <c r="L138" s="1"/>
    </row>
    <row r="139">
      <c r="A139" s="1"/>
      <c r="B139" s="1" t="s">
        <v>220</v>
      </c>
      <c r="C139" s="35">
        <v>1670</v>
      </c>
      <c r="D139" s="35">
        <v>1519</v>
      </c>
      <c r="E139" s="35">
        <v>1445</v>
      </c>
      <c r="F139" s="35">
        <v>1443</v>
      </c>
      <c r="G139" s="5">
        <f>SUM(C139:F139)</f>
        <v>6077</v>
      </c>
      <c r="H139" s="35">
        <v>1608</v>
      </c>
      <c r="I139" s="35">
        <v>1412</v>
      </c>
      <c r="J139" s="15">
        <f>I139*(1+J142)</f>
        <v>1426.1200000000001</v>
      </c>
      <c r="K139" s="1" t="s">
        <v>94</v>
      </c>
      <c r="L139" s="1"/>
    </row>
    <row r="140">
      <c r="A140" s="1"/>
      <c r="B140" s="1" t="s">
        <v>139</v>
      </c>
      <c r="C140" s="5"/>
      <c r="D140" s="5"/>
      <c r="E140" s="5"/>
      <c r="F140" s="5"/>
      <c r="G140" s="5"/>
      <c r="H140" s="5">
        <f>H139-C139</f>
        <v>-62</v>
      </c>
      <c r="I140" s="5">
        <f>I139-D139</f>
        <v>-107</v>
      </c>
      <c r="J140" s="15">
        <f>J139-E139</f>
        <v>-18.87999999999988</v>
      </c>
      <c r="K140" s="1"/>
      <c r="L140" s="1"/>
    </row>
    <row r="141">
      <c r="A141" s="1"/>
      <c r="B141" s="1" t="s">
        <v>140</v>
      </c>
      <c r="C141" s="5"/>
      <c r="D141" s="5">
        <f>D139-C139</f>
        <v>-151</v>
      </c>
      <c r="E141" s="5">
        <f>E139-D139</f>
        <v>-74</v>
      </c>
      <c r="F141" s="5">
        <f>F139-E139</f>
        <v>-2</v>
      </c>
      <c r="G141" s="5"/>
      <c r="H141" s="5">
        <f>H139-F139</f>
        <v>165</v>
      </c>
      <c r="I141" s="5">
        <f>I139-H139</f>
        <v>-196</v>
      </c>
      <c r="J141" s="15">
        <f>J139-I139</f>
        <v>14.120000000000118</v>
      </c>
      <c r="K141" s="1"/>
      <c r="L141" s="1"/>
    </row>
    <row r="142">
      <c r="A142" s="1"/>
      <c r="B142" s="6" t="s">
        <v>124</v>
      </c>
      <c r="C142" s="26"/>
      <c r="D142" s="26">
        <f>D139/C139-1</f>
        <v>-0.09041916167664665</v>
      </c>
      <c r="E142" s="26">
        <f>E139/D139-1</f>
        <v>-0.04871626069782753</v>
      </c>
      <c r="F142" s="26">
        <f>F139/E139-1</f>
        <v>-0.0013840830449827202</v>
      </c>
      <c r="G142" s="26"/>
      <c r="H142" s="26">
        <f>H139/F139-1</f>
        <v>0.11434511434511441</v>
      </c>
      <c r="I142" s="26">
        <f>I139/H139-1</f>
        <v>-0.12189054726368154</v>
      </c>
      <c r="J142" s="106">
        <v>0.01</v>
      </c>
      <c r="K142" s="1"/>
      <c r="L142" s="1"/>
    </row>
    <row r="143">
      <c r="A143" s="1"/>
      <c r="B143" s="9" t="s">
        <v>221</v>
      </c>
      <c r="C143" s="17">
        <f>C46-C138-C139</f>
        <v>1068</v>
      </c>
      <c r="D143" s="17">
        <f>D46-D138-D139</f>
        <v>1457</v>
      </c>
      <c r="E143" s="17">
        <f>E46-E138-E139</f>
        <v>1557</v>
      </c>
      <c r="F143" s="17">
        <f>F46-F138-F139</f>
        <v>1531</v>
      </c>
      <c r="G143" s="17">
        <f>G46-G138-G139</f>
        <v>5613</v>
      </c>
      <c r="H143" s="17">
        <f>H46-H138-H139</f>
        <v>1362</v>
      </c>
      <c r="I143" s="17">
        <f>I46-I138-I139</f>
        <v>1575</v>
      </c>
      <c r="J143" s="42">
        <f>J46-J138-J139</f>
        <v>1640.8746903648873</v>
      </c>
      <c r="K143" s="1"/>
      <c r="L143" s="1"/>
    </row>
    <row r="144">
      <c r="A144" s="1"/>
      <c r="B144" s="1" t="s">
        <v>222</v>
      </c>
      <c r="C144" s="35">
        <v>272</v>
      </c>
      <c r="D144" s="35">
        <v>369</v>
      </c>
      <c r="E144" s="35">
        <v>393</v>
      </c>
      <c r="F144" s="35">
        <v>387</v>
      </c>
      <c r="G144" s="5">
        <f>SUM(C144:F144)</f>
        <v>1421</v>
      </c>
      <c r="H144" s="35">
        <v>343</v>
      </c>
      <c r="I144" s="35">
        <v>397</v>
      </c>
      <c r="J144" s="15">
        <f>J143*J145</f>
        <v>413.5004219719516</v>
      </c>
      <c r="K144" s="1" t="s">
        <v>94</v>
      </c>
      <c r="L144" s="1"/>
    </row>
    <row r="145">
      <c r="A145" s="1"/>
      <c r="B145" s="6" t="s">
        <v>223</v>
      </c>
      <c r="C145" s="26">
        <f>C144/C143</f>
        <v>0.2546816479400749</v>
      </c>
      <c r="D145" s="26">
        <f>D144/D143</f>
        <v>0.25326012354152366</v>
      </c>
      <c r="E145" s="26">
        <f>E144/E143</f>
        <v>0.2524084778420039</v>
      </c>
      <c r="F145" s="26">
        <f>F144/F143</f>
        <v>0.2527759634225996</v>
      </c>
      <c r="G145" s="26">
        <f>G144/G143</f>
        <v>0.25316230179939425</v>
      </c>
      <c r="H145" s="26">
        <f>H144/H143</f>
        <v>0.25183553597650515</v>
      </c>
      <c r="I145" s="26">
        <f>I144/I143</f>
        <v>0.25206349206349205</v>
      </c>
      <c r="J145" s="106">
        <v>0.252</v>
      </c>
      <c r="K145" s="1"/>
      <c r="L145" s="1"/>
    </row>
    <row r="146">
      <c r="A146" s="1"/>
      <c r="B146" s="1" t="s">
        <v>151</v>
      </c>
      <c r="C146" s="5"/>
      <c r="D146" s="5"/>
      <c r="E146" s="5"/>
      <c r="F146" s="5"/>
      <c r="G146" s="5"/>
      <c r="H146" s="5">
        <f>(H145-C145)*10000</f>
        <v>-28.461119635697642</v>
      </c>
      <c r="I146" s="5">
        <f>(I145-D145)*10000</f>
        <v>-11.966314780316178</v>
      </c>
      <c r="J146" s="15">
        <f>(J145-E145)*10000</f>
        <v>-4.084778420038737</v>
      </c>
      <c r="K146" s="1"/>
      <c r="L146" s="1"/>
    </row>
    <row r="147">
      <c r="A147" s="1"/>
      <c r="B147" s="1" t="s">
        <v>152</v>
      </c>
      <c r="C147" s="5"/>
      <c r="D147" s="5">
        <f>(D145-C145)*10000</f>
        <v>-14.215243985512549</v>
      </c>
      <c r="E147" s="5">
        <f>(E145-D145)*10000</f>
        <v>-8.516456995197874</v>
      </c>
      <c r="F147" s="5">
        <f>(F145-E145)*10000</f>
        <v>3.674855805957389</v>
      </c>
      <c r="G147" s="5"/>
      <c r="H147" s="5">
        <f>(H145-F145)*10000</f>
        <v>-9.404274460944606</v>
      </c>
      <c r="I147" s="5">
        <f>(I145-H145)*10000</f>
        <v>2.279560869868913</v>
      </c>
      <c r="J147" s="15">
        <f>(J145-I145)*10000</f>
        <v>-0.6349206349204328</v>
      </c>
      <c r="K147" s="1"/>
      <c r="L147" s="1"/>
    </row>
    <row r="148">
      <c r="A148" s="1"/>
      <c r="B148" s="1" t="s">
        <v>260</v>
      </c>
      <c r="C148" s="35">
        <v>2</v>
      </c>
      <c r="D148" s="35">
        <v>2</v>
      </c>
      <c r="E148" s="35">
        <v>2</v>
      </c>
      <c r="F148" s="35">
        <v>2</v>
      </c>
      <c r="G148" s="5">
        <f>SUM(C148:F148)</f>
        <v>8</v>
      </c>
      <c r="H148" s="35">
        <v>2</v>
      </c>
      <c r="I148" s="35">
        <v>2</v>
      </c>
      <c r="J148" s="38">
        <v>2</v>
      </c>
      <c r="K148" s="1" t="s">
        <v>94</v>
      </c>
      <c r="L148" s="1"/>
    </row>
    <row r="149">
      <c r="A149" s="1"/>
      <c r="B149" s="1" t="s">
        <v>139</v>
      </c>
      <c r="C149" s="5"/>
      <c r="D149" s="5"/>
      <c r="E149" s="5"/>
      <c r="F149" s="5"/>
      <c r="G149" s="5"/>
      <c r="H149" s="5">
        <f>H148-C148</f>
        <v>0</v>
      </c>
      <c r="I149" s="5">
        <f>I148-D148</f>
        <v>0</v>
      </c>
      <c r="J149" s="15">
        <f>J148-E148</f>
        <v>0</v>
      </c>
      <c r="K149" s="1"/>
      <c r="L149" s="1"/>
    </row>
    <row r="150">
      <c r="A150" s="1"/>
      <c r="B150" s="1" t="s">
        <v>140</v>
      </c>
      <c r="C150" s="5"/>
      <c r="D150" s="5">
        <f>D148-C148</f>
        <v>0</v>
      </c>
      <c r="E150" s="5">
        <f>E148-D148</f>
        <v>0</v>
      </c>
      <c r="F150" s="5">
        <f>F148-E148</f>
        <v>0</v>
      </c>
      <c r="G150" s="5"/>
      <c r="H150" s="5">
        <f>H148-F148</f>
        <v>0</v>
      </c>
      <c r="I150" s="5">
        <f>I148-H148</f>
        <v>0</v>
      </c>
      <c r="J150" s="15">
        <f>J148-I148</f>
        <v>0</v>
      </c>
      <c r="K150" s="1"/>
      <c r="L150" s="1"/>
    </row>
    <row r="151">
      <c r="A151" s="1"/>
      <c r="B151" s="9" t="s">
        <v>102</v>
      </c>
      <c r="C151" s="17">
        <f>C143-C144-C148</f>
        <v>794</v>
      </c>
      <c r="D151" s="17">
        <f>D143-D144-D148</f>
        <v>1086</v>
      </c>
      <c r="E151" s="17">
        <f>E143-E144-E148</f>
        <v>1162</v>
      </c>
      <c r="F151" s="17">
        <f>F143-F144-F148</f>
        <v>1142</v>
      </c>
      <c r="G151" s="17">
        <f>G143-G144-G148</f>
        <v>4184</v>
      </c>
      <c r="H151" s="17">
        <f>H143-H144-H148</f>
        <v>1017</v>
      </c>
      <c r="I151" s="17">
        <f>I143-I144-I148</f>
        <v>1176</v>
      </c>
      <c r="J151" s="42">
        <f>J143-J144-J148</f>
        <v>1225.3742683929358</v>
      </c>
      <c r="K151" s="1"/>
      <c r="L151" s="1"/>
    </row>
    <row r="152">
      <c r="A152" s="1"/>
      <c r="B152" s="6" t="s">
        <v>75</v>
      </c>
      <c r="C152" s="26"/>
      <c r="D152" s="26"/>
      <c r="E152" s="26"/>
      <c r="F152" s="26"/>
      <c r="G152" s="26"/>
      <c r="H152" s="26">
        <f>IFERROR(IF(OR(C151&lt;=0,H151&lt;0),"n/m",H151/C151-1),"n/m")</f>
        <v>0.28085642317380355</v>
      </c>
      <c r="I152" s="26">
        <f>IFERROR(IF(OR(D151&lt;=0,I151&lt;0),"n/m",I151/D151-1),"n/m")</f>
        <v>0.08287292817679548</v>
      </c>
      <c r="J152" s="47">
        <f>IFERROR(IF(OR(E151&lt;=0,J151&lt;0),"n/m",J151/E151-1),"n/m")</f>
        <v>0.0545389573088948</v>
      </c>
      <c r="K152" s="1"/>
      <c r="L152" s="1"/>
    </row>
    <row r="153">
      <c r="A153" s="1"/>
      <c r="B153" s="6" t="s">
        <v>76</v>
      </c>
      <c r="C153" s="26"/>
      <c r="D153" s="26">
        <f>IFERROR(IF(OR(C151&lt;=0,D151&lt;0),"n/m",D151/C151-1),"n/m")</f>
        <v>0.36775818639798485</v>
      </c>
      <c r="E153" s="26">
        <f>IFERROR(IF(OR(D151&lt;=0,E151&lt;0),"n/m",E151/D151-1),"n/m")</f>
        <v>0.06998158379373853</v>
      </c>
      <c r="F153" s="26">
        <f>IFERROR(IF(OR(E151&lt;=0,F151&lt;0),"n/m",F151/E151-1),"n/m")</f>
        <v>-0.01721170395869187</v>
      </c>
      <c r="G153" s="26"/>
      <c r="H153" s="26">
        <f>IFERROR(IF(OR(F151&lt;=0,H151&lt;0),"n/m",H151/F151-1),"n/m")</f>
        <v>-0.10945709281961469</v>
      </c>
      <c r="I153" s="26">
        <f>IFERROR(IF(OR(H151&lt;=0,I151&lt;0),"n/m",I151/H151-1),"n/m")</f>
        <v>0.15634218289085555</v>
      </c>
      <c r="J153" s="47">
        <f>IFERROR(IF(OR(I151&lt;=0,J151&lt;0),"n/m",J151/I151-1),"n/m")</f>
        <v>0.04198492210283655</v>
      </c>
      <c r="K153" s="1"/>
      <c r="L153" s="1"/>
    </row>
    <row r="154" ht="29.25">
      <c r="A154" s="1"/>
      <c r="B154" s="191" t="s">
        <v>224</v>
      </c>
      <c r="C154" s="35">
        <v>794</v>
      </c>
      <c r="D154" s="35">
        <v>1086</v>
      </c>
      <c r="E154" s="35">
        <v>1162</v>
      </c>
      <c r="F154" s="35">
        <v>1142</v>
      </c>
      <c r="G154" s="5">
        <f>SUM(C154:F154)</f>
        <v>4184</v>
      </c>
      <c r="H154" s="35">
        <v>1017</v>
      </c>
      <c r="I154" s="35">
        <v>1176</v>
      </c>
      <c r="J154" s="15"/>
      <c r="K154" s="1" t="s">
        <v>94</v>
      </c>
      <c r="L154" s="1"/>
    </row>
    <row r="155" ht="29.25">
      <c r="A155" s="1"/>
      <c r="B155" s="194" t="s">
        <v>225</v>
      </c>
      <c r="C155" s="197">
        <f>C151-C154</f>
        <v>0</v>
      </c>
      <c r="D155" s="197">
        <f>D151-D154</f>
        <v>0</v>
      </c>
      <c r="E155" s="197">
        <f>E151-E154</f>
        <v>0</v>
      </c>
      <c r="F155" s="197">
        <f>F151-F154</f>
        <v>0</v>
      </c>
      <c r="G155" s="197">
        <f>G151-G154</f>
        <v>0</v>
      </c>
      <c r="H155" s="197">
        <f>H151-H154</f>
        <v>0</v>
      </c>
      <c r="I155" s="197">
        <f>I151-I154</f>
        <v>0</v>
      </c>
      <c r="J155" s="40"/>
      <c r="K155" s="1"/>
      <c r="L155" s="1"/>
    </row>
    <row r="156">
      <c r="A156" s="1"/>
      <c r="B156" s="6" t="s">
        <v>226</v>
      </c>
      <c r="C156" s="26">
        <f>C139/C46</f>
        <v>0.5709401709401709</v>
      </c>
      <c r="D156" s="26">
        <f>D139/D46</f>
        <v>0.5178997613365155</v>
      </c>
      <c r="E156" s="26">
        <f>E139/E46</f>
        <v>0.47517264057875697</v>
      </c>
      <c r="F156" s="26">
        <f>F139/F46</f>
        <v>0.4686586554075999</v>
      </c>
      <c r="G156" s="26">
        <f>G139/G46</f>
        <v>0.5073468024711972</v>
      </c>
      <c r="H156" s="26">
        <f>H139/H46</f>
        <v>0.5153846153846153</v>
      </c>
      <c r="I156" s="26">
        <f>I139/I46</f>
        <v>0.45285439384220655</v>
      </c>
      <c r="J156" s="47">
        <f>J139/J46</f>
        <v>0.44586900661505563</v>
      </c>
      <c r="K156" s="1"/>
      <c r="L156" s="1"/>
    </row>
    <row r="157">
      <c r="A157" s="1"/>
      <c r="B157" s="1" t="s">
        <v>151</v>
      </c>
      <c r="C157" s="5"/>
      <c r="D157" s="5"/>
      <c r="E157" s="5"/>
      <c r="F157" s="5"/>
      <c r="G157" s="5"/>
      <c r="H157" s="5">
        <f>(H156-C156)*10000</f>
        <v>-555.5555555555558</v>
      </c>
      <c r="I157" s="5">
        <f>(I156-D156)*10000</f>
        <v>-650.4536749430895</v>
      </c>
      <c r="J157" s="15">
        <f>(J156-E156)*10000</f>
        <v>-293.0363396370134</v>
      </c>
      <c r="K157" s="1"/>
      <c r="L157" s="1"/>
    </row>
    <row r="158">
      <c r="A158" s="1"/>
      <c r="B158" s="1" t="s">
        <v>152</v>
      </c>
      <c r="C158" s="5"/>
      <c r="D158" s="5">
        <f>(D156-C156)*10000</f>
        <v>-530.4040960365542</v>
      </c>
      <c r="E158" s="5">
        <f>(E156-D156)*10000</f>
        <v>-427.2712075775853</v>
      </c>
      <c r="F158" s="5">
        <f>(F156-E156)*10000</f>
        <v>-65.13985171157088</v>
      </c>
      <c r="G158" s="5"/>
      <c r="H158" s="5">
        <f>(H156-F156)*10000</f>
        <v>467.2595997701545</v>
      </c>
      <c r="I158" s="5">
        <f>(I156-H156)*10000</f>
        <v>-625.3022154240878</v>
      </c>
      <c r="J158" s="15">
        <f>(J156-I156)*10000</f>
        <v>-69.85387227150919</v>
      </c>
      <c r="K158" s="1"/>
      <c r="L158" s="1"/>
    </row>
    <row r="159" ht="29.25">
      <c r="A159" s="1"/>
      <c r="B159" s="194" t="s">
        <v>229</v>
      </c>
      <c r="C159" s="65">
        <v>0.114</v>
      </c>
      <c r="D159" s="65">
        <v>0.158</v>
      </c>
      <c r="E159" s="65">
        <v>0.168</v>
      </c>
      <c r="F159" s="65">
        <v>0.165</v>
      </c>
      <c r="G159" s="26"/>
      <c r="H159" s="65">
        <v>0.15</v>
      </c>
      <c r="I159" s="65">
        <v>0.172</v>
      </c>
      <c r="J159" s="47"/>
      <c r="K159" s="1" t="s">
        <v>94</v>
      </c>
      <c r="L159" s="1"/>
    </row>
    <row r="160">
      <c r="A160" s="1"/>
      <c r="B160" s="1" t="s">
        <v>151</v>
      </c>
      <c r="C160" s="5"/>
      <c r="D160" s="5"/>
      <c r="E160" s="5"/>
      <c r="F160" s="5"/>
      <c r="G160" s="5"/>
      <c r="H160" s="5">
        <f>(H159-C159)*10000</f>
        <v>359.9999999999999</v>
      </c>
      <c r="I160" s="5">
        <f>(I159-D159)*10000</f>
        <v>139.99999999999986</v>
      </c>
      <c r="J160" s="15"/>
      <c r="K160" s="1"/>
      <c r="L160" s="1"/>
    </row>
    <row r="161">
      <c r="A161" s="1"/>
      <c r="B161" s="1" t="s">
        <v>152</v>
      </c>
      <c r="C161" s="5"/>
      <c r="D161" s="5">
        <f>(D159-C159)*10000</f>
        <v>440</v>
      </c>
      <c r="E161" s="5">
        <f>(E159-D159)*10000</f>
        <v>100.00000000000009</v>
      </c>
      <c r="F161" s="5">
        <f>(F159-E159)*10000</f>
        <v>-30.00000000000003</v>
      </c>
      <c r="G161" s="5"/>
      <c r="H161" s="5">
        <f>(H159-F159)*10000</f>
        <v>-150.00000000000014</v>
      </c>
      <c r="I161" s="5">
        <f>(I159-H159)*10000</f>
        <v>219.99999999999991</v>
      </c>
      <c r="J161" s="15"/>
      <c r="K161" s="1"/>
      <c r="L161" s="1"/>
    </row>
    <row r="162">
      <c r="A162" s="1"/>
      <c r="B162" s="1"/>
      <c r="C162" s="13"/>
      <c r="D162" s="13"/>
      <c r="E162" s="13"/>
      <c r="F162" s="13"/>
      <c r="G162" s="13"/>
      <c r="H162" s="13"/>
      <c r="I162" s="13"/>
      <c r="J162" s="27"/>
      <c r="K162" s="1"/>
      <c r="L162" s="1"/>
    </row>
    <row r="163">
      <c r="A163" s="1"/>
      <c r="B163" s="9" t="s">
        <v>230</v>
      </c>
      <c r="C163" s="25"/>
      <c r="D163" s="25"/>
      <c r="E163" s="25"/>
      <c r="F163" s="25"/>
      <c r="G163" s="25"/>
      <c r="H163" s="25"/>
      <c r="I163" s="25"/>
      <c r="J163" s="37"/>
      <c r="K163" s="1"/>
      <c r="L163" s="1"/>
    </row>
    <row r="164" ht="29.25">
      <c r="A164" s="1"/>
      <c r="B164" s="191" t="s">
        <v>231</v>
      </c>
      <c r="C164" s="5" t="s">
        <v>81</v>
      </c>
      <c r="D164" s="5">
        <f>C123</f>
        <v>228266</v>
      </c>
      <c r="E164" s="5">
        <f>D123</f>
        <v>229544</v>
      </c>
      <c r="F164" s="5">
        <f>E123</f>
        <v>223235</v>
      </c>
      <c r="G164" s="5" t="s">
        <v>81</v>
      </c>
      <c r="H164" s="5">
        <f>F123</f>
        <v>228627</v>
      </c>
      <c r="I164" s="5">
        <f>H123</f>
        <v>236577</v>
      </c>
      <c r="J164" s="15">
        <f>I123</f>
        <v>239808</v>
      </c>
      <c r="K164" s="1"/>
      <c r="L164" s="1"/>
    </row>
    <row r="165">
      <c r="A165" s="1"/>
      <c r="B165" s="1" t="s">
        <v>232</v>
      </c>
      <c r="C165" s="5"/>
      <c r="D165" s="5">
        <f>D166-D164</f>
        <v>1278</v>
      </c>
      <c r="E165" s="5">
        <f>E166-E164</f>
        <v>-6309</v>
      </c>
      <c r="F165" s="5">
        <f>F166-F164</f>
        <v>5392</v>
      </c>
      <c r="G165" s="5"/>
      <c r="H165" s="5">
        <f>H166-H164</f>
        <v>7950</v>
      </c>
      <c r="I165" s="5">
        <f>I166-I164</f>
        <v>3231</v>
      </c>
      <c r="J165" s="15">
        <f>J166-J164</f>
        <v>5001.177044874668</v>
      </c>
      <c r="K165" s="1"/>
      <c r="L165" s="1"/>
    </row>
    <row r="166">
      <c r="A166" s="1"/>
      <c r="B166" s="9" t="s">
        <v>233</v>
      </c>
      <c r="C166" s="17">
        <f>C123</f>
        <v>228266</v>
      </c>
      <c r="D166" s="17">
        <f>D123</f>
        <v>229544</v>
      </c>
      <c r="E166" s="17">
        <f>E123</f>
        <v>223235</v>
      </c>
      <c r="F166" s="17">
        <f>F123</f>
        <v>228627</v>
      </c>
      <c r="G166" s="17">
        <f>G123</f>
        <v>228627</v>
      </c>
      <c r="H166" s="17">
        <f>H123</f>
        <v>236577</v>
      </c>
      <c r="I166" s="17">
        <f>I123</f>
        <v>239808</v>
      </c>
      <c r="J166" s="42">
        <f>J164*J88/I88</f>
        <v>244809.17704487467</v>
      </c>
      <c r="K166" s="1"/>
      <c r="L166" s="1"/>
    </row>
    <row r="167">
      <c r="A167" s="1"/>
      <c r="B167" s="1" t="s">
        <v>139</v>
      </c>
      <c r="C167" s="5"/>
      <c r="D167" s="5"/>
      <c r="E167" s="5"/>
      <c r="F167" s="5"/>
      <c r="G167" s="5"/>
      <c r="H167" s="5">
        <f>H166-C166</f>
        <v>8311</v>
      </c>
      <c r="I167" s="5">
        <f>I166-D166</f>
        <v>10264</v>
      </c>
      <c r="J167" s="15">
        <f>J166-E166</f>
        <v>21574.17704487467</v>
      </c>
      <c r="K167" s="1"/>
      <c r="L167" s="1"/>
    </row>
    <row r="168">
      <c r="A168" s="1"/>
      <c r="B168" s="1" t="s">
        <v>140</v>
      </c>
      <c r="C168" s="5"/>
      <c r="D168" s="5">
        <f>D166-C166</f>
        <v>1278</v>
      </c>
      <c r="E168" s="5">
        <f>E166-D166</f>
        <v>-6309</v>
      </c>
      <c r="F168" s="5">
        <f>F166-E166</f>
        <v>5392</v>
      </c>
      <c r="G168" s="5"/>
      <c r="H168" s="5">
        <f>H166-F166</f>
        <v>7950</v>
      </c>
      <c r="I168" s="5">
        <f>I166-H166</f>
        <v>3231</v>
      </c>
      <c r="J168" s="15">
        <f>J166-I166</f>
        <v>5001.177044874668</v>
      </c>
      <c r="K168" s="1"/>
      <c r="L168" s="1"/>
    </row>
    <row r="169">
      <c r="A169" s="1"/>
      <c r="B169" s="1" t="s">
        <v>234</v>
      </c>
      <c r="C169" s="5">
        <f>C88</f>
        <v>223804</v>
      </c>
      <c r="D169" s="5">
        <f>D88</f>
        <v>226461</v>
      </c>
      <c r="E169" s="5">
        <f>E88</f>
        <v>219356</v>
      </c>
      <c r="F169" s="5">
        <f>F88</f>
        <v>224016</v>
      </c>
      <c r="G169" s="5">
        <f>G88</f>
        <v>223398.72602739726</v>
      </c>
      <c r="H169" s="5">
        <f>H88</f>
        <v>229060</v>
      </c>
      <c r="I169" s="5">
        <f>I88</f>
        <v>237127</v>
      </c>
      <c r="J169" s="15">
        <f>J88</f>
        <v>242072.26499999998</v>
      </c>
      <c r="K169" s="1"/>
      <c r="L169" s="1"/>
    </row>
    <row r="170">
      <c r="A170" s="1"/>
      <c r="B170" s="1" t="s">
        <v>235</v>
      </c>
      <c r="C170" s="5">
        <f>C166-C169</f>
        <v>4462</v>
      </c>
      <c r="D170" s="5">
        <f>D166-D169</f>
        <v>3083</v>
      </c>
      <c r="E170" s="5">
        <f>E166-E169</f>
        <v>3879</v>
      </c>
      <c r="F170" s="5">
        <f>F166-F169</f>
        <v>4611</v>
      </c>
      <c r="G170" s="5">
        <f>G166-G169</f>
        <v>5228.273972602736</v>
      </c>
      <c r="H170" s="5">
        <f>H166-H169</f>
        <v>7517</v>
      </c>
      <c r="I170" s="5">
        <f>I166-I169</f>
        <v>2681</v>
      </c>
      <c r="J170" s="15">
        <f>J166-J169</f>
        <v>2736.9120448746835</v>
      </c>
      <c r="K170" s="1"/>
      <c r="L170" s="1"/>
    </row>
    <row r="171">
      <c r="A171" s="1"/>
      <c r="B171" s="9" t="s">
        <v>236</v>
      </c>
      <c r="C171" s="25"/>
      <c r="D171" s="25"/>
      <c r="E171" s="25"/>
      <c r="F171" s="25"/>
      <c r="G171" s="25"/>
      <c r="H171" s="25"/>
      <c r="I171" s="25"/>
      <c r="J171" s="37"/>
      <c r="K171" s="1"/>
      <c r="L171" s="1"/>
    </row>
    <row r="172" ht="29.25">
      <c r="A172" s="1"/>
      <c r="B172" s="191" t="s">
        <v>237</v>
      </c>
      <c r="C172" s="5" t="s">
        <v>81</v>
      </c>
      <c r="D172" s="5">
        <f>C124</f>
        <v>181469</v>
      </c>
      <c r="E172" s="5">
        <f>D124</f>
        <v>179848</v>
      </c>
      <c r="F172" s="5">
        <f>E124</f>
        <v>176954</v>
      </c>
      <c r="G172" s="5" t="s">
        <v>81</v>
      </c>
      <c r="H172" s="5">
        <f>F124</f>
        <v>190004</v>
      </c>
      <c r="I172" s="5">
        <f>H124</f>
        <v>189802</v>
      </c>
      <c r="J172" s="15">
        <f>I124</f>
        <v>198805</v>
      </c>
      <c r="K172" s="1"/>
      <c r="L172" s="1"/>
    </row>
    <row r="173">
      <c r="A173" s="1"/>
      <c r="B173" s="1" t="s">
        <v>232</v>
      </c>
      <c r="C173" s="5"/>
      <c r="D173" s="5">
        <f>D174-D172</f>
        <v>-1621</v>
      </c>
      <c r="E173" s="5">
        <f>E174-E172</f>
        <v>-2894</v>
      </c>
      <c r="F173" s="5">
        <f>F174-F172</f>
        <v>13050</v>
      </c>
      <c r="G173" s="5"/>
      <c r="H173" s="5">
        <f>H174-H172</f>
        <v>-202</v>
      </c>
      <c r="I173" s="5">
        <f>I174-I172</f>
        <v>9003</v>
      </c>
      <c r="J173" s="15">
        <f>J174-J172</f>
        <v>2982.0749999999825</v>
      </c>
      <c r="K173" s="1"/>
      <c r="L173" s="1"/>
    </row>
    <row r="174">
      <c r="A174" s="1"/>
      <c r="B174" s="9" t="s">
        <v>238</v>
      </c>
      <c r="C174" s="17">
        <f>C124</f>
        <v>181469</v>
      </c>
      <c r="D174" s="17">
        <f>D124</f>
        <v>179848</v>
      </c>
      <c r="E174" s="17">
        <f>E124</f>
        <v>176954</v>
      </c>
      <c r="F174" s="17">
        <f>F124</f>
        <v>190004</v>
      </c>
      <c r="G174" s="17">
        <f>G124</f>
        <v>190004</v>
      </c>
      <c r="H174" s="17">
        <f>H124</f>
        <v>189802</v>
      </c>
      <c r="I174" s="17">
        <f>I124</f>
        <v>198805</v>
      </c>
      <c r="J174" s="42">
        <f>J172*J91/I91</f>
        <v>201787.07499999998</v>
      </c>
      <c r="K174" s="1"/>
      <c r="L174" s="1"/>
    </row>
    <row r="175">
      <c r="A175" s="1"/>
      <c r="B175" s="1" t="s">
        <v>139</v>
      </c>
      <c r="C175" s="5"/>
      <c r="D175" s="5"/>
      <c r="E175" s="5"/>
      <c r="F175" s="5"/>
      <c r="G175" s="5"/>
      <c r="H175" s="5">
        <f>H174-C174</f>
        <v>8333</v>
      </c>
      <c r="I175" s="5">
        <f>I174-D174</f>
        <v>18957</v>
      </c>
      <c r="J175" s="15">
        <f>J174-E174</f>
        <v>24833.074999999983</v>
      </c>
      <c r="K175" s="1"/>
      <c r="L175" s="1"/>
    </row>
    <row r="176">
      <c r="A176" s="1"/>
      <c r="B176" s="1" t="s">
        <v>140</v>
      </c>
      <c r="C176" s="5"/>
      <c r="D176" s="5">
        <f>D174-C174</f>
        <v>-1621</v>
      </c>
      <c r="E176" s="5">
        <f>E174-D174</f>
        <v>-2894</v>
      </c>
      <c r="F176" s="5">
        <f>F174-E174</f>
        <v>13050</v>
      </c>
      <c r="G176" s="5"/>
      <c r="H176" s="5">
        <f>H174-F174</f>
        <v>-202</v>
      </c>
      <c r="I176" s="5">
        <f>I174-H174</f>
        <v>9003</v>
      </c>
      <c r="J176" s="15">
        <f>J174-I174</f>
        <v>2982.0749999999825</v>
      </c>
      <c r="K176" s="1"/>
      <c r="L176" s="1"/>
    </row>
    <row r="177">
      <c r="A177" s="1"/>
      <c r="B177" s="1" t="s">
        <v>148</v>
      </c>
      <c r="C177" s="5">
        <f>C91</f>
        <v>182859</v>
      </c>
      <c r="D177" s="5">
        <f>D91</f>
        <v>177994</v>
      </c>
      <c r="E177" s="5">
        <f>E91</f>
        <v>171976</v>
      </c>
      <c r="F177" s="5">
        <f>F91</f>
        <v>180989</v>
      </c>
      <c r="G177" s="5">
        <f>G91</f>
        <v>178431.62739726028</v>
      </c>
      <c r="H177" s="5">
        <f>H91</f>
        <v>185897</v>
      </c>
      <c r="I177" s="5">
        <f>I91</f>
        <v>189534</v>
      </c>
      <c r="J177" s="15">
        <f>J91</f>
        <v>192377.00999999998</v>
      </c>
      <c r="K177" s="1"/>
      <c r="L177" s="1"/>
    </row>
    <row r="178">
      <c r="A178" s="1"/>
      <c r="B178" s="1" t="s">
        <v>235</v>
      </c>
      <c r="C178" s="5">
        <f>C174-C177</f>
        <v>-1390</v>
      </c>
      <c r="D178" s="5">
        <f>D174-D177</f>
        <v>1854</v>
      </c>
      <c r="E178" s="5">
        <f>E174-E177</f>
        <v>4978</v>
      </c>
      <c r="F178" s="5">
        <f>F174-F177</f>
        <v>9015</v>
      </c>
      <c r="G178" s="5">
        <f>G174-G177</f>
        <v>11572.37260273972</v>
      </c>
      <c r="H178" s="5">
        <f>H174-H177</f>
        <v>3905</v>
      </c>
      <c r="I178" s="5">
        <f>I174-I177</f>
        <v>9271</v>
      </c>
      <c r="J178" s="15">
        <f>J174-J177</f>
        <v>9410.065000000002</v>
      </c>
      <c r="K178" s="1"/>
      <c r="L178" s="1"/>
    </row>
    <row r="179">
      <c r="A179" s="1"/>
      <c r="B179" s="1"/>
      <c r="C179" s="13"/>
      <c r="D179" s="13"/>
      <c r="E179" s="13"/>
      <c r="F179" s="13"/>
      <c r="G179" s="13"/>
      <c r="H179" s="13"/>
      <c r="I179" s="13"/>
      <c r="J179" s="27"/>
      <c r="K179" s="1"/>
      <c r="L179" s="1"/>
    </row>
    <row r="180">
      <c r="A180" s="1"/>
      <c r="B180" s="1"/>
      <c r="C180" s="13"/>
      <c r="D180" s="13"/>
      <c r="E180" s="13"/>
      <c r="F180" s="13"/>
      <c r="G180" s="13"/>
      <c r="H180" s="13"/>
      <c r="I180" s="13"/>
      <c r="J180" s="27"/>
      <c r="K180" s="1"/>
      <c r="L180" s="1"/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38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14" customWidth="1"/>
  </cols>
  <sheetData>
    <row r="1">
      <c r="A1" s="1"/>
      <c r="B1" s="3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9" t="s">
        <v>261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64" t="s">
        <v>62</v>
      </c>
      <c r="C4" s="29" t="s">
        <v>63</v>
      </c>
      <c r="D4" s="29" t="s">
        <v>64</v>
      </c>
      <c r="E4" s="29" t="s">
        <v>65</v>
      </c>
      <c r="F4" s="29" t="s">
        <v>66</v>
      </c>
      <c r="G4" s="29" t="s">
        <v>67</v>
      </c>
      <c r="H4" s="29" t="s">
        <v>68</v>
      </c>
      <c r="I4" s="29" t="s">
        <v>69</v>
      </c>
      <c r="J4" s="39" t="s">
        <v>70</v>
      </c>
      <c r="K4" s="131" t="s">
        <v>3</v>
      </c>
      <c r="L4" s="1"/>
    </row>
    <row r="5">
      <c r="A5" s="1"/>
      <c r="B5" s="67" t="s">
        <v>71</v>
      </c>
      <c r="C5" s="32">
        <v>45747</v>
      </c>
      <c r="D5" s="32">
        <v>45838</v>
      </c>
      <c r="E5" s="32">
        <v>45930</v>
      </c>
      <c r="F5" s="32">
        <v>46022</v>
      </c>
      <c r="G5" s="32">
        <v>46022</v>
      </c>
      <c r="H5" s="32">
        <v>46112</v>
      </c>
      <c r="I5" s="32">
        <v>46203</v>
      </c>
      <c r="J5" s="66">
        <v>46295</v>
      </c>
      <c r="K5" s="71"/>
      <c r="L5" s="1"/>
    </row>
    <row r="6">
      <c r="A6" s="1"/>
      <c r="B6" s="8" t="s">
        <v>72</v>
      </c>
      <c r="C6" s="20">
        <f>C5-EOMONTH(C5,-3)</f>
        <v>90</v>
      </c>
      <c r="D6" s="20">
        <f>D5-EOMONTH(D5,-3)</f>
        <v>91</v>
      </c>
      <c r="E6" s="20">
        <f>E5-EOMONTH(E5,-3)</f>
        <v>92</v>
      </c>
      <c r="F6" s="20">
        <f>F5-EOMONTH(F5,-3)</f>
        <v>92</v>
      </c>
      <c r="G6" s="20">
        <f>G5-DATE(YEAR(G5)-1,12,31)</f>
        <v>365</v>
      </c>
      <c r="H6" s="20">
        <f>H5-EOMONTH(H5,-3)</f>
        <v>90</v>
      </c>
      <c r="I6" s="20">
        <f>I5-EOMONTH(I5,-3)</f>
        <v>91</v>
      </c>
      <c r="J6" s="50">
        <f>J5-EOMONTH(J5,-3)</f>
        <v>92</v>
      </c>
      <c r="K6" s="7"/>
      <c r="L6" s="1"/>
    </row>
    <row r="7">
      <c r="A7" s="1"/>
      <c r="B7" s="1"/>
      <c r="C7" s="13"/>
      <c r="D7" s="13"/>
      <c r="E7" s="13"/>
      <c r="F7" s="13"/>
      <c r="G7" s="13"/>
      <c r="H7" s="13"/>
      <c r="I7" s="13"/>
      <c r="J7" s="27"/>
      <c r="K7" s="1"/>
      <c r="L7" s="1"/>
    </row>
    <row r="8">
      <c r="A8" s="1"/>
      <c r="B8" s="9" t="s">
        <v>262</v>
      </c>
      <c r="C8" s="25"/>
      <c r="D8" s="25"/>
      <c r="E8" s="25"/>
      <c r="F8" s="25"/>
      <c r="G8" s="25"/>
      <c r="H8" s="25"/>
      <c r="I8" s="25"/>
      <c r="J8" s="37"/>
      <c r="K8" s="1"/>
      <c r="L8" s="1"/>
    </row>
    <row r="9">
      <c r="A9" s="1"/>
      <c r="B9" s="1" t="s">
        <v>120</v>
      </c>
      <c r="C9" s="107">
        <f>C6</f>
        <v>90</v>
      </c>
      <c r="D9" s="107">
        <f>D6</f>
        <v>91</v>
      </c>
      <c r="E9" s="107">
        <f>E6</f>
        <v>92</v>
      </c>
      <c r="F9" s="107">
        <f>F6</f>
        <v>92</v>
      </c>
      <c r="G9" s="107">
        <f>G6</f>
        <v>365</v>
      </c>
      <c r="H9" s="107">
        <f>H6</f>
        <v>90</v>
      </c>
      <c r="I9" s="107">
        <f>I6</f>
        <v>91</v>
      </c>
      <c r="J9" s="113">
        <f>J6</f>
        <v>92</v>
      </c>
      <c r="K9" s="1"/>
      <c r="L9" s="1"/>
    </row>
    <row r="10">
      <c r="A10" s="1"/>
      <c r="B10" s="1" t="s">
        <v>99</v>
      </c>
      <c r="C10" s="35">
        <v>1790</v>
      </c>
      <c r="D10" s="35">
        <v>1815</v>
      </c>
      <c r="E10" s="35">
        <v>1870</v>
      </c>
      <c r="F10" s="35">
        <v>2082</v>
      </c>
      <c r="G10" s="5">
        <f>SUM(C10:F10)</f>
        <v>7557</v>
      </c>
      <c r="H10" s="35">
        <v>2184</v>
      </c>
      <c r="I10" s="35">
        <v>2273</v>
      </c>
      <c r="J10" s="46">
        <f>(I10-'Income Statement'!I48)*(1+J142)+'Income Statement'!J48</f>
        <v>2315.8532336040826</v>
      </c>
      <c r="K10" s="1" t="s">
        <v>94</v>
      </c>
      <c r="L10" s="1"/>
    </row>
    <row r="11">
      <c r="A11" s="1"/>
      <c r="B11" s="6" t="s">
        <v>84</v>
      </c>
      <c r="C11" s="26"/>
      <c r="D11" s="26"/>
      <c r="E11" s="26"/>
      <c r="F11" s="26"/>
      <c r="G11" s="26"/>
      <c r="H11" s="26">
        <f>IFERROR(IF(OR(C10&lt;=0,H10&lt;0),"n/m",H10/C10-1),"n/m")</f>
        <v>0.22011173184357546</v>
      </c>
      <c r="I11" s="26">
        <f>IFERROR(IF(OR(D10&lt;=0,I10&lt;0),"n/m",I10/D10-1),"n/m")</f>
        <v>0.2523415977961432</v>
      </c>
      <c r="J11" s="47">
        <f>IFERROR(IF(OR(E10&lt;=0,J10&lt;0),"n/m",J10/E10-1),"n/m")</f>
        <v>0.23842418909309226</v>
      </c>
      <c r="K11" s="1"/>
      <c r="L11" s="1"/>
    </row>
    <row r="12">
      <c r="A12" s="1"/>
      <c r="B12" s="6" t="s">
        <v>85</v>
      </c>
      <c r="C12" s="26"/>
      <c r="D12" s="26">
        <f>IFERROR(IF(OR(C10&lt;=0,D10&lt;0),"n/m",D10/C10-1),"n/m")</f>
        <v>0.013966480446927276</v>
      </c>
      <c r="E12" s="26">
        <f>IFERROR(IF(OR(D10&lt;=0,E10&lt;0),"n/m",E10/D10-1),"n/m")</f>
        <v>0.030303030303030276</v>
      </c>
      <c r="F12" s="26">
        <f>IFERROR(IF(OR(E10&lt;=0,F10&lt;0),"n/m",F10/E10-1),"n/m")</f>
        <v>0.11336898395721917</v>
      </c>
      <c r="G12" s="26"/>
      <c r="H12" s="26">
        <f>IFERROR(IF(OR(F10&lt;=0,H10&lt;0),"n/m",H10/F10-1),"n/m")</f>
        <v>0.04899135446685876</v>
      </c>
      <c r="I12" s="26">
        <f>IFERROR(IF(OR(H10&lt;=0,I10&lt;0),"n/m",I10/H10-1),"n/m")</f>
        <v>0.04075091575091583</v>
      </c>
      <c r="J12" s="47">
        <f>IFERROR(IF(OR(I10&lt;=0,J10&lt;0),"n/m",J10/I10-1),"n/m")</f>
        <v>0.01885316040654761</v>
      </c>
      <c r="K12" s="1"/>
      <c r="L12" s="1"/>
    </row>
    <row r="13">
      <c r="A13" s="1"/>
      <c r="B13" s="6" t="s">
        <v>86</v>
      </c>
      <c r="C13" s="26"/>
      <c r="D13" s="26"/>
      <c r="E13" s="26"/>
      <c r="F13" s="26"/>
      <c r="G13" s="26"/>
      <c r="H13" s="26" t="s">
        <v>78</v>
      </c>
      <c r="I13" s="26" t="s">
        <v>78</v>
      </c>
      <c r="J13" s="47" t="s">
        <v>78</v>
      </c>
      <c r="K13" s="1"/>
      <c r="L13" s="1"/>
    </row>
    <row r="14">
      <c r="A14" s="1"/>
      <c r="B14" s="6" t="s">
        <v>87</v>
      </c>
      <c r="C14" s="26"/>
      <c r="D14" s="26"/>
      <c r="E14" s="26"/>
      <c r="F14" s="26"/>
      <c r="G14" s="26"/>
      <c r="H14" s="26" t="s">
        <v>78</v>
      </c>
      <c r="I14" s="26" t="s">
        <v>78</v>
      </c>
      <c r="J14" s="47" t="s">
        <v>78</v>
      </c>
      <c r="K14" s="1"/>
      <c r="L14" s="1"/>
    </row>
    <row r="15">
      <c r="A15" s="1"/>
      <c r="B15" s="6" t="s">
        <v>88</v>
      </c>
      <c r="C15" s="26"/>
      <c r="D15" s="26"/>
      <c r="E15" s="26"/>
      <c r="F15" s="26"/>
      <c r="G15" s="26"/>
      <c r="H15" s="26" t="s">
        <v>81</v>
      </c>
      <c r="I15" s="26" t="s">
        <v>81</v>
      </c>
      <c r="J15" s="47" t="s">
        <v>81</v>
      </c>
      <c r="K15" s="1"/>
      <c r="L15" s="1"/>
    </row>
    <row r="16">
      <c r="A16" s="1"/>
      <c r="B16" s="1" t="s">
        <v>121</v>
      </c>
      <c r="C16" s="35">
        <v>275</v>
      </c>
      <c r="D16" s="35">
        <v>266</v>
      </c>
      <c r="E16" s="35">
        <v>273</v>
      </c>
      <c r="F16" s="35">
        <v>272</v>
      </c>
      <c r="G16" s="5">
        <f>SUM(C16:F16)</f>
        <v>1086</v>
      </c>
      <c r="H16" s="35">
        <v>274</v>
      </c>
      <c r="I16" s="35">
        <v>277</v>
      </c>
      <c r="J16" s="15">
        <f>I16*(1+J155)</f>
        <v>282.54</v>
      </c>
      <c r="K16" s="1" t="s">
        <v>94</v>
      </c>
      <c r="L16" s="1"/>
    </row>
    <row r="17">
      <c r="A17" s="1"/>
      <c r="B17" s="6" t="s">
        <v>84</v>
      </c>
      <c r="C17" s="26"/>
      <c r="D17" s="26"/>
      <c r="E17" s="26"/>
      <c r="F17" s="26"/>
      <c r="G17" s="26"/>
      <c r="H17" s="26">
        <f>IFERROR(IF(OR(C16&lt;=0,H16&lt;0),"n/m",H16/C16-1),"n/m")</f>
        <v>-0.0036363636363636598</v>
      </c>
      <c r="I17" s="26">
        <f>IFERROR(IF(OR(D16&lt;=0,I16&lt;0),"n/m",I16/D16-1),"n/m")</f>
        <v>0.041353383458646586</v>
      </c>
      <c r="J17" s="47">
        <f>IFERROR(IF(OR(E16&lt;=0,J16&lt;0),"n/m",J16/E16-1),"n/m")</f>
        <v>0.034945054945054954</v>
      </c>
      <c r="K17" s="1"/>
      <c r="L17" s="1"/>
    </row>
    <row r="18">
      <c r="A18" s="1"/>
      <c r="B18" s="6" t="s">
        <v>85</v>
      </c>
      <c r="C18" s="26"/>
      <c r="D18" s="26">
        <f>IFERROR(IF(OR(C16&lt;=0,D16&lt;0),"n/m",D16/C16-1),"n/m")</f>
        <v>-0.032727272727272716</v>
      </c>
      <c r="E18" s="26">
        <f>IFERROR(IF(OR(D16&lt;=0,E16&lt;0),"n/m",E16/D16-1),"n/m")</f>
        <v>0.026315789473684292</v>
      </c>
      <c r="F18" s="26">
        <f>IFERROR(IF(OR(E16&lt;=0,F16&lt;0),"n/m",F16/E16-1),"n/m")</f>
        <v>-0.00366300366300365</v>
      </c>
      <c r="G18" s="26"/>
      <c r="H18" s="26">
        <f>IFERROR(IF(OR(F16&lt;=0,H16&lt;0),"n/m",H16/F16-1),"n/m")</f>
        <v>0.007352941176470562</v>
      </c>
      <c r="I18" s="26">
        <f>IFERROR(IF(OR(H16&lt;=0,I16&lt;0),"n/m",I16/H16-1),"n/m")</f>
        <v>0.010948905109489093</v>
      </c>
      <c r="J18" s="47">
        <f>IFERROR(IF(OR(I16&lt;=0,J16&lt;0),"n/m",J16/I16-1),"n/m")</f>
        <v>0.020000000000000018</v>
      </c>
      <c r="K18" s="1"/>
      <c r="L18" s="1"/>
    </row>
    <row r="19">
      <c r="A19" s="1"/>
      <c r="B19" s="6" t="s">
        <v>86</v>
      </c>
      <c r="C19" s="26"/>
      <c r="D19" s="26"/>
      <c r="E19" s="26"/>
      <c r="F19" s="26"/>
      <c r="G19" s="26"/>
      <c r="H19" s="26" t="s">
        <v>78</v>
      </c>
      <c r="I19" s="26" t="s">
        <v>78</v>
      </c>
      <c r="J19" s="47" t="s">
        <v>78</v>
      </c>
      <c r="K19" s="1"/>
      <c r="L19" s="1"/>
    </row>
    <row r="20">
      <c r="A20" s="1"/>
      <c r="B20" s="6" t="s">
        <v>87</v>
      </c>
      <c r="C20" s="26"/>
      <c r="D20" s="26"/>
      <c r="E20" s="26"/>
      <c r="F20" s="26"/>
      <c r="G20" s="26"/>
      <c r="H20" s="26" t="s">
        <v>78</v>
      </c>
      <c r="I20" s="26" t="s">
        <v>78</v>
      </c>
      <c r="J20" s="47" t="s">
        <v>78</v>
      </c>
      <c r="K20" s="1"/>
      <c r="L20" s="1"/>
    </row>
    <row r="21">
      <c r="A21" s="1"/>
      <c r="B21" s="6" t="s">
        <v>88</v>
      </c>
      <c r="C21" s="26"/>
      <c r="D21" s="26"/>
      <c r="E21" s="26"/>
      <c r="F21" s="26"/>
      <c r="G21" s="26"/>
      <c r="H21" s="26" t="s">
        <v>81</v>
      </c>
      <c r="I21" s="26" t="s">
        <v>81</v>
      </c>
      <c r="J21" s="47" t="s">
        <v>81</v>
      </c>
      <c r="K21" s="1"/>
      <c r="L21" s="1"/>
    </row>
    <row r="22">
      <c r="A22" s="1"/>
      <c r="B22" s="1" t="s">
        <v>241</v>
      </c>
      <c r="C22" s="35">
        <v>201</v>
      </c>
      <c r="D22" s="35">
        <v>209</v>
      </c>
      <c r="E22" s="35">
        <v>214</v>
      </c>
      <c r="F22" s="35">
        <v>220</v>
      </c>
      <c r="G22" s="5">
        <f>SUM(C22:F22)</f>
        <v>844</v>
      </c>
      <c r="H22" s="35">
        <v>217</v>
      </c>
      <c r="I22" s="35">
        <v>229</v>
      </c>
      <c r="J22" s="15">
        <f>I22*(1+J142)</f>
        <v>233.50417070842832</v>
      </c>
      <c r="K22" s="1" t="s">
        <v>94</v>
      </c>
      <c r="L22" s="1"/>
    </row>
    <row r="23">
      <c r="A23" s="1"/>
      <c r="B23" s="6" t="s">
        <v>84</v>
      </c>
      <c r="C23" s="26"/>
      <c r="D23" s="26"/>
      <c r="E23" s="26"/>
      <c r="F23" s="26"/>
      <c r="G23" s="26"/>
      <c r="H23" s="26">
        <f>IFERROR(IF(OR(C22&lt;=0,H22&lt;0),"n/m",H22/C22-1),"n/m")</f>
        <v>0.07960199004975133</v>
      </c>
      <c r="I23" s="26">
        <f>IFERROR(IF(OR(D22&lt;=0,I22&lt;0),"n/m",I22/D22-1),"n/m")</f>
        <v>0.09569377990430628</v>
      </c>
      <c r="J23" s="47">
        <f>IFERROR(IF(OR(E22&lt;=0,J22&lt;0),"n/m",J22/E22-1),"n/m")</f>
        <v>0.09114098461882403</v>
      </c>
      <c r="K23" s="1"/>
      <c r="L23" s="1"/>
    </row>
    <row r="24">
      <c r="A24" s="1"/>
      <c r="B24" s="6" t="s">
        <v>85</v>
      </c>
      <c r="C24" s="26"/>
      <c r="D24" s="26">
        <f>IFERROR(IF(OR(C22&lt;=0,D22&lt;0),"n/m",D22/C22-1),"n/m")</f>
        <v>0.03980099502487566</v>
      </c>
      <c r="E24" s="26">
        <f>IFERROR(IF(OR(D22&lt;=0,E22&lt;0),"n/m",E22/D22-1),"n/m")</f>
        <v>0.02392344497607657</v>
      </c>
      <c r="F24" s="26">
        <f>IFERROR(IF(OR(E22&lt;=0,F22&lt;0),"n/m",F22/E22-1),"n/m")</f>
        <v>0.028037383177569986</v>
      </c>
      <c r="G24" s="26"/>
      <c r="H24" s="26">
        <f>IFERROR(IF(OR(F22&lt;=0,H22&lt;0),"n/m",H22/F22-1),"n/m")</f>
        <v>-0.013636363636363669</v>
      </c>
      <c r="I24" s="26">
        <f>IFERROR(IF(OR(H22&lt;=0,I22&lt;0),"n/m",I22/H22-1),"n/m")</f>
        <v>0.055299539170506895</v>
      </c>
      <c r="J24" s="47">
        <f>IFERROR(IF(OR(I22&lt;=0,J22&lt;0),"n/m",J22/I22-1),"n/m")</f>
        <v>0.0196688677223944</v>
      </c>
      <c r="K24" s="1"/>
      <c r="L24" s="1"/>
    </row>
    <row r="25">
      <c r="A25" s="1"/>
      <c r="B25" s="6" t="s">
        <v>86</v>
      </c>
      <c r="C25" s="26"/>
      <c r="D25" s="26"/>
      <c r="E25" s="26"/>
      <c r="F25" s="26"/>
      <c r="G25" s="26"/>
      <c r="H25" s="26" t="s">
        <v>78</v>
      </c>
      <c r="I25" s="26" t="s">
        <v>78</v>
      </c>
      <c r="J25" s="47" t="s">
        <v>78</v>
      </c>
      <c r="K25" s="1"/>
      <c r="L25" s="1"/>
    </row>
    <row r="26">
      <c r="A26" s="1"/>
      <c r="B26" s="6" t="s">
        <v>87</v>
      </c>
      <c r="C26" s="26"/>
      <c r="D26" s="26"/>
      <c r="E26" s="26"/>
      <c r="F26" s="26"/>
      <c r="G26" s="26"/>
      <c r="H26" s="26" t="s">
        <v>78</v>
      </c>
      <c r="I26" s="26" t="s">
        <v>78</v>
      </c>
      <c r="J26" s="47" t="s">
        <v>78</v>
      </c>
      <c r="K26" s="1"/>
      <c r="L26" s="1"/>
    </row>
    <row r="27">
      <c r="A27" s="1"/>
      <c r="B27" s="6" t="s">
        <v>88</v>
      </c>
      <c r="C27" s="26"/>
      <c r="D27" s="26"/>
      <c r="E27" s="26"/>
      <c r="F27" s="26"/>
      <c r="G27" s="26"/>
      <c r="H27" s="26" t="s">
        <v>81</v>
      </c>
      <c r="I27" s="26" t="s">
        <v>81</v>
      </c>
      <c r="J27" s="47" t="s">
        <v>81</v>
      </c>
      <c r="K27" s="1"/>
      <c r="L27" s="1"/>
    </row>
    <row r="28">
      <c r="A28" s="1"/>
      <c r="B28" s="1" t="s">
        <v>263</v>
      </c>
      <c r="C28" s="35">
        <v>765</v>
      </c>
      <c r="D28" s="35">
        <v>700</v>
      </c>
      <c r="E28" s="35">
        <v>826</v>
      </c>
      <c r="F28" s="35">
        <v>694</v>
      </c>
      <c r="G28" s="5">
        <f>SUM(C28:F28)</f>
        <v>2985</v>
      </c>
      <c r="H28" s="35">
        <v>844</v>
      </c>
      <c r="I28" s="35">
        <v>948</v>
      </c>
      <c r="J28" s="46">
        <f>E28*(1+Guidance!H22)</f>
        <v>867.3000000000001</v>
      </c>
      <c r="K28" s="1" t="s">
        <v>94</v>
      </c>
      <c r="L28" s="1"/>
    </row>
    <row r="29">
      <c r="A29" s="1"/>
      <c r="B29" s="6" t="s">
        <v>84</v>
      </c>
      <c r="C29" s="26"/>
      <c r="D29" s="26"/>
      <c r="E29" s="26"/>
      <c r="F29" s="26"/>
      <c r="G29" s="26"/>
      <c r="H29" s="26">
        <f>IFERROR(IF(OR(C28&lt;=0,H28&lt;0),"n/m",H28/C28-1),"n/m")</f>
        <v>0.10326797385620923</v>
      </c>
      <c r="I29" s="26">
        <f>IFERROR(IF(OR(D28&lt;=0,I28&lt;0),"n/m",I28/D28-1),"n/m")</f>
        <v>0.3542857142857143</v>
      </c>
      <c r="J29" s="47">
        <f>IFERROR(IF(OR(E28&lt;=0,J28&lt;0),"n/m",J28/E28-1),"n/m")</f>
        <v>0.050000000000000044</v>
      </c>
      <c r="K29" s="1"/>
      <c r="L29" s="1"/>
    </row>
    <row r="30">
      <c r="A30" s="1"/>
      <c r="B30" s="6" t="s">
        <v>85</v>
      </c>
      <c r="C30" s="26"/>
      <c r="D30" s="26">
        <f>IFERROR(IF(OR(C28&lt;=0,D28&lt;0),"n/m",D28/C28-1),"n/m")</f>
        <v>-0.08496732026143794</v>
      </c>
      <c r="E30" s="26">
        <f>IFERROR(IF(OR(D28&lt;=0,E28&lt;0),"n/m",E28/D28-1),"n/m")</f>
        <v>0.17999999999999994</v>
      </c>
      <c r="F30" s="26">
        <f>IFERROR(IF(OR(E28&lt;=0,F28&lt;0),"n/m",F28/E28-1),"n/m")</f>
        <v>-0.15980629539951574</v>
      </c>
      <c r="G30" s="26"/>
      <c r="H30" s="26">
        <f>IFERROR(IF(OR(F28&lt;=0,H28&lt;0),"n/m",H28/F28-1),"n/m")</f>
        <v>0.21613832853025938</v>
      </c>
      <c r="I30" s="26">
        <f>IFERROR(IF(OR(H28&lt;=0,I28&lt;0),"n/m",I28/H28-1),"n/m")</f>
        <v>0.12322274881516582</v>
      </c>
      <c r="J30" s="47">
        <f>IFERROR(IF(OR(I28&lt;=0,J28&lt;0),"n/m",J28/I28-1),"n/m")</f>
        <v>-0.08512658227848091</v>
      </c>
      <c r="K30" s="1"/>
      <c r="L30" s="1"/>
    </row>
    <row r="31">
      <c r="A31" s="1"/>
      <c r="B31" s="6" t="s">
        <v>86</v>
      </c>
      <c r="C31" s="26"/>
      <c r="D31" s="26"/>
      <c r="E31" s="26"/>
      <c r="F31" s="26"/>
      <c r="G31" s="26"/>
      <c r="H31" s="26" t="s">
        <v>78</v>
      </c>
      <c r="I31" s="26" t="s">
        <v>78</v>
      </c>
      <c r="J31" s="47" t="s">
        <v>78</v>
      </c>
      <c r="K31" s="1"/>
      <c r="L31" s="1"/>
    </row>
    <row r="32">
      <c r="A32" s="1"/>
      <c r="B32" s="6" t="s">
        <v>87</v>
      </c>
      <c r="C32" s="26"/>
      <c r="D32" s="26"/>
      <c r="E32" s="26"/>
      <c r="F32" s="26"/>
      <c r="G32" s="26"/>
      <c r="H32" s="26" t="s">
        <v>78</v>
      </c>
      <c r="I32" s="26" t="s">
        <v>78</v>
      </c>
      <c r="J32" s="47" t="s">
        <v>78</v>
      </c>
      <c r="K32" s="1"/>
      <c r="L32" s="1"/>
    </row>
    <row r="33">
      <c r="A33" s="1"/>
      <c r="B33" s="6" t="s">
        <v>88</v>
      </c>
      <c r="C33" s="26"/>
      <c r="D33" s="26"/>
      <c r="E33" s="26"/>
      <c r="F33" s="26"/>
      <c r="G33" s="26"/>
      <c r="H33" s="26" t="s">
        <v>81</v>
      </c>
      <c r="I33" s="26" t="s">
        <v>81</v>
      </c>
      <c r="J33" s="47" t="s">
        <v>81</v>
      </c>
      <c r="K33" s="1"/>
      <c r="L33" s="1"/>
    </row>
    <row r="34" ht="29.25">
      <c r="A34" s="1"/>
      <c r="B34" s="191" t="s">
        <v>264</v>
      </c>
      <c r="C34" s="35">
        <v>1358</v>
      </c>
      <c r="D34" s="35">
        <v>1335</v>
      </c>
      <c r="E34" s="35">
        <v>1367</v>
      </c>
      <c r="F34" s="35">
        <v>927</v>
      </c>
      <c r="G34" s="5">
        <f>SUM(C34:F34)</f>
        <v>4987</v>
      </c>
      <c r="H34" s="35">
        <v>1382</v>
      </c>
      <c r="I34" s="35">
        <v>1309</v>
      </c>
      <c r="J34" s="46">
        <f>J111-'Income Statement'!J48-J126</f>
        <v>1092.9</v>
      </c>
      <c r="K34" s="1" t="s">
        <v>94</v>
      </c>
      <c r="L34" s="1"/>
    </row>
    <row r="35">
      <c r="A35" s="1"/>
      <c r="B35" s="6" t="s">
        <v>84</v>
      </c>
      <c r="C35" s="26"/>
      <c r="D35" s="26"/>
      <c r="E35" s="26"/>
      <c r="F35" s="26"/>
      <c r="G35" s="26"/>
      <c r="H35" s="26">
        <f>IFERROR(IF(OR(C34&lt;=0,H34&lt;0),"n/m",H34/C34-1),"n/m")</f>
        <v>0.01767304860088359</v>
      </c>
      <c r="I35" s="26">
        <f>IFERROR(IF(OR(D34&lt;=0,I34&lt;0),"n/m",I34/D34-1),"n/m")</f>
        <v>-0.019475655430711614</v>
      </c>
      <c r="J35" s="47">
        <f>IFERROR(IF(OR(E34&lt;=0,J34&lt;0),"n/m",J34/E34-1),"n/m")</f>
        <v>-0.20051207022677386</v>
      </c>
      <c r="K35" s="1"/>
      <c r="L35" s="1"/>
    </row>
    <row r="36">
      <c r="A36" s="1"/>
      <c r="B36" s="6" t="s">
        <v>85</v>
      </c>
      <c r="C36" s="26"/>
      <c r="D36" s="26">
        <f>IFERROR(IF(OR(C34&lt;=0,D34&lt;0),"n/m",D34/C34-1),"n/m")</f>
        <v>-0.016936671575846884</v>
      </c>
      <c r="E36" s="26">
        <f>IFERROR(IF(OR(D34&lt;=0,E34&lt;0),"n/m",E34/D34-1),"n/m")</f>
        <v>0.02397003745318349</v>
      </c>
      <c r="F36" s="26">
        <f>IFERROR(IF(OR(E34&lt;=0,F34&lt;0),"n/m",F34/E34-1),"n/m")</f>
        <v>-0.32187271397220185</v>
      </c>
      <c r="G36" s="26"/>
      <c r="H36" s="26">
        <f>IFERROR(IF(OR(F34&lt;=0,H34&lt;0),"n/m",H34/F34-1),"n/m")</f>
        <v>0.49083063646170433</v>
      </c>
      <c r="I36" s="26">
        <f>IFERROR(IF(OR(H34&lt;=0,I34&lt;0),"n/m",I34/H34-1),"n/m")</f>
        <v>-0.05282199710564395</v>
      </c>
      <c r="J36" s="47">
        <f>IFERROR(IF(OR(I34&lt;=0,J34&lt;0),"n/m",J34/I34-1),"n/m")</f>
        <v>-0.16508785332314735</v>
      </c>
      <c r="K36" s="1"/>
      <c r="L36" s="1"/>
    </row>
    <row r="37">
      <c r="A37" s="1"/>
      <c r="B37" s="6" t="s">
        <v>86</v>
      </c>
      <c r="C37" s="26"/>
      <c r="D37" s="26"/>
      <c r="E37" s="26"/>
      <c r="F37" s="26"/>
      <c r="G37" s="26"/>
      <c r="H37" s="26" t="s">
        <v>78</v>
      </c>
      <c r="I37" s="26" t="s">
        <v>78</v>
      </c>
      <c r="J37" s="47" t="s">
        <v>78</v>
      </c>
      <c r="K37" s="1"/>
      <c r="L37" s="1"/>
    </row>
    <row r="38">
      <c r="A38" s="1"/>
      <c r="B38" s="6" t="s">
        <v>87</v>
      </c>
      <c r="C38" s="26"/>
      <c r="D38" s="26"/>
      <c r="E38" s="26"/>
      <c r="F38" s="26"/>
      <c r="G38" s="26"/>
      <c r="H38" s="26" t="s">
        <v>78</v>
      </c>
      <c r="I38" s="26" t="s">
        <v>78</v>
      </c>
      <c r="J38" s="47" t="s">
        <v>78</v>
      </c>
      <c r="K38" s="1"/>
      <c r="L38" s="1"/>
    </row>
    <row r="39">
      <c r="A39" s="1"/>
      <c r="B39" s="6" t="s">
        <v>88</v>
      </c>
      <c r="C39" s="26"/>
      <c r="D39" s="26"/>
      <c r="E39" s="26"/>
      <c r="F39" s="26"/>
      <c r="G39" s="26"/>
      <c r="H39" s="26" t="s">
        <v>81</v>
      </c>
      <c r="I39" s="26" t="s">
        <v>81</v>
      </c>
      <c r="J39" s="47" t="s">
        <v>81</v>
      </c>
      <c r="K39" s="1"/>
      <c r="L39" s="1"/>
    </row>
    <row r="40" ht="29.25">
      <c r="A40" s="1"/>
      <c r="B40" s="181" t="s">
        <v>265</v>
      </c>
      <c r="C40" s="35">
        <v>675</v>
      </c>
      <c r="D40" s="35">
        <v>348</v>
      </c>
      <c r="E40" s="35">
        <v>329</v>
      </c>
      <c r="F40" s="35">
        <v>421</v>
      </c>
      <c r="G40" s="5">
        <f>SUM(C40:F40)</f>
        <v>1773</v>
      </c>
      <c r="H40" s="35">
        <v>377</v>
      </c>
      <c r="I40" s="35">
        <v>389</v>
      </c>
      <c r="J40" s="15">
        <f>J124-J10-J16-J22-J28-J34</f>
        <v>354.58276052265364</v>
      </c>
      <c r="K40" s="1" t="s">
        <v>94</v>
      </c>
      <c r="L40" s="1"/>
    </row>
    <row r="41">
      <c r="A41" s="1"/>
      <c r="B41" s="6" t="s">
        <v>84</v>
      </c>
      <c r="C41" s="26"/>
      <c r="D41" s="26"/>
      <c r="E41" s="26"/>
      <c r="F41" s="26"/>
      <c r="G41" s="26"/>
      <c r="H41" s="26">
        <f>IFERROR(IF(OR(C40&lt;=0,H40&lt;0),"n/m",H40/C40-1),"n/m")</f>
        <v>-0.4414814814814815</v>
      </c>
      <c r="I41" s="26">
        <f>IFERROR(IF(OR(D40&lt;=0,I40&lt;0),"n/m",I40/D40-1),"n/m")</f>
        <v>0.11781609195402298</v>
      </c>
      <c r="J41" s="47">
        <f>IFERROR(IF(OR(E40&lt;=0,J40&lt;0),"n/m",J40/E40-1),"n/m")</f>
        <v>0.07775915052478322</v>
      </c>
      <c r="K41" s="1"/>
      <c r="L41" s="1"/>
    </row>
    <row r="42">
      <c r="A42" s="1"/>
      <c r="B42" s="6" t="s">
        <v>85</v>
      </c>
      <c r="C42" s="26"/>
      <c r="D42" s="26">
        <f>IFERROR(IF(OR(C40&lt;=0,D40&lt;0),"n/m",D40/C40-1),"n/m")</f>
        <v>-0.48444444444444446</v>
      </c>
      <c r="E42" s="26">
        <f>IFERROR(IF(OR(D40&lt;=0,E40&lt;0),"n/m",E40/D40-1),"n/m")</f>
        <v>-0.054597701149425304</v>
      </c>
      <c r="F42" s="26">
        <f>IFERROR(IF(OR(E40&lt;=0,F40&lt;0),"n/m",F40/E40-1),"n/m")</f>
        <v>0.27963525835866254</v>
      </c>
      <c r="G42" s="26"/>
      <c r="H42" s="26">
        <f>IFERROR(IF(OR(F40&lt;=0,H40&lt;0),"n/m",H40/F40-1),"n/m")</f>
        <v>-0.10451306413301664</v>
      </c>
      <c r="I42" s="26">
        <f>IFERROR(IF(OR(H40&lt;=0,I40&lt;0),"n/m",I40/H40-1),"n/m")</f>
        <v>0.03183023872679036</v>
      </c>
      <c r="J42" s="47">
        <f>IFERROR(IF(OR(I40&lt;=0,J40&lt;0),"n/m",J40/I40-1),"n/m")</f>
        <v>-0.08847619402916806</v>
      </c>
      <c r="K42" s="1"/>
      <c r="L42" s="1"/>
    </row>
    <row r="43">
      <c r="A43" s="1"/>
      <c r="B43" s="6" t="s">
        <v>86</v>
      </c>
      <c r="C43" s="26"/>
      <c r="D43" s="26"/>
      <c r="E43" s="26"/>
      <c r="F43" s="26"/>
      <c r="G43" s="26"/>
      <c r="H43" s="26" t="s">
        <v>78</v>
      </c>
      <c r="I43" s="26" t="s">
        <v>78</v>
      </c>
      <c r="J43" s="47" t="s">
        <v>78</v>
      </c>
      <c r="K43" s="1"/>
      <c r="L43" s="1"/>
    </row>
    <row r="44">
      <c r="A44" s="1"/>
      <c r="B44" s="6" t="s">
        <v>87</v>
      </c>
      <c r="C44" s="26"/>
      <c r="D44" s="26"/>
      <c r="E44" s="26"/>
      <c r="F44" s="26"/>
      <c r="G44" s="26"/>
      <c r="H44" s="26" t="s">
        <v>78</v>
      </c>
      <c r="I44" s="26" t="s">
        <v>78</v>
      </c>
      <c r="J44" s="47" t="s">
        <v>78</v>
      </c>
      <c r="K44" s="1"/>
      <c r="L44" s="1"/>
    </row>
    <row r="45">
      <c r="A45" s="1"/>
      <c r="B45" s="6" t="s">
        <v>88</v>
      </c>
      <c r="C45" s="26"/>
      <c r="D45" s="26"/>
      <c r="E45" s="26"/>
      <c r="F45" s="26"/>
      <c r="G45" s="26"/>
      <c r="H45" s="26" t="s">
        <v>81</v>
      </c>
      <c r="I45" s="26" t="s">
        <v>81</v>
      </c>
      <c r="J45" s="47" t="s">
        <v>81</v>
      </c>
      <c r="K45" s="1"/>
      <c r="L45" s="1"/>
    </row>
    <row r="46">
      <c r="A46" s="1"/>
      <c r="B46" s="9" t="s">
        <v>128</v>
      </c>
      <c r="C46" s="17">
        <f>C16+C22+C28+C34+C40</f>
        <v>3274</v>
      </c>
      <c r="D46" s="17">
        <f>D16+D22+D28+D34+D40</f>
        <v>2858</v>
      </c>
      <c r="E46" s="17">
        <f>E16+E22+E28+E34+E40</f>
        <v>3009</v>
      </c>
      <c r="F46" s="17">
        <f>F16+F22+F28+F34+F40</f>
        <v>2534</v>
      </c>
      <c r="G46" s="17">
        <f>G16+G22+G28+G34+G40</f>
        <v>11675</v>
      </c>
      <c r="H46" s="17">
        <f>H16+H22+H28+H34+H40</f>
        <v>3094</v>
      </c>
      <c r="I46" s="17">
        <f>I16+I22+I28+I34+I40</f>
        <v>3152</v>
      </c>
      <c r="J46" s="42">
        <f>J16+J22+J28+J34+J40</f>
        <v>2830.826931231082</v>
      </c>
      <c r="K46" s="1"/>
      <c r="L46" s="1"/>
    </row>
    <row r="47">
      <c r="A47" s="1"/>
      <c r="B47" s="6" t="s">
        <v>75</v>
      </c>
      <c r="C47" s="26"/>
      <c r="D47" s="26"/>
      <c r="E47" s="26"/>
      <c r="F47" s="26"/>
      <c r="G47" s="26"/>
      <c r="H47" s="26">
        <f>IFERROR(IF(OR(C46&lt;=0,H46&lt;0),"n/m",H46/C46-1),"n/m")</f>
        <v>-0.05497861942577886</v>
      </c>
      <c r="I47" s="26">
        <f>IFERROR(IF(OR(D46&lt;=0,I46&lt;0),"n/m",I46/D46-1),"n/m")</f>
        <v>0.10286913925822261</v>
      </c>
      <c r="J47" s="47">
        <f>IFERROR(IF(OR(E46&lt;=0,J46&lt;0),"n/m",J46/E46-1),"n/m")</f>
        <v>-0.059213382774648604</v>
      </c>
      <c r="K47" s="1"/>
      <c r="L47" s="1"/>
    </row>
    <row r="48">
      <c r="A48" s="1"/>
      <c r="B48" s="6" t="s">
        <v>76</v>
      </c>
      <c r="C48" s="26"/>
      <c r="D48" s="26">
        <f>IFERROR(IF(OR(C46&lt;=0,D46&lt;0),"n/m",D46/C46-1),"n/m")</f>
        <v>-0.1270616982284667</v>
      </c>
      <c r="E48" s="26">
        <f>IFERROR(IF(OR(D46&lt;=0,E46&lt;0),"n/m",E46/D46-1),"n/m")</f>
        <v>0.0528341497550735</v>
      </c>
      <c r="F48" s="26">
        <f>IFERROR(IF(OR(E46&lt;=0,F46&lt;0),"n/m",F46/E46-1),"n/m")</f>
        <v>-0.15785975407111996</v>
      </c>
      <c r="G48" s="26"/>
      <c r="H48" s="26">
        <f>IFERROR(IF(OR(F46&lt;=0,H46&lt;0),"n/m",H46/F46-1),"n/m")</f>
        <v>0.22099447513812165</v>
      </c>
      <c r="I48" s="26">
        <f>IFERROR(IF(OR(H46&lt;=0,I46&lt;0),"n/m",I46/H46-1),"n/m")</f>
        <v>0.018745959922430444</v>
      </c>
      <c r="J48" s="47">
        <f>IFERROR(IF(OR(I46&lt;=0,J46&lt;0),"n/m",J46/I46-1),"n/m")</f>
        <v>-0.10189500912719474</v>
      </c>
      <c r="K48" s="1"/>
      <c r="L48" s="1"/>
    </row>
    <row r="49">
      <c r="A49" s="1"/>
      <c r="B49" s="6" t="s">
        <v>77</v>
      </c>
      <c r="C49" s="26"/>
      <c r="D49" s="26"/>
      <c r="E49" s="26"/>
      <c r="F49" s="26"/>
      <c r="G49" s="26"/>
      <c r="H49" s="26" t="s">
        <v>78</v>
      </c>
      <c r="I49" s="26" t="s">
        <v>78</v>
      </c>
      <c r="J49" s="47" t="s">
        <v>78</v>
      </c>
      <c r="K49" s="1"/>
      <c r="L49" s="1"/>
    </row>
    <row r="50">
      <c r="A50" s="1"/>
      <c r="B50" s="6" t="s">
        <v>79</v>
      </c>
      <c r="C50" s="26"/>
      <c r="D50" s="26"/>
      <c r="E50" s="26"/>
      <c r="F50" s="26"/>
      <c r="G50" s="26"/>
      <c r="H50" s="26" t="s">
        <v>78</v>
      </c>
      <c r="I50" s="26" t="s">
        <v>78</v>
      </c>
      <c r="J50" s="47" t="s">
        <v>78</v>
      </c>
      <c r="K50" s="1"/>
      <c r="L50" s="1"/>
    </row>
    <row r="51">
      <c r="A51" s="1"/>
      <c r="B51" s="6" t="s">
        <v>80</v>
      </c>
      <c r="C51" s="26"/>
      <c r="D51" s="26"/>
      <c r="E51" s="26"/>
      <c r="F51" s="26"/>
      <c r="G51" s="26"/>
      <c r="H51" s="26" t="s">
        <v>81</v>
      </c>
      <c r="I51" s="26" t="s">
        <v>81</v>
      </c>
      <c r="J51" s="47" t="s">
        <v>81</v>
      </c>
      <c r="K51" s="1"/>
      <c r="L51" s="1"/>
    </row>
    <row r="52">
      <c r="A52" s="1"/>
      <c r="B52" s="9" t="s">
        <v>74</v>
      </c>
      <c r="C52" s="17">
        <f>C10+C46</f>
        <v>5064</v>
      </c>
      <c r="D52" s="17">
        <f>D10+D46</f>
        <v>4673</v>
      </c>
      <c r="E52" s="17">
        <f>E10+E46</f>
        <v>4879</v>
      </c>
      <c r="F52" s="17">
        <f>F10+F46</f>
        <v>4616</v>
      </c>
      <c r="G52" s="17">
        <f>G10+G46</f>
        <v>19232</v>
      </c>
      <c r="H52" s="17">
        <f>H10+H46</f>
        <v>5278</v>
      </c>
      <c r="I52" s="17">
        <f>I10+I46</f>
        <v>5425</v>
      </c>
      <c r="J52" s="42">
        <f>J10+J46</f>
        <v>5146.680164835165</v>
      </c>
      <c r="K52" s="1"/>
      <c r="L52" s="1"/>
    </row>
    <row r="53">
      <c r="A53" s="1"/>
      <c r="B53" s="6" t="s">
        <v>75</v>
      </c>
      <c r="C53" s="26"/>
      <c r="D53" s="26"/>
      <c r="E53" s="26"/>
      <c r="F53" s="26"/>
      <c r="G53" s="26"/>
      <c r="H53" s="26">
        <f>IFERROR(IF(OR(C52&lt;=0,H52&lt;0),"n/m",H52/C52-1),"n/m")</f>
        <v>0.042259083728278135</v>
      </c>
      <c r="I53" s="26">
        <f>IFERROR(IF(OR(D52&lt;=0,I52&lt;0),"n/m",I52/D52-1),"n/m")</f>
        <v>0.1609244596618875</v>
      </c>
      <c r="J53" s="47">
        <f>IFERROR(IF(OR(E52&lt;=0,J52&lt;0),"n/m",J52/E52-1),"n/m")</f>
        <v>0.05486373536281297</v>
      </c>
      <c r="K53" s="1"/>
      <c r="L53" s="1"/>
    </row>
    <row r="54">
      <c r="A54" s="1"/>
      <c r="B54" s="6" t="s">
        <v>76</v>
      </c>
      <c r="C54" s="26"/>
      <c r="D54" s="26">
        <f>IFERROR(IF(OR(C52&lt;=0,D52&lt;0),"n/m",D52/C52-1),"n/m")</f>
        <v>-0.07721169036334918</v>
      </c>
      <c r="E54" s="26">
        <f>IFERROR(IF(OR(D52&lt;=0,E52&lt;0),"n/m",E52/D52-1),"n/m")</f>
        <v>0.044083030173336146</v>
      </c>
      <c r="F54" s="26">
        <f>IFERROR(IF(OR(E52&lt;=0,F52&lt;0),"n/m",F52/E52-1),"n/m")</f>
        <v>-0.053904488624718194</v>
      </c>
      <c r="G54" s="26"/>
      <c r="H54" s="26">
        <f>IFERROR(IF(OR(F52&lt;=0,H52&lt;0),"n/m",H52/F52-1),"n/m")</f>
        <v>0.14341421143847488</v>
      </c>
      <c r="I54" s="26">
        <f>IFERROR(IF(OR(H52&lt;=0,I52&lt;0),"n/m",I52/H52-1),"n/m")</f>
        <v>0.027851458885941538</v>
      </c>
      <c r="J54" s="47">
        <f>IFERROR(IF(OR(I52&lt;=0,J52&lt;0),"n/m",J52/I52-1),"n/m")</f>
        <v>-0.0513031954220895</v>
      </c>
      <c r="K54" s="1"/>
      <c r="L54" s="1"/>
    </row>
    <row r="55">
      <c r="A55" s="1"/>
      <c r="B55" s="6" t="s">
        <v>77</v>
      </c>
      <c r="C55" s="26"/>
      <c r="D55" s="26"/>
      <c r="E55" s="26"/>
      <c r="F55" s="26"/>
      <c r="G55" s="26"/>
      <c r="H55" s="26" t="s">
        <v>78</v>
      </c>
      <c r="I55" s="26" t="s">
        <v>78</v>
      </c>
      <c r="J55" s="47" t="s">
        <v>78</v>
      </c>
      <c r="K55" s="1"/>
      <c r="L55" s="1"/>
    </row>
    <row r="56">
      <c r="A56" s="1"/>
      <c r="B56" s="6" t="s">
        <v>79</v>
      </c>
      <c r="C56" s="26"/>
      <c r="D56" s="26"/>
      <c r="E56" s="26"/>
      <c r="F56" s="26"/>
      <c r="G56" s="26"/>
      <c r="H56" s="26" t="s">
        <v>78</v>
      </c>
      <c r="I56" s="26" t="s">
        <v>78</v>
      </c>
      <c r="J56" s="47" t="s">
        <v>78</v>
      </c>
      <c r="K56" s="1"/>
      <c r="L56" s="1"/>
    </row>
    <row r="57">
      <c r="A57" s="1"/>
      <c r="B57" s="6" t="s">
        <v>80</v>
      </c>
      <c r="C57" s="26"/>
      <c r="D57" s="26"/>
      <c r="E57" s="26"/>
      <c r="F57" s="26"/>
      <c r="G57" s="26"/>
      <c r="H57" s="26" t="s">
        <v>81</v>
      </c>
      <c r="I57" s="26" t="s">
        <v>81</v>
      </c>
      <c r="J57" s="47" t="s">
        <v>81</v>
      </c>
      <c r="K57" s="1"/>
      <c r="L57" s="1"/>
    </row>
    <row r="58">
      <c r="A58" s="1"/>
      <c r="B58" s="1"/>
      <c r="C58" s="13"/>
      <c r="D58" s="13"/>
      <c r="E58" s="13"/>
      <c r="F58" s="13"/>
      <c r="G58" s="13"/>
      <c r="H58" s="13"/>
      <c r="I58" s="13"/>
      <c r="J58" s="27"/>
      <c r="K58" s="1"/>
      <c r="L58" s="1"/>
    </row>
    <row r="59">
      <c r="A59" s="1"/>
      <c r="B59" s="9" t="s">
        <v>129</v>
      </c>
      <c r="C59" s="25"/>
      <c r="D59" s="25"/>
      <c r="E59" s="25"/>
      <c r="F59" s="25"/>
      <c r="G59" s="25"/>
      <c r="H59" s="25"/>
      <c r="I59" s="25"/>
      <c r="J59" s="37"/>
      <c r="K59" s="1"/>
      <c r="L59" s="1"/>
    </row>
    <row r="60">
      <c r="A60" s="1"/>
      <c r="B60" s="1" t="s">
        <v>266</v>
      </c>
      <c r="C60" s="35">
        <v>618</v>
      </c>
      <c r="D60" s="35">
        <v>601</v>
      </c>
      <c r="E60" s="35">
        <v>647</v>
      </c>
      <c r="F60" s="35">
        <v>656</v>
      </c>
      <c r="G60" s="5">
        <f>SUM(C60:F60)</f>
        <v>2522</v>
      </c>
      <c r="H60" s="35">
        <v>700</v>
      </c>
      <c r="I60" s="35">
        <v>724</v>
      </c>
      <c r="J60" s="15">
        <f>J129*J151*J9/365</f>
        <v>746.5951648351647</v>
      </c>
      <c r="K60" s="1" t="s">
        <v>94</v>
      </c>
      <c r="L60" s="1"/>
    </row>
    <row r="61">
      <c r="A61" s="1"/>
      <c r="B61" s="6" t="s">
        <v>84</v>
      </c>
      <c r="C61" s="26"/>
      <c r="D61" s="26"/>
      <c r="E61" s="26"/>
      <c r="F61" s="26"/>
      <c r="G61" s="26"/>
      <c r="H61" s="26">
        <f>IFERROR(IF(OR(C60&lt;=0,H60&lt;0),"n/m",H60/C60-1),"n/m")</f>
        <v>0.1326860841423949</v>
      </c>
      <c r="I61" s="26">
        <f>IFERROR(IF(OR(D60&lt;=0,I60&lt;0),"n/m",I60/D60-1),"n/m")</f>
        <v>0.2046589018302829</v>
      </c>
      <c r="J61" s="47">
        <f>IFERROR(IF(OR(E60&lt;=0,J60&lt;0),"n/m",J60/E60-1),"n/m")</f>
        <v>0.1539337941810892</v>
      </c>
      <c r="K61" s="1"/>
      <c r="L61" s="1"/>
    </row>
    <row r="62">
      <c r="A62" s="1"/>
      <c r="B62" s="6" t="s">
        <v>85</v>
      </c>
      <c r="C62" s="26"/>
      <c r="D62" s="26">
        <f>IFERROR(IF(OR(C60&lt;=0,D60&lt;0),"n/m",D60/C60-1),"n/m")</f>
        <v>-0.027508090614886682</v>
      </c>
      <c r="E62" s="26">
        <f>IFERROR(IF(OR(D60&lt;=0,E60&lt;0),"n/m",E60/D60-1),"n/m")</f>
        <v>0.07653910149750409</v>
      </c>
      <c r="F62" s="26">
        <f>IFERROR(IF(OR(E60&lt;=0,F60&lt;0),"n/m",F60/E60-1),"n/m")</f>
        <v>0.01391035548686248</v>
      </c>
      <c r="G62" s="26"/>
      <c r="H62" s="26">
        <f>IFERROR(IF(OR(F60&lt;=0,H60&lt;0),"n/m",H60/F60-1),"n/m")</f>
        <v>0.06707317073170738</v>
      </c>
      <c r="I62" s="26">
        <f>IFERROR(IF(OR(H60&lt;=0,I60&lt;0),"n/m",I60/H60-1),"n/m")</f>
        <v>0.03428571428571425</v>
      </c>
      <c r="J62" s="47">
        <f>IFERROR(IF(OR(I60&lt;=0,J60&lt;0),"n/m",J60/I60-1),"n/m")</f>
        <v>0.031208791208791054</v>
      </c>
      <c r="K62" s="1"/>
      <c r="L62" s="1"/>
    </row>
    <row r="63">
      <c r="A63" s="1"/>
      <c r="B63" s="6" t="s">
        <v>86</v>
      </c>
      <c r="C63" s="26"/>
      <c r="D63" s="26"/>
      <c r="E63" s="26"/>
      <c r="F63" s="26"/>
      <c r="G63" s="26"/>
      <c r="H63" s="26" t="s">
        <v>78</v>
      </c>
      <c r="I63" s="26" t="s">
        <v>78</v>
      </c>
      <c r="J63" s="47" t="s">
        <v>78</v>
      </c>
      <c r="K63" s="1"/>
      <c r="L63" s="1"/>
    </row>
    <row r="64">
      <c r="A64" s="1"/>
      <c r="B64" s="6" t="s">
        <v>87</v>
      </c>
      <c r="C64" s="26"/>
      <c r="D64" s="26"/>
      <c r="E64" s="26"/>
      <c r="F64" s="26"/>
      <c r="G64" s="26"/>
      <c r="H64" s="26" t="s">
        <v>78</v>
      </c>
      <c r="I64" s="26" t="s">
        <v>78</v>
      </c>
      <c r="J64" s="47" t="s">
        <v>78</v>
      </c>
      <c r="K64" s="1"/>
      <c r="L64" s="1"/>
    </row>
    <row r="65">
      <c r="A65" s="1"/>
      <c r="B65" s="6" t="s">
        <v>88</v>
      </c>
      <c r="C65" s="26"/>
      <c r="D65" s="26"/>
      <c r="E65" s="26"/>
      <c r="F65" s="26"/>
      <c r="G65" s="26"/>
      <c r="H65" s="26" t="s">
        <v>81</v>
      </c>
      <c r="I65" s="26" t="s">
        <v>81</v>
      </c>
      <c r="J65" s="47" t="s">
        <v>81</v>
      </c>
      <c r="K65" s="1"/>
      <c r="L65" s="1"/>
    </row>
    <row r="66" ht="29.25">
      <c r="A66" s="1"/>
      <c r="B66" s="191" t="s">
        <v>267</v>
      </c>
      <c r="C66" s="35">
        <v>618</v>
      </c>
      <c r="D66" s="35">
        <v>611</v>
      </c>
      <c r="E66" s="35">
        <v>630</v>
      </c>
      <c r="F66" s="35">
        <v>648</v>
      </c>
      <c r="G66" s="5">
        <f>SUM(C66:F66)</f>
        <v>2507</v>
      </c>
      <c r="H66" s="35">
        <v>655</v>
      </c>
      <c r="I66" s="35">
        <v>661</v>
      </c>
      <c r="J66" s="15">
        <f>I66*(1+J155)</f>
        <v>674.22</v>
      </c>
      <c r="K66" s="1" t="s">
        <v>94</v>
      </c>
      <c r="L66" s="1"/>
    </row>
    <row r="67">
      <c r="A67" s="1"/>
      <c r="B67" s="6" t="s">
        <v>84</v>
      </c>
      <c r="C67" s="26"/>
      <c r="D67" s="26"/>
      <c r="E67" s="26"/>
      <c r="F67" s="26"/>
      <c r="G67" s="26"/>
      <c r="H67" s="26">
        <f>IFERROR(IF(OR(C66&lt;=0,H66&lt;0),"n/m",H66/C66-1),"n/m")</f>
        <v>0.0598705501618122</v>
      </c>
      <c r="I67" s="26">
        <f>IFERROR(IF(OR(D66&lt;=0,I66&lt;0),"n/m",I66/D66-1),"n/m")</f>
        <v>0.08183306055646478</v>
      </c>
      <c r="J67" s="47">
        <f>IFERROR(IF(OR(E66&lt;=0,J66&lt;0),"n/m",J66/E66-1),"n/m")</f>
        <v>0.07019047619047614</v>
      </c>
      <c r="K67" s="1"/>
      <c r="L67" s="1"/>
    </row>
    <row r="68">
      <c r="A68" s="1"/>
      <c r="B68" s="6" t="s">
        <v>85</v>
      </c>
      <c r="C68" s="26"/>
      <c r="D68" s="26">
        <f>IFERROR(IF(OR(C66&lt;=0,D66&lt;0),"n/m",D66/C66-1),"n/m")</f>
        <v>-0.01132686084142398</v>
      </c>
      <c r="E68" s="26">
        <f>IFERROR(IF(OR(D66&lt;=0,E66&lt;0),"n/m",E66/D66-1),"n/m")</f>
        <v>0.03109656301145658</v>
      </c>
      <c r="F68" s="26">
        <f>IFERROR(IF(OR(E66&lt;=0,F66&lt;0),"n/m",F66/E66-1),"n/m")</f>
        <v>0.02857142857142847</v>
      </c>
      <c r="G68" s="26"/>
      <c r="H68" s="26">
        <f>IFERROR(IF(OR(F66&lt;=0,H66&lt;0),"n/m",H66/F66-1),"n/m")</f>
        <v>0.010802469135802406</v>
      </c>
      <c r="I68" s="26">
        <f>IFERROR(IF(OR(H66&lt;=0,I66&lt;0),"n/m",I66/H66-1),"n/m")</f>
        <v>0.009160305343511421</v>
      </c>
      <c r="J68" s="47">
        <f>IFERROR(IF(OR(I66&lt;=0,J66&lt;0),"n/m",J66/I66-1),"n/m")</f>
        <v>0.020000000000000018</v>
      </c>
      <c r="K68" s="1"/>
      <c r="L68" s="1"/>
    </row>
    <row r="69">
      <c r="A69" s="1"/>
      <c r="B69" s="6" t="s">
        <v>86</v>
      </c>
      <c r="C69" s="26"/>
      <c r="D69" s="26"/>
      <c r="E69" s="26"/>
      <c r="F69" s="26"/>
      <c r="G69" s="26"/>
      <c r="H69" s="26" t="s">
        <v>78</v>
      </c>
      <c r="I69" s="26" t="s">
        <v>78</v>
      </c>
      <c r="J69" s="47" t="s">
        <v>78</v>
      </c>
      <c r="K69" s="1"/>
      <c r="L69" s="1"/>
    </row>
    <row r="70">
      <c r="A70" s="1"/>
      <c r="B70" s="6" t="s">
        <v>87</v>
      </c>
      <c r="C70" s="26"/>
      <c r="D70" s="26"/>
      <c r="E70" s="26"/>
      <c r="F70" s="26"/>
      <c r="G70" s="26"/>
      <c r="H70" s="26" t="s">
        <v>78</v>
      </c>
      <c r="I70" s="26" t="s">
        <v>78</v>
      </c>
      <c r="J70" s="47" t="s">
        <v>78</v>
      </c>
      <c r="K70" s="1"/>
      <c r="L70" s="1"/>
    </row>
    <row r="71">
      <c r="A71" s="1"/>
      <c r="B71" s="6" t="s">
        <v>88</v>
      </c>
      <c r="C71" s="26"/>
      <c r="D71" s="26"/>
      <c r="E71" s="26"/>
      <c r="F71" s="26"/>
      <c r="G71" s="26"/>
      <c r="H71" s="26" t="s">
        <v>81</v>
      </c>
      <c r="I71" s="26" t="s">
        <v>81</v>
      </c>
      <c r="J71" s="47" t="s">
        <v>81</v>
      </c>
      <c r="K71" s="1"/>
      <c r="L71" s="1"/>
    </row>
    <row r="72">
      <c r="A72" s="1"/>
      <c r="B72" s="1" t="s">
        <v>268</v>
      </c>
      <c r="C72" s="35">
        <v>534</v>
      </c>
      <c r="D72" s="35">
        <v>463</v>
      </c>
      <c r="E72" s="35">
        <v>554</v>
      </c>
      <c r="F72" s="35">
        <v>457</v>
      </c>
      <c r="G72" s="5">
        <f>SUM(C72:F72)</f>
        <v>2008</v>
      </c>
      <c r="H72" s="35">
        <v>602</v>
      </c>
      <c r="I72" s="35">
        <v>628</v>
      </c>
      <c r="J72" s="46">
        <f>E72*(1+Guidance!H22)</f>
        <v>581.7</v>
      </c>
      <c r="K72" s="1" t="s">
        <v>94</v>
      </c>
      <c r="L72" s="1"/>
    </row>
    <row r="73">
      <c r="A73" s="1"/>
      <c r="B73" s="6" t="s">
        <v>84</v>
      </c>
      <c r="C73" s="26"/>
      <c r="D73" s="26"/>
      <c r="E73" s="26"/>
      <c r="F73" s="26"/>
      <c r="G73" s="26"/>
      <c r="H73" s="26">
        <f>IFERROR(IF(OR(C72&lt;=0,H72&lt;0),"n/m",H72/C72-1),"n/m")</f>
        <v>0.12734082397003754</v>
      </c>
      <c r="I73" s="26">
        <f>IFERROR(IF(OR(D72&lt;=0,I72&lt;0),"n/m",I72/D72-1),"n/m")</f>
        <v>0.3563714902807775</v>
      </c>
      <c r="J73" s="47">
        <f>IFERROR(IF(OR(E72&lt;=0,J72&lt;0),"n/m",J72/E72-1),"n/m")</f>
        <v>0.050000000000000044</v>
      </c>
      <c r="K73" s="1"/>
      <c r="L73" s="1"/>
    </row>
    <row r="74">
      <c r="A74" s="1"/>
      <c r="B74" s="6" t="s">
        <v>85</v>
      </c>
      <c r="C74" s="26"/>
      <c r="D74" s="26">
        <f>IFERROR(IF(OR(C72&lt;=0,D72&lt;0),"n/m",D72/C72-1),"n/m")</f>
        <v>-0.13295880149812733</v>
      </c>
      <c r="E74" s="26">
        <f>IFERROR(IF(OR(D72&lt;=0,E72&lt;0),"n/m",E72/D72-1),"n/m")</f>
        <v>0.1965442764578833</v>
      </c>
      <c r="F74" s="26">
        <f>IFERROR(IF(OR(E72&lt;=0,F72&lt;0),"n/m",F72/E72-1),"n/m")</f>
        <v>-0.17509025270758127</v>
      </c>
      <c r="G74" s="26"/>
      <c r="H74" s="26">
        <f>IFERROR(IF(OR(F72&lt;=0,H72&lt;0),"n/m",H72/F72-1),"n/m")</f>
        <v>0.3172866520787747</v>
      </c>
      <c r="I74" s="26">
        <f>IFERROR(IF(OR(H72&lt;=0,I72&lt;0),"n/m",I72/H72-1),"n/m")</f>
        <v>0.04318936877076407</v>
      </c>
      <c r="J74" s="47">
        <f>IFERROR(IF(OR(I72&lt;=0,J72&lt;0),"n/m",J72/I72-1),"n/m")</f>
        <v>-0.07372611464968148</v>
      </c>
      <c r="K74" s="1"/>
      <c r="L74" s="1"/>
    </row>
    <row r="75">
      <c r="A75" s="1"/>
      <c r="B75" s="6" t="s">
        <v>86</v>
      </c>
      <c r="C75" s="26"/>
      <c r="D75" s="26"/>
      <c r="E75" s="26"/>
      <c r="F75" s="26"/>
      <c r="G75" s="26"/>
      <c r="H75" s="26" t="s">
        <v>78</v>
      </c>
      <c r="I75" s="26" t="s">
        <v>78</v>
      </c>
      <c r="J75" s="47" t="s">
        <v>78</v>
      </c>
      <c r="K75" s="1"/>
      <c r="L75" s="1"/>
    </row>
    <row r="76">
      <c r="A76" s="1"/>
      <c r="B76" s="6" t="s">
        <v>87</v>
      </c>
      <c r="C76" s="26"/>
      <c r="D76" s="26"/>
      <c r="E76" s="26"/>
      <c r="F76" s="26"/>
      <c r="G76" s="26"/>
      <c r="H76" s="26" t="s">
        <v>78</v>
      </c>
      <c r="I76" s="26" t="s">
        <v>78</v>
      </c>
      <c r="J76" s="47" t="s">
        <v>78</v>
      </c>
      <c r="K76" s="1"/>
      <c r="L76" s="1"/>
    </row>
    <row r="77">
      <c r="A77" s="1"/>
      <c r="B77" s="6" t="s">
        <v>88</v>
      </c>
      <c r="C77" s="26"/>
      <c r="D77" s="26"/>
      <c r="E77" s="26"/>
      <c r="F77" s="26"/>
      <c r="G77" s="26"/>
      <c r="H77" s="26" t="s">
        <v>81</v>
      </c>
      <c r="I77" s="26" t="s">
        <v>81</v>
      </c>
      <c r="J77" s="47" t="s">
        <v>81</v>
      </c>
      <c r="K77" s="1"/>
      <c r="L77" s="1"/>
    </row>
    <row r="78">
      <c r="A78" s="1"/>
      <c r="B78" s="9" t="s">
        <v>269</v>
      </c>
      <c r="C78" s="17">
        <f>C60+C66+C72</f>
        <v>1770</v>
      </c>
      <c r="D78" s="17">
        <f>D60+D66+D72</f>
        <v>1675</v>
      </c>
      <c r="E78" s="17">
        <f>E60+E66+E72</f>
        <v>1831</v>
      </c>
      <c r="F78" s="17">
        <f>F60+F66+F72</f>
        <v>1761</v>
      </c>
      <c r="G78" s="17">
        <f>G60+G66+G72</f>
        <v>7037</v>
      </c>
      <c r="H78" s="17">
        <f>H60+H66+H72</f>
        <v>1957</v>
      </c>
      <c r="I78" s="17">
        <f>I60+I66+I72</f>
        <v>2013</v>
      </c>
      <c r="J78" s="42">
        <f>J60+J66+J72</f>
        <v>2002.5151648351648</v>
      </c>
      <c r="K78" s="1"/>
      <c r="L78" s="1"/>
    </row>
    <row r="79">
      <c r="A79" s="1"/>
      <c r="B79" s="6" t="s">
        <v>75</v>
      </c>
      <c r="C79" s="26"/>
      <c r="D79" s="26"/>
      <c r="E79" s="26"/>
      <c r="F79" s="26"/>
      <c r="G79" s="26"/>
      <c r="H79" s="26">
        <f>IFERROR(IF(OR(C78&lt;=0,H78&lt;0),"n/m",H78/C78-1),"n/m")</f>
        <v>0.10564971751412422</v>
      </c>
      <c r="I79" s="26">
        <f>IFERROR(IF(OR(D78&lt;=0,I78&lt;0),"n/m",I78/D78-1),"n/m")</f>
        <v>0.2017910447761193</v>
      </c>
      <c r="J79" s="47">
        <f>IFERROR(IF(OR(E78&lt;=0,J78&lt;0),"n/m",J78/E78-1),"n/m")</f>
        <v>0.09367294638731005</v>
      </c>
      <c r="K79" s="1"/>
      <c r="L79" s="1"/>
    </row>
    <row r="80">
      <c r="A80" s="1"/>
      <c r="B80" s="6" t="s">
        <v>76</v>
      </c>
      <c r="C80" s="26"/>
      <c r="D80" s="26">
        <f>IFERROR(IF(OR(C78&lt;=0,D78&lt;0),"n/m",D78/C78-1),"n/m")</f>
        <v>-0.053672316384180796</v>
      </c>
      <c r="E80" s="26">
        <f>IFERROR(IF(OR(D78&lt;=0,E78&lt;0),"n/m",E78/D78-1),"n/m")</f>
        <v>0.0931343283582089</v>
      </c>
      <c r="F80" s="26">
        <f>IFERROR(IF(OR(E78&lt;=0,F78&lt;0),"n/m",F78/E78-1),"n/m")</f>
        <v>-0.03823047515019118</v>
      </c>
      <c r="G80" s="26"/>
      <c r="H80" s="26">
        <f>IFERROR(IF(OR(F78&lt;=0,H78&lt;0),"n/m",H78/F78-1),"n/m")</f>
        <v>0.11130039750141973</v>
      </c>
      <c r="I80" s="26">
        <f>IFERROR(IF(OR(H78&lt;=0,I78&lt;0),"n/m",I78/H78-1),"n/m")</f>
        <v>0.028615227388860465</v>
      </c>
      <c r="J80" s="47">
        <f>IFERROR(IF(OR(I78&lt;=0,J78&lt;0),"n/m",J78/I78-1),"n/m")</f>
        <v>-0.005208561929873401</v>
      </c>
      <c r="K80" s="1"/>
      <c r="L80" s="1"/>
    </row>
    <row r="81">
      <c r="A81" s="1"/>
      <c r="B81" s="6" t="s">
        <v>77</v>
      </c>
      <c r="C81" s="26"/>
      <c r="D81" s="26"/>
      <c r="E81" s="26"/>
      <c r="F81" s="26"/>
      <c r="G81" s="26"/>
      <c r="H81" s="26" t="s">
        <v>78</v>
      </c>
      <c r="I81" s="26" t="s">
        <v>78</v>
      </c>
      <c r="J81" s="47" t="s">
        <v>78</v>
      </c>
      <c r="K81" s="1"/>
      <c r="L81" s="1"/>
    </row>
    <row r="82">
      <c r="A82" s="1"/>
      <c r="B82" s="6" t="s">
        <v>79</v>
      </c>
      <c r="C82" s="26"/>
      <c r="D82" s="26"/>
      <c r="E82" s="26"/>
      <c r="F82" s="26"/>
      <c r="G82" s="26"/>
      <c r="H82" s="26" t="s">
        <v>78</v>
      </c>
      <c r="I82" s="26" t="s">
        <v>78</v>
      </c>
      <c r="J82" s="47" t="s">
        <v>78</v>
      </c>
      <c r="K82" s="1"/>
      <c r="L82" s="1"/>
    </row>
    <row r="83">
      <c r="A83" s="1"/>
      <c r="B83" s="6" t="s">
        <v>80</v>
      </c>
      <c r="C83" s="26"/>
      <c r="D83" s="26"/>
      <c r="E83" s="26"/>
      <c r="F83" s="26"/>
      <c r="G83" s="26"/>
      <c r="H83" s="26" t="s">
        <v>81</v>
      </c>
      <c r="I83" s="26" t="s">
        <v>81</v>
      </c>
      <c r="J83" s="47" t="s">
        <v>81</v>
      </c>
      <c r="K83" s="1"/>
      <c r="L83" s="1"/>
    </row>
    <row r="84">
      <c r="A84" s="1"/>
      <c r="B84" s="1" t="s">
        <v>270</v>
      </c>
      <c r="C84" s="35">
        <v>1449</v>
      </c>
      <c r="D84" s="35">
        <v>1212</v>
      </c>
      <c r="E84" s="35">
        <v>1186</v>
      </c>
      <c r="F84" s="35">
        <v>1236</v>
      </c>
      <c r="G84" s="5">
        <f>SUM(C84:F84)</f>
        <v>5083</v>
      </c>
      <c r="H84" s="35">
        <v>1146</v>
      </c>
      <c r="I84" s="35">
        <v>1197</v>
      </c>
      <c r="J84" s="15">
        <f>I84*(1+J90)</f>
        <v>1191.015</v>
      </c>
      <c r="K84" s="1" t="s">
        <v>94</v>
      </c>
      <c r="L84" s="1"/>
    </row>
    <row r="85">
      <c r="A85" s="1"/>
      <c r="B85" s="6" t="s">
        <v>84</v>
      </c>
      <c r="C85" s="26"/>
      <c r="D85" s="26"/>
      <c r="E85" s="26"/>
      <c r="F85" s="26"/>
      <c r="G85" s="26"/>
      <c r="H85" s="26">
        <f>IFERROR(IF(OR(C84&lt;=0,H84&lt;0),"n/m",H84/C84-1),"n/m")</f>
        <v>-0.2091097308488613</v>
      </c>
      <c r="I85" s="26">
        <f>IFERROR(IF(OR(D84&lt;=0,I84&lt;0),"n/m",I84/D84-1),"n/m")</f>
        <v>-0.012376237623762387</v>
      </c>
      <c r="J85" s="47">
        <f>IFERROR(IF(OR(E84&lt;=0,J84&lt;0),"n/m",J84/E84-1),"n/m")</f>
        <v>0.004228499156829768</v>
      </c>
      <c r="K85" s="1"/>
      <c r="L85" s="1"/>
    </row>
    <row r="86">
      <c r="A86" s="1"/>
      <c r="B86" s="6" t="s">
        <v>85</v>
      </c>
      <c r="C86" s="26"/>
      <c r="D86" s="26">
        <f>IFERROR(IF(OR(C84&lt;=0,D84&lt;0),"n/m",D84/C84-1),"n/m")</f>
        <v>-0.16356107660455488</v>
      </c>
      <c r="E86" s="26">
        <f>IFERROR(IF(OR(D84&lt;=0,E84&lt;0),"n/m",E84/D84-1),"n/m")</f>
        <v>-0.021452145214521434</v>
      </c>
      <c r="F86" s="26">
        <f>IFERROR(IF(OR(E84&lt;=0,F84&lt;0),"n/m",F84/E84-1),"n/m")</f>
        <v>0.042158516020236014</v>
      </c>
      <c r="G86" s="26"/>
      <c r="H86" s="26">
        <f>IFERROR(IF(OR(F84&lt;=0,H84&lt;0),"n/m",H84/F84-1),"n/m")</f>
        <v>-0.07281553398058249</v>
      </c>
      <c r="I86" s="26">
        <f>IFERROR(IF(OR(H84&lt;=0,I84&lt;0),"n/m",I84/H84-1),"n/m")</f>
        <v>0.04450261780104703</v>
      </c>
      <c r="J86" s="47">
        <f>IFERROR(IF(OR(I84&lt;=0,J84&lt;0),"n/m",J84/I84-1),"n/m")</f>
        <v>-0.004999999999999893</v>
      </c>
      <c r="K86" s="1"/>
      <c r="L86" s="1"/>
    </row>
    <row r="87">
      <c r="A87" s="1"/>
      <c r="B87" s="6" t="s">
        <v>86</v>
      </c>
      <c r="C87" s="26"/>
      <c r="D87" s="26"/>
      <c r="E87" s="26"/>
      <c r="F87" s="26"/>
      <c r="G87" s="26"/>
      <c r="H87" s="26" t="s">
        <v>78</v>
      </c>
      <c r="I87" s="26" t="s">
        <v>78</v>
      </c>
      <c r="J87" s="47" t="s">
        <v>78</v>
      </c>
      <c r="K87" s="1"/>
      <c r="L87" s="1"/>
    </row>
    <row r="88">
      <c r="A88" s="1"/>
      <c r="B88" s="6" t="s">
        <v>87</v>
      </c>
      <c r="C88" s="26"/>
      <c r="D88" s="26"/>
      <c r="E88" s="26"/>
      <c r="F88" s="26"/>
      <c r="G88" s="26"/>
      <c r="H88" s="26" t="s">
        <v>78</v>
      </c>
      <c r="I88" s="26" t="s">
        <v>78</v>
      </c>
      <c r="J88" s="47" t="s">
        <v>78</v>
      </c>
      <c r="K88" s="1"/>
      <c r="L88" s="1"/>
    </row>
    <row r="89">
      <c r="A89" s="1"/>
      <c r="B89" s="6" t="s">
        <v>88</v>
      </c>
      <c r="C89" s="26"/>
      <c r="D89" s="26"/>
      <c r="E89" s="26"/>
      <c r="F89" s="26"/>
      <c r="G89" s="26"/>
      <c r="H89" s="26" t="s">
        <v>81</v>
      </c>
      <c r="I89" s="26" t="s">
        <v>81</v>
      </c>
      <c r="J89" s="47" t="s">
        <v>81</v>
      </c>
      <c r="K89" s="1"/>
      <c r="L89" s="1"/>
    </row>
    <row r="90">
      <c r="A90" s="1"/>
      <c r="B90" s="6" t="s">
        <v>124</v>
      </c>
      <c r="C90" s="26"/>
      <c r="D90" s="26">
        <f>D84/C84-1</f>
        <v>-0.16356107660455488</v>
      </c>
      <c r="E90" s="26">
        <f>E84/D84-1</f>
        <v>-0.021452145214521434</v>
      </c>
      <c r="F90" s="26">
        <f>F84/E84-1</f>
        <v>0.042158516020236014</v>
      </c>
      <c r="G90" s="26"/>
      <c r="H90" s="26">
        <f>H84/F84-1</f>
        <v>-0.07281553398058249</v>
      </c>
      <c r="I90" s="26">
        <f>I84/H84-1</f>
        <v>0.04450261780104703</v>
      </c>
      <c r="J90" s="106">
        <v>-0.005</v>
      </c>
      <c r="K90" s="1"/>
      <c r="L90" s="1"/>
    </row>
    <row r="91">
      <c r="A91" s="1"/>
      <c r="B91" s="1" t="s">
        <v>271</v>
      </c>
      <c r="C91" s="35">
        <v>1382</v>
      </c>
      <c r="D91" s="35">
        <v>1391</v>
      </c>
      <c r="E91" s="35">
        <v>1355</v>
      </c>
      <c r="F91" s="35">
        <v>1164</v>
      </c>
      <c r="G91" s="5">
        <f>SUM(C91:F91)</f>
        <v>5292</v>
      </c>
      <c r="H91" s="35">
        <v>1583</v>
      </c>
      <c r="I91" s="35">
        <v>1536</v>
      </c>
      <c r="J91" s="15">
        <f>E91*(1+J97)</f>
        <v>1395.65</v>
      </c>
      <c r="K91" s="1" t="s">
        <v>94</v>
      </c>
      <c r="L91" s="1"/>
    </row>
    <row r="92">
      <c r="A92" s="1"/>
      <c r="B92" s="6" t="s">
        <v>84</v>
      </c>
      <c r="C92" s="26"/>
      <c r="D92" s="26"/>
      <c r="E92" s="26"/>
      <c r="F92" s="26"/>
      <c r="G92" s="26"/>
      <c r="H92" s="26">
        <f>IFERROR(IF(OR(C91&lt;=0,H91&lt;0),"n/m",H91/C91-1),"n/m")</f>
        <v>0.1454413892908828</v>
      </c>
      <c r="I92" s="26">
        <f>IFERROR(IF(OR(D91&lt;=0,I91&lt;0),"n/m",I91/D91-1),"n/m")</f>
        <v>0.10424155283968362</v>
      </c>
      <c r="J92" s="47">
        <f>IFERROR(IF(OR(E91&lt;=0,J91&lt;0),"n/m",J91/E91-1),"n/m")</f>
        <v>0.030000000000000027</v>
      </c>
      <c r="K92" s="1"/>
      <c r="L92" s="1"/>
    </row>
    <row r="93">
      <c r="A93" s="1"/>
      <c r="B93" s="6" t="s">
        <v>85</v>
      </c>
      <c r="C93" s="26"/>
      <c r="D93" s="26">
        <f>IFERROR(IF(OR(C91&lt;=0,D91&lt;0),"n/m",D91/C91-1),"n/m")</f>
        <v>0.0065123010130245795</v>
      </c>
      <c r="E93" s="26">
        <f>IFERROR(IF(OR(D91&lt;=0,E91&lt;0),"n/m",E91/D91-1),"n/m")</f>
        <v>-0.025880661394680038</v>
      </c>
      <c r="F93" s="26">
        <f>IFERROR(IF(OR(E91&lt;=0,F91&lt;0),"n/m",F91/E91-1),"n/m")</f>
        <v>-0.14095940959409592</v>
      </c>
      <c r="G93" s="26"/>
      <c r="H93" s="26">
        <f>IFERROR(IF(OR(F91&lt;=0,H91&lt;0),"n/m",H91/F91-1),"n/m")</f>
        <v>0.35996563573883167</v>
      </c>
      <c r="I93" s="26">
        <f>IFERROR(IF(OR(H91&lt;=0,I91&lt;0),"n/m",I91/H91-1),"n/m")</f>
        <v>-0.02969046114971574</v>
      </c>
      <c r="J93" s="47">
        <f>IFERROR(IF(OR(I91&lt;=0,J91&lt;0),"n/m",J91/I91-1),"n/m")</f>
        <v>-0.09137369791666661</v>
      </c>
      <c r="K93" s="1"/>
      <c r="L93" s="1"/>
    </row>
    <row r="94">
      <c r="A94" s="1"/>
      <c r="B94" s="6" t="s">
        <v>86</v>
      </c>
      <c r="C94" s="26"/>
      <c r="D94" s="26"/>
      <c r="E94" s="26"/>
      <c r="F94" s="26"/>
      <c r="G94" s="26"/>
      <c r="H94" s="26" t="s">
        <v>78</v>
      </c>
      <c r="I94" s="26" t="s">
        <v>78</v>
      </c>
      <c r="J94" s="47" t="s">
        <v>78</v>
      </c>
      <c r="K94" s="1"/>
      <c r="L94" s="1"/>
    </row>
    <row r="95">
      <c r="A95" s="1"/>
      <c r="B95" s="6" t="s">
        <v>87</v>
      </c>
      <c r="C95" s="26"/>
      <c r="D95" s="26"/>
      <c r="E95" s="26"/>
      <c r="F95" s="26"/>
      <c r="G95" s="26"/>
      <c r="H95" s="26" t="s">
        <v>78</v>
      </c>
      <c r="I95" s="26" t="s">
        <v>78</v>
      </c>
      <c r="J95" s="47" t="s">
        <v>78</v>
      </c>
      <c r="K95" s="1"/>
      <c r="L95" s="1"/>
    </row>
    <row r="96">
      <c r="A96" s="1"/>
      <c r="B96" s="6" t="s">
        <v>88</v>
      </c>
      <c r="C96" s="26"/>
      <c r="D96" s="26"/>
      <c r="E96" s="26"/>
      <c r="F96" s="26"/>
      <c r="G96" s="26"/>
      <c r="H96" s="26" t="s">
        <v>81</v>
      </c>
      <c r="I96" s="26" t="s">
        <v>81</v>
      </c>
      <c r="J96" s="47" t="s">
        <v>81</v>
      </c>
      <c r="K96" s="1"/>
      <c r="L96" s="1"/>
    </row>
    <row r="97">
      <c r="A97" s="1"/>
      <c r="B97" s="6" t="s">
        <v>272</v>
      </c>
      <c r="C97" s="26"/>
      <c r="D97" s="26"/>
      <c r="E97" s="26"/>
      <c r="F97" s="26"/>
      <c r="G97" s="26"/>
      <c r="H97" s="26">
        <f>H91/C91-1</f>
        <v>0.1454413892908828</v>
      </c>
      <c r="I97" s="26">
        <f>I91/D91-1</f>
        <v>0.10424155283968362</v>
      </c>
      <c r="J97" s="106">
        <v>0.03</v>
      </c>
      <c r="K97" s="1"/>
      <c r="L97" s="1"/>
    </row>
    <row r="98">
      <c r="A98" s="1"/>
      <c r="B98" s="1" t="s">
        <v>273</v>
      </c>
      <c r="C98" s="35">
        <v>448</v>
      </c>
      <c r="D98" s="35">
        <v>387</v>
      </c>
      <c r="E98" s="35">
        <v>450</v>
      </c>
      <c r="F98" s="35">
        <v>453</v>
      </c>
      <c r="G98" s="5">
        <f>SUM(C98:F98)</f>
        <v>1738</v>
      </c>
      <c r="H98" s="35">
        <v>543</v>
      </c>
      <c r="I98" s="35">
        <v>635</v>
      </c>
      <c r="J98" s="15">
        <f>E98*(1+J104)</f>
        <v>517.5</v>
      </c>
      <c r="K98" s="1" t="s">
        <v>94</v>
      </c>
      <c r="L98" s="1"/>
    </row>
    <row r="99">
      <c r="A99" s="1"/>
      <c r="B99" s="6" t="s">
        <v>84</v>
      </c>
      <c r="C99" s="26"/>
      <c r="D99" s="26"/>
      <c r="E99" s="26"/>
      <c r="F99" s="26"/>
      <c r="G99" s="26"/>
      <c r="H99" s="26">
        <f>IFERROR(IF(OR(C98&lt;=0,H98&lt;0),"n/m",H98/C98-1),"n/m")</f>
        <v>0.2120535714285714</v>
      </c>
      <c r="I99" s="26">
        <f>IFERROR(IF(OR(D98&lt;=0,I98&lt;0),"n/m",I98/D98-1),"n/m")</f>
        <v>0.6408268733850129</v>
      </c>
      <c r="J99" s="47">
        <f>IFERROR(IF(OR(E98&lt;=0,J98&lt;0),"n/m",J98/E98-1),"n/m")</f>
        <v>0.1499999999999999</v>
      </c>
      <c r="K99" s="1"/>
      <c r="L99" s="1"/>
    </row>
    <row r="100">
      <c r="A100" s="1"/>
      <c r="B100" s="6" t="s">
        <v>85</v>
      </c>
      <c r="C100" s="26"/>
      <c r="D100" s="26">
        <f>IFERROR(IF(OR(C98&lt;=0,D98&lt;0),"n/m",D98/C98-1),"n/m")</f>
        <v>-0.1361607142857143</v>
      </c>
      <c r="E100" s="26">
        <f>IFERROR(IF(OR(D98&lt;=0,E98&lt;0),"n/m",E98/D98-1),"n/m")</f>
        <v>0.16279069767441867</v>
      </c>
      <c r="F100" s="26">
        <f>IFERROR(IF(OR(E98&lt;=0,F98&lt;0),"n/m",F98/E98-1),"n/m")</f>
        <v>0.006666666666666599</v>
      </c>
      <c r="G100" s="26"/>
      <c r="H100" s="26">
        <f>IFERROR(IF(OR(F98&lt;=0,H98&lt;0),"n/m",H98/F98-1),"n/m")</f>
        <v>0.19867549668874163</v>
      </c>
      <c r="I100" s="26">
        <f>IFERROR(IF(OR(H98&lt;=0,I98&lt;0),"n/m",I98/H98-1),"n/m")</f>
        <v>0.1694290976058932</v>
      </c>
      <c r="J100" s="47">
        <f>IFERROR(IF(OR(I98&lt;=0,J98&lt;0),"n/m",J98/I98-1),"n/m")</f>
        <v>-0.18503937007874016</v>
      </c>
      <c r="K100" s="1"/>
      <c r="L100" s="1"/>
    </row>
    <row r="101">
      <c r="A101" s="1"/>
      <c r="B101" s="6" t="s">
        <v>86</v>
      </c>
      <c r="C101" s="26"/>
      <c r="D101" s="26"/>
      <c r="E101" s="26"/>
      <c r="F101" s="26"/>
      <c r="G101" s="26"/>
      <c r="H101" s="26" t="s">
        <v>78</v>
      </c>
      <c r="I101" s="26" t="s">
        <v>78</v>
      </c>
      <c r="J101" s="47" t="s">
        <v>78</v>
      </c>
      <c r="K101" s="1"/>
      <c r="L101" s="1"/>
    </row>
    <row r="102">
      <c r="A102" s="1"/>
      <c r="B102" s="6" t="s">
        <v>87</v>
      </c>
      <c r="C102" s="26"/>
      <c r="D102" s="26"/>
      <c r="E102" s="26"/>
      <c r="F102" s="26"/>
      <c r="G102" s="26"/>
      <c r="H102" s="26" t="s">
        <v>78</v>
      </c>
      <c r="I102" s="26" t="s">
        <v>78</v>
      </c>
      <c r="J102" s="47" t="s">
        <v>78</v>
      </c>
      <c r="K102" s="1"/>
      <c r="L102" s="1"/>
    </row>
    <row r="103">
      <c r="A103" s="1"/>
      <c r="B103" s="6" t="s">
        <v>88</v>
      </c>
      <c r="C103" s="26"/>
      <c r="D103" s="26"/>
      <c r="E103" s="26"/>
      <c r="F103" s="26"/>
      <c r="G103" s="26"/>
      <c r="H103" s="26" t="s">
        <v>81</v>
      </c>
      <c r="I103" s="26" t="s">
        <v>81</v>
      </c>
      <c r="J103" s="47" t="s">
        <v>81</v>
      </c>
      <c r="K103" s="1"/>
      <c r="L103" s="1"/>
    </row>
    <row r="104" ht="29.25">
      <c r="A104" s="1"/>
      <c r="B104" s="194" t="s">
        <v>274</v>
      </c>
      <c r="C104" s="26"/>
      <c r="D104" s="26"/>
      <c r="E104" s="26"/>
      <c r="F104" s="26"/>
      <c r="G104" s="26"/>
      <c r="H104" s="26">
        <f>H98/C98-1</f>
        <v>0.2120535714285714</v>
      </c>
      <c r="I104" s="26">
        <f>I98/D98-1</f>
        <v>0.6408268733850129</v>
      </c>
      <c r="J104" s="106">
        <v>0.15</v>
      </c>
      <c r="K104" s="1"/>
      <c r="L104" s="1"/>
    </row>
    <row r="105" ht="29.25">
      <c r="A105" s="1"/>
      <c r="B105" s="191" t="s">
        <v>275</v>
      </c>
      <c r="C105" s="35">
        <v>-3</v>
      </c>
      <c r="D105" s="35">
        <v>1</v>
      </c>
      <c r="E105" s="35">
        <v>48</v>
      </c>
      <c r="F105" s="35">
        <v>-15</v>
      </c>
      <c r="G105" s="5">
        <f>SUM(C105:F105)</f>
        <v>31</v>
      </c>
      <c r="H105" s="35">
        <v>47</v>
      </c>
      <c r="I105" s="35">
        <v>35</v>
      </c>
      <c r="J105" s="38">
        <v>30</v>
      </c>
      <c r="K105" s="1" t="s">
        <v>94</v>
      </c>
      <c r="L105" s="1"/>
    </row>
    <row r="106">
      <c r="A106" s="1"/>
      <c r="B106" s="6" t="s">
        <v>84</v>
      </c>
      <c r="C106" s="26"/>
      <c r="D106" s="26"/>
      <c r="E106" s="26"/>
      <c r="F106" s="26"/>
      <c r="G106" s="26"/>
      <c r="H106" s="26" t="str">
        <f>IFERROR(IF(OR(C105&lt;=0,H105&lt;0),"n/m",H105/C105-1),"n/m")</f>
        <v>n/m</v>
      </c>
      <c r="I106" s="26">
        <f>IFERROR(IF(OR(D105&lt;=0,I105&lt;0),"n/m",I105/D105-1),"n/m")</f>
        <v>34</v>
      </c>
      <c r="J106" s="47">
        <f>IFERROR(IF(OR(E105&lt;=0,J105&lt;0),"n/m",J105/E105-1),"n/m")</f>
        <v>-0.375</v>
      </c>
      <c r="K106" s="1"/>
      <c r="L106" s="1"/>
    </row>
    <row r="107">
      <c r="A107" s="1"/>
      <c r="B107" s="6" t="s">
        <v>85</v>
      </c>
      <c r="C107" s="26"/>
      <c r="D107" s="26" t="str">
        <f>IFERROR(IF(OR(C105&lt;=0,D105&lt;0),"n/m",D105/C105-1),"n/m")</f>
        <v>n/m</v>
      </c>
      <c r="E107" s="26">
        <f>IFERROR(IF(OR(D105&lt;=0,E105&lt;0),"n/m",E105/D105-1),"n/m")</f>
        <v>47</v>
      </c>
      <c r="F107" s="26" t="str">
        <f>IFERROR(IF(OR(E105&lt;=0,F105&lt;0),"n/m",F105/E105-1),"n/m")</f>
        <v>n/m</v>
      </c>
      <c r="G107" s="26"/>
      <c r="H107" s="26" t="str">
        <f>IFERROR(IF(OR(F105&lt;=0,H105&lt;0),"n/m",H105/F105-1),"n/m")</f>
        <v>n/m</v>
      </c>
      <c r="I107" s="26">
        <f>IFERROR(IF(OR(H105&lt;=0,I105&lt;0),"n/m",I105/H105-1),"n/m")</f>
        <v>-0.25531914893617025</v>
      </c>
      <c r="J107" s="47">
        <f>IFERROR(IF(OR(I105&lt;=0,J105&lt;0),"n/m",J105/I105-1),"n/m")</f>
        <v>-0.1428571428571429</v>
      </c>
      <c r="K107" s="1"/>
      <c r="L107" s="1"/>
    </row>
    <row r="108">
      <c r="A108" s="1"/>
      <c r="B108" s="6" t="s">
        <v>86</v>
      </c>
      <c r="C108" s="26"/>
      <c r="D108" s="26"/>
      <c r="E108" s="26"/>
      <c r="F108" s="26"/>
      <c r="G108" s="26"/>
      <c r="H108" s="26" t="s">
        <v>78</v>
      </c>
      <c r="I108" s="26" t="s">
        <v>78</v>
      </c>
      <c r="J108" s="47" t="s">
        <v>78</v>
      </c>
      <c r="K108" s="1"/>
      <c r="L108" s="1"/>
    </row>
    <row r="109">
      <c r="A109" s="1"/>
      <c r="B109" s="6" t="s">
        <v>87</v>
      </c>
      <c r="C109" s="26"/>
      <c r="D109" s="26"/>
      <c r="E109" s="26"/>
      <c r="F109" s="26"/>
      <c r="G109" s="26"/>
      <c r="H109" s="26" t="s">
        <v>78</v>
      </c>
      <c r="I109" s="26" t="s">
        <v>78</v>
      </c>
      <c r="J109" s="47" t="s">
        <v>78</v>
      </c>
      <c r="K109" s="1"/>
      <c r="L109" s="1"/>
    </row>
    <row r="110">
      <c r="A110" s="1"/>
      <c r="B110" s="6" t="s">
        <v>88</v>
      </c>
      <c r="C110" s="26"/>
      <c r="D110" s="26"/>
      <c r="E110" s="26"/>
      <c r="F110" s="26"/>
      <c r="G110" s="26"/>
      <c r="H110" s="26" t="s">
        <v>81</v>
      </c>
      <c r="I110" s="26" t="s">
        <v>81</v>
      </c>
      <c r="J110" s="47" t="s">
        <v>81</v>
      </c>
      <c r="K110" s="1"/>
      <c r="L110" s="1"/>
    </row>
    <row r="111">
      <c r="A111" s="1"/>
      <c r="B111" s="9" t="s">
        <v>276</v>
      </c>
      <c r="C111" s="17">
        <f>C91+C98+C105</f>
        <v>1827</v>
      </c>
      <c r="D111" s="17">
        <f>D91+D98+D105</f>
        <v>1779</v>
      </c>
      <c r="E111" s="17">
        <f>E91+E98+E105</f>
        <v>1853</v>
      </c>
      <c r="F111" s="17">
        <f>F91+F98+F105</f>
        <v>1602</v>
      </c>
      <c r="G111" s="17">
        <f>G91+G98+G105</f>
        <v>7061</v>
      </c>
      <c r="H111" s="17">
        <f>H91+H98+H105</f>
        <v>2173</v>
      </c>
      <c r="I111" s="17">
        <f>I91+I98+I105</f>
        <v>2206</v>
      </c>
      <c r="J111" s="42">
        <f>J91+J98+J105</f>
        <v>1943.15</v>
      </c>
      <c r="K111" s="1"/>
      <c r="L111" s="1"/>
    </row>
    <row r="112">
      <c r="A112" s="1"/>
      <c r="B112" s="6" t="s">
        <v>75</v>
      </c>
      <c r="C112" s="26"/>
      <c r="D112" s="26"/>
      <c r="E112" s="26"/>
      <c r="F112" s="26"/>
      <c r="G112" s="26"/>
      <c r="H112" s="26">
        <f>IFERROR(IF(OR(C111&lt;=0,H111&lt;0),"n/m",H111/C111-1),"n/m")</f>
        <v>0.18938149972632723</v>
      </c>
      <c r="I112" s="26">
        <f>IFERROR(IF(OR(D111&lt;=0,I111&lt;0),"n/m",I111/D111-1),"n/m")</f>
        <v>0.24002248454187747</v>
      </c>
      <c r="J112" s="47">
        <f>IFERROR(IF(OR(E111&lt;=0,J111&lt;0),"n/m",J111/E111-1),"n/m")</f>
        <v>0.048650836481381576</v>
      </c>
      <c r="K112" s="1"/>
      <c r="L112" s="1"/>
    </row>
    <row r="113">
      <c r="A113" s="1"/>
      <c r="B113" s="6" t="s">
        <v>76</v>
      </c>
      <c r="C113" s="26"/>
      <c r="D113" s="26">
        <f>IFERROR(IF(OR(C111&lt;=0,D111&lt;0),"n/m",D111/C111-1),"n/m")</f>
        <v>-0.026272577996715896</v>
      </c>
      <c r="E113" s="26">
        <f>IFERROR(IF(OR(D111&lt;=0,E111&lt;0),"n/m",E111/D111-1),"n/m")</f>
        <v>0.04159640247329954</v>
      </c>
      <c r="F113" s="26">
        <f>IFERROR(IF(OR(E111&lt;=0,F111&lt;0),"n/m",F111/E111-1),"n/m")</f>
        <v>-0.13545601726929302</v>
      </c>
      <c r="G113" s="26"/>
      <c r="H113" s="26">
        <f>IFERROR(IF(OR(F111&lt;=0,H111&lt;0),"n/m",H111/F111-1),"n/m")</f>
        <v>0.3564294631710363</v>
      </c>
      <c r="I113" s="26">
        <f>IFERROR(IF(OR(H111&lt;=0,I111&lt;0),"n/m",I111/H111-1),"n/m")</f>
        <v>0.015186378278877033</v>
      </c>
      <c r="J113" s="47">
        <f>IFERROR(IF(OR(I111&lt;=0,J111&lt;0),"n/m",J111/I111-1),"n/m")</f>
        <v>-0.11915231187669983</v>
      </c>
      <c r="K113" s="1"/>
      <c r="L113" s="1"/>
    </row>
    <row r="114">
      <c r="A114" s="1"/>
      <c r="B114" s="6" t="s">
        <v>77</v>
      </c>
      <c r="C114" s="26"/>
      <c r="D114" s="26"/>
      <c r="E114" s="26"/>
      <c r="F114" s="26"/>
      <c r="G114" s="26"/>
      <c r="H114" s="26" t="s">
        <v>78</v>
      </c>
      <c r="I114" s="26" t="s">
        <v>78</v>
      </c>
      <c r="J114" s="47" t="s">
        <v>78</v>
      </c>
      <c r="K114" s="1"/>
      <c r="L114" s="1"/>
    </row>
    <row r="115">
      <c r="A115" s="1"/>
      <c r="B115" s="6" t="s">
        <v>79</v>
      </c>
      <c r="C115" s="26"/>
      <c r="D115" s="26"/>
      <c r="E115" s="26"/>
      <c r="F115" s="26"/>
      <c r="G115" s="26"/>
      <c r="H115" s="26" t="s">
        <v>78</v>
      </c>
      <c r="I115" s="26" t="s">
        <v>78</v>
      </c>
      <c r="J115" s="47" t="s">
        <v>78</v>
      </c>
      <c r="K115" s="1"/>
      <c r="L115" s="1"/>
    </row>
    <row r="116">
      <c r="A116" s="1"/>
      <c r="B116" s="6" t="s">
        <v>80</v>
      </c>
      <c r="C116" s="26"/>
      <c r="D116" s="26"/>
      <c r="E116" s="26"/>
      <c r="F116" s="26"/>
      <c r="G116" s="26"/>
      <c r="H116" s="26" t="s">
        <v>81</v>
      </c>
      <c r="I116" s="26" t="s">
        <v>81</v>
      </c>
      <c r="J116" s="47" t="s">
        <v>81</v>
      </c>
      <c r="K116" s="1"/>
      <c r="L116" s="1"/>
    </row>
    <row r="117" ht="29.25">
      <c r="A117" s="1"/>
      <c r="B117" s="194" t="s">
        <v>277</v>
      </c>
      <c r="C117" s="26"/>
      <c r="D117" s="26"/>
      <c r="E117" s="26"/>
      <c r="F117" s="26"/>
      <c r="G117" s="26"/>
      <c r="H117" s="26"/>
      <c r="I117" s="26"/>
      <c r="J117" s="55">
        <f>J112-Guidance!H23</f>
        <v>-0.0013491635186184264</v>
      </c>
      <c r="K117" s="1"/>
      <c r="L117" s="1"/>
    </row>
    <row r="118">
      <c r="A118" s="1"/>
      <c r="B118" s="1" t="s">
        <v>278</v>
      </c>
      <c r="C118" s="35">
        <v>18</v>
      </c>
      <c r="D118" s="35">
        <v>7</v>
      </c>
      <c r="E118" s="35">
        <v>9</v>
      </c>
      <c r="F118" s="35">
        <v>17</v>
      </c>
      <c r="G118" s="5">
        <f>SUM(C118:F118)</f>
        <v>51</v>
      </c>
      <c r="H118" s="35">
        <v>2</v>
      </c>
      <c r="I118" s="35">
        <v>9</v>
      </c>
      <c r="J118" s="38">
        <v>10</v>
      </c>
      <c r="K118" s="1" t="s">
        <v>94</v>
      </c>
      <c r="L118" s="1"/>
    </row>
    <row r="119">
      <c r="A119" s="1"/>
      <c r="B119" s="6" t="s">
        <v>84</v>
      </c>
      <c r="C119" s="26"/>
      <c r="D119" s="26"/>
      <c r="E119" s="26"/>
      <c r="F119" s="26"/>
      <c r="G119" s="26"/>
      <c r="H119" s="26">
        <f>IFERROR(IF(OR(C118&lt;=0,H118&lt;0),"n/m",H118/C118-1),"n/m")</f>
        <v>-0.8888888888888888</v>
      </c>
      <c r="I119" s="26">
        <f>IFERROR(IF(OR(D118&lt;=0,I118&lt;0),"n/m",I118/D118-1),"n/m")</f>
        <v>0.2857142857142858</v>
      </c>
      <c r="J119" s="47">
        <f>IFERROR(IF(OR(E118&lt;=0,J118&lt;0),"n/m",J118/E118-1),"n/m")</f>
        <v>0.11111111111111116</v>
      </c>
      <c r="K119" s="1"/>
      <c r="L119" s="1"/>
    </row>
    <row r="120">
      <c r="A120" s="1"/>
      <c r="B120" s="6" t="s">
        <v>85</v>
      </c>
      <c r="C120" s="26"/>
      <c r="D120" s="26">
        <f>IFERROR(IF(OR(C118&lt;=0,D118&lt;0),"n/m",D118/C118-1),"n/m")</f>
        <v>-0.6111111111111112</v>
      </c>
      <c r="E120" s="26">
        <f>IFERROR(IF(OR(D118&lt;=0,E118&lt;0),"n/m",E118/D118-1),"n/m")</f>
        <v>0.2857142857142858</v>
      </c>
      <c r="F120" s="26">
        <f>IFERROR(IF(OR(E118&lt;=0,F118&lt;0),"n/m",F118/E118-1),"n/m")</f>
        <v>0.8888888888888888</v>
      </c>
      <c r="G120" s="26"/>
      <c r="H120" s="26">
        <f>IFERROR(IF(OR(F118&lt;=0,H118&lt;0),"n/m",H118/F118-1),"n/m")</f>
        <v>-0.8823529411764706</v>
      </c>
      <c r="I120" s="26">
        <f>IFERROR(IF(OR(H118&lt;=0,I118&lt;0),"n/m",I118/H118-1),"n/m")</f>
        <v>3.5</v>
      </c>
      <c r="J120" s="47">
        <f>IFERROR(IF(OR(I118&lt;=0,J118&lt;0),"n/m",J118/I118-1),"n/m")</f>
        <v>0.11111111111111116</v>
      </c>
      <c r="K120" s="1"/>
      <c r="L120" s="1"/>
    </row>
    <row r="121">
      <c r="A121" s="1"/>
      <c r="B121" s="6" t="s">
        <v>86</v>
      </c>
      <c r="C121" s="26"/>
      <c r="D121" s="26"/>
      <c r="E121" s="26"/>
      <c r="F121" s="26"/>
      <c r="G121" s="26"/>
      <c r="H121" s="26" t="s">
        <v>78</v>
      </c>
      <c r="I121" s="26" t="s">
        <v>78</v>
      </c>
      <c r="J121" s="47" t="s">
        <v>78</v>
      </c>
      <c r="K121" s="1"/>
      <c r="L121" s="1"/>
    </row>
    <row r="122">
      <c r="A122" s="1"/>
      <c r="B122" s="6" t="s">
        <v>87</v>
      </c>
      <c r="C122" s="26"/>
      <c r="D122" s="26"/>
      <c r="E122" s="26"/>
      <c r="F122" s="26"/>
      <c r="G122" s="26"/>
      <c r="H122" s="26" t="s">
        <v>78</v>
      </c>
      <c r="I122" s="26" t="s">
        <v>78</v>
      </c>
      <c r="J122" s="47" t="s">
        <v>78</v>
      </c>
      <c r="K122" s="1"/>
      <c r="L122" s="1"/>
    </row>
    <row r="123">
      <c r="A123" s="1"/>
      <c r="B123" s="6" t="s">
        <v>88</v>
      </c>
      <c r="C123" s="26"/>
      <c r="D123" s="26"/>
      <c r="E123" s="26"/>
      <c r="F123" s="26"/>
      <c r="G123" s="26"/>
      <c r="H123" s="26" t="s">
        <v>81</v>
      </c>
      <c r="I123" s="26" t="s">
        <v>81</v>
      </c>
      <c r="J123" s="47" t="s">
        <v>81</v>
      </c>
      <c r="K123" s="1"/>
      <c r="L123" s="1"/>
    </row>
    <row r="124">
      <c r="A124" s="1"/>
      <c r="B124" s="9" t="s">
        <v>135</v>
      </c>
      <c r="C124" s="17">
        <f>C78+C84+C111+C118</f>
        <v>5064</v>
      </c>
      <c r="D124" s="17">
        <f>D78+D84+D111+D118</f>
        <v>4673</v>
      </c>
      <c r="E124" s="17">
        <f>E78+E84+E111+E118</f>
        <v>4879</v>
      </c>
      <c r="F124" s="17">
        <f>F78+F84+F111+F118</f>
        <v>4616</v>
      </c>
      <c r="G124" s="17">
        <f>G78+G84+G111+G118</f>
        <v>19232</v>
      </c>
      <c r="H124" s="17">
        <f>H78+H84+H111+H118</f>
        <v>5278</v>
      </c>
      <c r="I124" s="17">
        <f>I78+I84+I111+I118</f>
        <v>5425</v>
      </c>
      <c r="J124" s="42">
        <f>J78+J84+J111+J118</f>
        <v>5146.680164835165</v>
      </c>
      <c r="K124" s="1"/>
      <c r="L124" s="1"/>
    </row>
    <row r="125" ht="29.25">
      <c r="A125" s="1"/>
      <c r="B125" s="194" t="s">
        <v>136</v>
      </c>
      <c r="C125" s="197">
        <f>C124-C52</f>
        <v>0</v>
      </c>
      <c r="D125" s="197">
        <f>D124-D52</f>
        <v>0</v>
      </c>
      <c r="E125" s="197">
        <f>E124-E52</f>
        <v>0</v>
      </c>
      <c r="F125" s="197">
        <f>F124-F52</f>
        <v>0</v>
      </c>
      <c r="G125" s="197">
        <f>G124-G52</f>
        <v>0</v>
      </c>
      <c r="H125" s="197">
        <f>H124-H52</f>
        <v>0</v>
      </c>
      <c r="I125" s="197">
        <f>I124-I52</f>
        <v>0</v>
      </c>
      <c r="J125" s="196">
        <f>J124-J52</f>
        <v>0</v>
      </c>
      <c r="K125" s="1"/>
      <c r="L125" s="1"/>
    </row>
    <row r="126" ht="29.25">
      <c r="A126" s="1"/>
      <c r="B126" s="191" t="s">
        <v>279</v>
      </c>
      <c r="C126" s="14">
        <f>C111-'Income Statement'!C48-C34</f>
        <v>338</v>
      </c>
      <c r="D126" s="14">
        <f>D111-'Income Statement'!D48-D34</f>
        <v>340</v>
      </c>
      <c r="E126" s="14">
        <f>E111-'Income Statement'!E48-E34</f>
        <v>342</v>
      </c>
      <c r="F126" s="14">
        <f>F111-'Income Statement'!F48-F34</f>
        <v>317</v>
      </c>
      <c r="G126" s="14">
        <f>G111-'Income Statement'!G48-G34</f>
        <v>1337</v>
      </c>
      <c r="H126" s="14">
        <f>H111-'Income Statement'!H48-H34</f>
        <v>310</v>
      </c>
      <c r="I126" s="14">
        <f>I111-'Income Statement'!I48-I34</f>
        <v>396</v>
      </c>
      <c r="J126" s="15">
        <f>AVERAGE(E126,F126,H126,I126)</f>
        <v>341.25</v>
      </c>
      <c r="K126" s="1"/>
      <c r="L126" s="1"/>
    </row>
    <row r="127">
      <c r="A127" s="1"/>
      <c r="B127" s="1"/>
      <c r="C127" s="13"/>
      <c r="D127" s="13"/>
      <c r="E127" s="13"/>
      <c r="F127" s="13"/>
      <c r="G127" s="13"/>
      <c r="H127" s="13"/>
      <c r="I127" s="13"/>
      <c r="J127" s="27"/>
      <c r="K127" s="1"/>
      <c r="L127" s="1"/>
    </row>
    <row r="128" ht="29.25">
      <c r="A128" s="1"/>
      <c r="B128" s="28" t="s">
        <v>280</v>
      </c>
      <c r="C128" s="25"/>
      <c r="D128" s="25"/>
      <c r="E128" s="25"/>
      <c r="F128" s="25"/>
      <c r="G128" s="25"/>
      <c r="H128" s="25"/>
      <c r="I128" s="25"/>
      <c r="J128" s="37"/>
      <c r="K128" s="1"/>
      <c r="L128" s="1"/>
    </row>
    <row r="129">
      <c r="A129" s="1"/>
      <c r="B129" s="1" t="s">
        <v>281</v>
      </c>
      <c r="C129" s="35">
        <v>86528</v>
      </c>
      <c r="D129" s="35">
        <v>88994</v>
      </c>
      <c r="E129" s="35">
        <v>92787</v>
      </c>
      <c r="F129" s="35">
        <v>100961</v>
      </c>
      <c r="G129" s="5">
        <f>(C129*C$6+D129*D$6+E129*E$6+F129*F$6)/G$6</f>
        <v>92358.32876712328</v>
      </c>
      <c r="H129" s="35">
        <v>117741</v>
      </c>
      <c r="I129" s="35">
        <v>124981</v>
      </c>
      <c r="J129" s="15">
        <f>I129*(1+J130)</f>
        <v>127480.62</v>
      </c>
      <c r="K129" s="1" t="s">
        <v>94</v>
      </c>
      <c r="L129" s="1"/>
    </row>
    <row r="130">
      <c r="A130" s="1"/>
      <c r="B130" s="6" t="s">
        <v>124</v>
      </c>
      <c r="C130" s="26"/>
      <c r="D130" s="26">
        <f>D129/C129-1</f>
        <v>0.028499445266272128</v>
      </c>
      <c r="E130" s="26">
        <f>E129/D129-1</f>
        <v>0.04262085084387701</v>
      </c>
      <c r="F130" s="26">
        <f>F129/E129-1</f>
        <v>0.08809423733928234</v>
      </c>
      <c r="G130" s="26"/>
      <c r="H130" s="26">
        <f>H129/F129-1</f>
        <v>0.16620279117679093</v>
      </c>
      <c r="I130" s="26">
        <f>I129/H129-1</f>
        <v>0.06149089951673581</v>
      </c>
      <c r="J130" s="106">
        <v>0.02</v>
      </c>
      <c r="K130" s="1"/>
      <c r="L130" s="1"/>
    </row>
    <row r="131">
      <c r="A131" s="1"/>
      <c r="B131" s="1" t="s">
        <v>139</v>
      </c>
      <c r="C131" s="5"/>
      <c r="D131" s="5"/>
      <c r="E131" s="5"/>
      <c r="F131" s="5"/>
      <c r="G131" s="5"/>
      <c r="H131" s="5">
        <f>H129-C129</f>
        <v>31213</v>
      </c>
      <c r="I131" s="5">
        <f>I129-D129</f>
        <v>35987</v>
      </c>
      <c r="J131" s="15">
        <f>J129-E129</f>
        <v>34693.619999999995</v>
      </c>
      <c r="K131" s="1"/>
      <c r="L131" s="1"/>
    </row>
    <row r="132">
      <c r="A132" s="1"/>
      <c r="B132" s="1" t="s">
        <v>140</v>
      </c>
      <c r="C132" s="5"/>
      <c r="D132" s="5">
        <f>D129-C129</f>
        <v>2466</v>
      </c>
      <c r="E132" s="5">
        <f>E129-D129</f>
        <v>3793</v>
      </c>
      <c r="F132" s="5">
        <f>F129-E129</f>
        <v>8174</v>
      </c>
      <c r="G132" s="5"/>
      <c r="H132" s="5">
        <f>H129-F129</f>
        <v>16780</v>
      </c>
      <c r="I132" s="5">
        <f>I129-H129</f>
        <v>7240</v>
      </c>
      <c r="J132" s="15">
        <f>J129-I129</f>
        <v>2499.6199999999953</v>
      </c>
      <c r="K132" s="1"/>
      <c r="L132" s="1"/>
    </row>
    <row r="133" ht="29.25">
      <c r="A133" s="1"/>
      <c r="B133" s="191" t="s">
        <v>282</v>
      </c>
      <c r="C133" s="35">
        <v>117318</v>
      </c>
      <c r="D133" s="35">
        <v>117917</v>
      </c>
      <c r="E133" s="35">
        <v>117115</v>
      </c>
      <c r="F133" s="35">
        <v>116584</v>
      </c>
      <c r="G133" s="5">
        <f>(C133*C$6+D133*D$6+E133*E$6+F133*F$6)/G$6</f>
        <v>117231.16438356164</v>
      </c>
      <c r="H133" s="35">
        <v>119452</v>
      </c>
      <c r="I133" s="35">
        <v>123146</v>
      </c>
      <c r="J133" s="15">
        <f>I133*(1+J134)</f>
        <v>124377.46</v>
      </c>
      <c r="K133" s="1" t="s">
        <v>94</v>
      </c>
      <c r="L133" s="1"/>
    </row>
    <row r="134">
      <c r="A134" s="1"/>
      <c r="B134" s="6" t="s">
        <v>124</v>
      </c>
      <c r="C134" s="26"/>
      <c r="D134" s="26">
        <f>D133/C133-1</f>
        <v>0.005105780869090859</v>
      </c>
      <c r="E134" s="26">
        <f>E133/D133-1</f>
        <v>-0.006801394201005784</v>
      </c>
      <c r="F134" s="26">
        <f>F133/E133-1</f>
        <v>-0.00453400503778334</v>
      </c>
      <c r="G134" s="26"/>
      <c r="H134" s="26">
        <f>H133/F133-1</f>
        <v>0.02460028820421334</v>
      </c>
      <c r="I134" s="26">
        <f>I133/H133-1</f>
        <v>0.03092455546997952</v>
      </c>
      <c r="J134" s="106">
        <v>0.01</v>
      </c>
      <c r="K134" s="1"/>
      <c r="L134" s="1"/>
    </row>
    <row r="135">
      <c r="A135" s="1"/>
      <c r="B135" s="1" t="s">
        <v>139</v>
      </c>
      <c r="C135" s="5"/>
      <c r="D135" s="5"/>
      <c r="E135" s="5"/>
      <c r="F135" s="5"/>
      <c r="G135" s="5"/>
      <c r="H135" s="5">
        <f>H133-C133</f>
        <v>2134</v>
      </c>
      <c r="I135" s="5">
        <f>I133-D133</f>
        <v>5229</v>
      </c>
      <c r="J135" s="15">
        <f>J133-E133</f>
        <v>7262.460000000006</v>
      </c>
      <c r="K135" s="1"/>
      <c r="L135" s="1"/>
    </row>
    <row r="136">
      <c r="A136" s="1"/>
      <c r="B136" s="1" t="s">
        <v>140</v>
      </c>
      <c r="C136" s="5"/>
      <c r="D136" s="5">
        <f>D133-C133</f>
        <v>599</v>
      </c>
      <c r="E136" s="5">
        <f>E133-D133</f>
        <v>-802</v>
      </c>
      <c r="F136" s="5">
        <f>F133-E133</f>
        <v>-531</v>
      </c>
      <c r="G136" s="5"/>
      <c r="H136" s="5">
        <f>H133-F133</f>
        <v>2868</v>
      </c>
      <c r="I136" s="5">
        <f>I133-H133</f>
        <v>3694</v>
      </c>
      <c r="J136" s="15">
        <f>J133-I133</f>
        <v>1231.4600000000064</v>
      </c>
      <c r="K136" s="1"/>
      <c r="L136" s="1"/>
    </row>
    <row r="137">
      <c r="A137" s="1"/>
      <c r="B137" s="1" t="s">
        <v>283</v>
      </c>
      <c r="C137" s="35">
        <v>73441</v>
      </c>
      <c r="D137" s="35">
        <v>78975</v>
      </c>
      <c r="E137" s="35">
        <v>85993</v>
      </c>
      <c r="F137" s="35">
        <v>95321</v>
      </c>
      <c r="G137" s="5">
        <f>(C137*C$6+D137*D$6+E137*E$6+F137*F$6)/G$6</f>
        <v>83499.4602739726</v>
      </c>
      <c r="H137" s="35">
        <v>105122</v>
      </c>
      <c r="I137" s="35">
        <v>111246</v>
      </c>
      <c r="J137" s="15">
        <f>I137*(1+J138)</f>
        <v>114583.38</v>
      </c>
      <c r="K137" s="1" t="s">
        <v>94</v>
      </c>
      <c r="L137" s="1"/>
    </row>
    <row r="138">
      <c r="A138" s="1"/>
      <c r="B138" s="6" t="s">
        <v>124</v>
      </c>
      <c r="C138" s="26"/>
      <c r="D138" s="26">
        <f>D137/C137-1</f>
        <v>0.07535300445255366</v>
      </c>
      <c r="E138" s="26">
        <f>E137/D137-1</f>
        <v>0.08886356441912002</v>
      </c>
      <c r="F138" s="26">
        <f>F137/E137-1</f>
        <v>0.10847394555370782</v>
      </c>
      <c r="G138" s="26"/>
      <c r="H138" s="26">
        <f>H137/F137-1</f>
        <v>0.10282099432444047</v>
      </c>
      <c r="I138" s="26">
        <f>I137/H137-1</f>
        <v>0.058256121458876375</v>
      </c>
      <c r="J138" s="106">
        <v>0.03</v>
      </c>
      <c r="K138" s="1"/>
      <c r="L138" s="1"/>
    </row>
    <row r="139">
      <c r="A139" s="1"/>
      <c r="B139" s="1" t="s">
        <v>139</v>
      </c>
      <c r="C139" s="5"/>
      <c r="D139" s="5"/>
      <c r="E139" s="5"/>
      <c r="F139" s="5"/>
      <c r="G139" s="5"/>
      <c r="H139" s="5">
        <f>H137-C137</f>
        <v>31681</v>
      </c>
      <c r="I139" s="5">
        <f>I137-D137</f>
        <v>32271</v>
      </c>
      <c r="J139" s="15">
        <f>J137-E137</f>
        <v>28590.380000000005</v>
      </c>
      <c r="K139" s="1"/>
      <c r="L139" s="1"/>
    </row>
    <row r="140">
      <c r="A140" s="1"/>
      <c r="B140" s="1" t="s">
        <v>140</v>
      </c>
      <c r="C140" s="5"/>
      <c r="D140" s="5">
        <f>D137-C137</f>
        <v>5534</v>
      </c>
      <c r="E140" s="5">
        <f>E137-D137</f>
        <v>7018</v>
      </c>
      <c r="F140" s="5">
        <f>F137-E137</f>
        <v>9328</v>
      </c>
      <c r="G140" s="5"/>
      <c r="H140" s="5">
        <f>H137-F137</f>
        <v>9801</v>
      </c>
      <c r="I140" s="5">
        <f>I137-H137</f>
        <v>6124</v>
      </c>
      <c r="J140" s="15">
        <f>J137-I137</f>
        <v>3337.3800000000047</v>
      </c>
      <c r="K140" s="1"/>
      <c r="L140" s="1"/>
    </row>
    <row r="141">
      <c r="A141" s="1"/>
      <c r="B141" s="9" t="s">
        <v>145</v>
      </c>
      <c r="C141" s="17">
        <f>C129+C133+C137</f>
        <v>277287</v>
      </c>
      <c r="D141" s="17">
        <f>D129+D133+D137</f>
        <v>285886</v>
      </c>
      <c r="E141" s="17">
        <f>E129+E133+E137</f>
        <v>295895</v>
      </c>
      <c r="F141" s="17">
        <f>F129+F133+F137</f>
        <v>312866</v>
      </c>
      <c r="G141" s="17">
        <f>G129+G133+G137</f>
        <v>293088.9534246575</v>
      </c>
      <c r="H141" s="17">
        <f>H129+H133+H137</f>
        <v>342315</v>
      </c>
      <c r="I141" s="17">
        <f>I129+I133+I137</f>
        <v>359373</v>
      </c>
      <c r="J141" s="42">
        <f>J129+J133+J137</f>
        <v>366441.46</v>
      </c>
      <c r="K141" s="1"/>
      <c r="L141" s="1"/>
    </row>
    <row r="142">
      <c r="A142" s="1"/>
      <c r="B142" s="6" t="s">
        <v>284</v>
      </c>
      <c r="C142" s="200"/>
      <c r="D142" s="200">
        <f>D141/C141-1</f>
        <v>0.031011190571501812</v>
      </c>
      <c r="E142" s="200">
        <f>E141/D141-1</f>
        <v>0.03501045871431274</v>
      </c>
      <c r="F142" s="200">
        <f>F141/E141-1</f>
        <v>0.05735480491390521</v>
      </c>
      <c r="G142" s="200"/>
      <c r="H142" s="200">
        <f>H141/F141-1</f>
        <v>0.09412655897412958</v>
      </c>
      <c r="I142" s="200">
        <f>I141/H141-1</f>
        <v>0.04983129573638312</v>
      </c>
      <c r="J142" s="201">
        <f>J141/I141-1</f>
        <v>0.0196688677223944</v>
      </c>
      <c r="K142" s="1"/>
      <c r="L142" s="1"/>
    </row>
    <row r="143">
      <c r="A143" s="1"/>
      <c r="B143" s="1" t="s">
        <v>146</v>
      </c>
      <c r="C143" s="5"/>
      <c r="D143" s="5"/>
      <c r="E143" s="5"/>
      <c r="F143" s="5"/>
      <c r="G143" s="5"/>
      <c r="H143" s="5">
        <f>H141-C141</f>
        <v>65028</v>
      </c>
      <c r="I143" s="5">
        <f>I141-D141</f>
        <v>73487</v>
      </c>
      <c r="J143" s="15">
        <f>J141-E141</f>
        <v>70546.46000000002</v>
      </c>
      <c r="K143" s="1"/>
      <c r="L143" s="1"/>
    </row>
    <row r="144">
      <c r="A144" s="1"/>
      <c r="B144" s="1" t="s">
        <v>147</v>
      </c>
      <c r="C144" s="5"/>
      <c r="D144" s="5">
        <f>D141-C141</f>
        <v>8599</v>
      </c>
      <c r="E144" s="5">
        <f>E141-D141</f>
        <v>10009</v>
      </c>
      <c r="F144" s="5">
        <f>F141-E141</f>
        <v>16971</v>
      </c>
      <c r="G144" s="5"/>
      <c r="H144" s="5">
        <f>H141-F141</f>
        <v>29449</v>
      </c>
      <c r="I144" s="5">
        <f>I141-H141</f>
        <v>17058</v>
      </c>
      <c r="J144" s="15">
        <f>J141-I141</f>
        <v>7068.460000000021</v>
      </c>
      <c r="K144" s="1"/>
      <c r="L144" s="1"/>
    </row>
    <row r="145" ht="29.25">
      <c r="A145" s="1"/>
      <c r="B145" s="191" t="s">
        <v>285</v>
      </c>
      <c r="C145" s="35">
        <v>192654</v>
      </c>
      <c r="D145" s="35">
        <v>202473</v>
      </c>
      <c r="E145" s="35">
        <v>214774</v>
      </c>
      <c r="F145" s="35">
        <v>233429</v>
      </c>
      <c r="G145" s="5">
        <f>(C145*C$6+D145*D$6+E145*E$6+F145*F$6)/G$6</f>
        <v>210955.0109589041</v>
      </c>
      <c r="H145" s="35">
        <v>262181</v>
      </c>
      <c r="I145" s="35">
        <v>278389</v>
      </c>
      <c r="J145" s="15">
        <f>J141-J148</f>
        <v>284647.62</v>
      </c>
      <c r="K145" s="1" t="s">
        <v>94</v>
      </c>
      <c r="L145" s="1"/>
    </row>
    <row r="146">
      <c r="A146" s="1"/>
      <c r="B146" s="1" t="s">
        <v>139</v>
      </c>
      <c r="C146" s="5"/>
      <c r="D146" s="5"/>
      <c r="E146" s="5"/>
      <c r="F146" s="5"/>
      <c r="G146" s="5"/>
      <c r="H146" s="5">
        <f>H145-C145</f>
        <v>69527</v>
      </c>
      <c r="I146" s="5">
        <f>I145-D145</f>
        <v>75916</v>
      </c>
      <c r="J146" s="15">
        <f>J145-E145</f>
        <v>69873.62</v>
      </c>
      <c r="K146" s="1"/>
      <c r="L146" s="1"/>
    </row>
    <row r="147">
      <c r="A147" s="1"/>
      <c r="B147" s="1" t="s">
        <v>140</v>
      </c>
      <c r="C147" s="5"/>
      <c r="D147" s="5">
        <f>D145-C145</f>
        <v>9819</v>
      </c>
      <c r="E147" s="5">
        <f>E145-D145</f>
        <v>12301</v>
      </c>
      <c r="F147" s="5">
        <f>F145-E145</f>
        <v>18655</v>
      </c>
      <c r="G147" s="5"/>
      <c r="H147" s="5">
        <f>H145-F145</f>
        <v>28752</v>
      </c>
      <c r="I147" s="5">
        <f>I145-H145</f>
        <v>16208</v>
      </c>
      <c r="J147" s="15">
        <f>J145-I145</f>
        <v>6258.619999999995</v>
      </c>
      <c r="K147" s="1"/>
      <c r="L147" s="1"/>
    </row>
    <row r="148" ht="29.25">
      <c r="A148" s="1"/>
      <c r="B148" s="191" t="s">
        <v>286</v>
      </c>
      <c r="C148" s="35">
        <v>84633</v>
      </c>
      <c r="D148" s="35">
        <v>83413</v>
      </c>
      <c r="E148" s="35">
        <v>81121</v>
      </c>
      <c r="F148" s="35">
        <v>79437</v>
      </c>
      <c r="G148" s="5">
        <f>(C148*C$6+D148*D$6+E148*E$6+F148*F$6)/G$6</f>
        <v>82133.94246575343</v>
      </c>
      <c r="H148" s="35">
        <v>80134</v>
      </c>
      <c r="I148" s="35">
        <v>80984</v>
      </c>
      <c r="J148" s="15">
        <f>I148*(1+J134)</f>
        <v>81793.84</v>
      </c>
      <c r="K148" s="1" t="s">
        <v>94</v>
      </c>
      <c r="L148" s="1"/>
    </row>
    <row r="149">
      <c r="A149" s="1"/>
      <c r="B149" s="1" t="s">
        <v>139</v>
      </c>
      <c r="C149" s="5"/>
      <c r="D149" s="5"/>
      <c r="E149" s="5"/>
      <c r="F149" s="5"/>
      <c r="G149" s="5"/>
      <c r="H149" s="5">
        <f>H148-C148</f>
        <v>-4499</v>
      </c>
      <c r="I149" s="5">
        <f>I148-D148</f>
        <v>-2429</v>
      </c>
      <c r="J149" s="15">
        <f>J148-E148</f>
        <v>672.8399999999965</v>
      </c>
      <c r="K149" s="1"/>
      <c r="L149" s="1"/>
    </row>
    <row r="150">
      <c r="A150" s="1"/>
      <c r="B150" s="1" t="s">
        <v>140</v>
      </c>
      <c r="C150" s="5"/>
      <c r="D150" s="5">
        <f>D148-C148</f>
        <v>-1220</v>
      </c>
      <c r="E150" s="5">
        <f>E148-D148</f>
        <v>-2292</v>
      </c>
      <c r="F150" s="5">
        <f>F148-E148</f>
        <v>-1684</v>
      </c>
      <c r="G150" s="5"/>
      <c r="H150" s="5">
        <f>H148-F148</f>
        <v>697</v>
      </c>
      <c r="I150" s="5">
        <f>I148-H148</f>
        <v>850</v>
      </c>
      <c r="J150" s="15">
        <f>J148-I148</f>
        <v>809.8399999999965</v>
      </c>
      <c r="K150" s="1"/>
      <c r="L150" s="1"/>
    </row>
    <row r="151" ht="29.25">
      <c r="A151" s="1"/>
      <c r="B151" s="194" t="s">
        <v>287</v>
      </c>
      <c r="C151" s="200">
        <f>C60/C129*365/C9</f>
        <v>0.028965575690335307</v>
      </c>
      <c r="D151" s="200">
        <f>D60/D129*365/D9</f>
        <v>0.027087268755246374</v>
      </c>
      <c r="E151" s="200">
        <f>E60/E129*365/E9</f>
        <v>0.02766445917976703</v>
      </c>
      <c r="F151" s="200">
        <f>F60/F129*365/F9</f>
        <v>0.025778356946268104</v>
      </c>
      <c r="G151" s="200">
        <f>G60/G129*365/G9</f>
        <v>0.027306687265412646</v>
      </c>
      <c r="H151" s="200">
        <f>H60/H129*365/H9</f>
        <v>0.024111302680365283</v>
      </c>
      <c r="I151" s="200">
        <f>I60/I129*365/I9</f>
        <v>0.0232351800990234</v>
      </c>
      <c r="J151" s="201">
        <f>I151</f>
        <v>0.0232351800990234</v>
      </c>
      <c r="K151" s="1"/>
      <c r="L151" s="1"/>
    </row>
    <row r="152">
      <c r="A152" s="1"/>
      <c r="B152" s="1" t="s">
        <v>151</v>
      </c>
      <c r="C152" s="5"/>
      <c r="D152" s="5"/>
      <c r="E152" s="5"/>
      <c r="F152" s="5"/>
      <c r="G152" s="5"/>
      <c r="H152" s="5">
        <f>(H151-C151)*10000</f>
        <v>-48.54273009970024</v>
      </c>
      <c r="I152" s="5">
        <f>(I151-D151)*10000</f>
        <v>-38.52088656222972</v>
      </c>
      <c r="J152" s="15">
        <f>(J151-E151)*10000</f>
        <v>-44.29279080743628</v>
      </c>
      <c r="K152" s="1"/>
      <c r="L152" s="1"/>
    </row>
    <row r="153">
      <c r="A153" s="1"/>
      <c r="B153" s="1" t="s">
        <v>152</v>
      </c>
      <c r="C153" s="5"/>
      <c r="D153" s="5">
        <f>(D151-C151)*10000</f>
        <v>-18.78306935088933</v>
      </c>
      <c r="E153" s="5">
        <f>(E151-D151)*10000</f>
        <v>5.7719042452065645</v>
      </c>
      <c r="F153" s="5">
        <f>(F151-E151)*10000</f>
        <v>-18.861022334989258</v>
      </c>
      <c r="G153" s="5"/>
      <c r="H153" s="5">
        <f>(H151-F151)*10000</f>
        <v>-16.670542659028218</v>
      </c>
      <c r="I153" s="5">
        <f>(I151-H151)*10000</f>
        <v>-8.76122581341881</v>
      </c>
      <c r="J153" s="15">
        <f>(J151-I151)*10000</f>
        <v>0</v>
      </c>
      <c r="K153" s="1"/>
      <c r="L153" s="1"/>
    </row>
    <row r="154">
      <c r="A154" s="1"/>
      <c r="B154" s="1" t="s">
        <v>148</v>
      </c>
      <c r="C154" s="35">
        <v>203914</v>
      </c>
      <c r="D154" s="35">
        <v>202420</v>
      </c>
      <c r="E154" s="35">
        <v>204056</v>
      </c>
      <c r="F154" s="35">
        <v>214520</v>
      </c>
      <c r="G154" s="5">
        <f>(C154*C$6+D154*D$6+E154*E$6+F154*F$6)/G$6</f>
        <v>206250.60821917807</v>
      </c>
      <c r="H154" s="35">
        <v>214345</v>
      </c>
      <c r="I154" s="35">
        <v>234762</v>
      </c>
      <c r="J154" s="15">
        <f>I154*(1+J155)</f>
        <v>239457.24</v>
      </c>
      <c r="K154" s="1" t="s">
        <v>94</v>
      </c>
      <c r="L154" s="1"/>
    </row>
    <row r="155">
      <c r="A155" s="1"/>
      <c r="B155" s="6" t="s">
        <v>124</v>
      </c>
      <c r="C155" s="26"/>
      <c r="D155" s="26">
        <f>D154/C154-1</f>
        <v>-0.007326618084094294</v>
      </c>
      <c r="E155" s="26">
        <f>E154/D154-1</f>
        <v>0.00808220531568038</v>
      </c>
      <c r="F155" s="26">
        <f>F154/E154-1</f>
        <v>0.051280040773121094</v>
      </c>
      <c r="G155" s="26"/>
      <c r="H155" s="26">
        <f>H154/F154-1</f>
        <v>-0.0008157747529368153</v>
      </c>
      <c r="I155" s="26">
        <f>I154/H154-1</f>
        <v>0.09525298000886417</v>
      </c>
      <c r="J155" s="106">
        <v>0.02</v>
      </c>
      <c r="K155" s="1"/>
      <c r="L155" s="1"/>
    </row>
    <row r="156">
      <c r="A156" s="1"/>
      <c r="B156" s="1" t="s">
        <v>139</v>
      </c>
      <c r="C156" s="5"/>
      <c r="D156" s="5"/>
      <c r="E156" s="5"/>
      <c r="F156" s="5"/>
      <c r="G156" s="5"/>
      <c r="H156" s="5">
        <f>H154-C154</f>
        <v>10431</v>
      </c>
      <c r="I156" s="5">
        <f>I154-D154</f>
        <v>32342</v>
      </c>
      <c r="J156" s="15">
        <f>J154-E154</f>
        <v>35401.23999999999</v>
      </c>
      <c r="K156" s="1"/>
      <c r="L156" s="1"/>
    </row>
    <row r="157">
      <c r="A157" s="1"/>
      <c r="B157" s="1" t="s">
        <v>140</v>
      </c>
      <c r="C157" s="5"/>
      <c r="D157" s="5">
        <f>D154-C154</f>
        <v>-1494</v>
      </c>
      <c r="E157" s="5">
        <f>E154-D154</f>
        <v>1636</v>
      </c>
      <c r="F157" s="5">
        <f>F154-E154</f>
        <v>10464</v>
      </c>
      <c r="G157" s="5"/>
      <c r="H157" s="5">
        <f>H154-F154</f>
        <v>-175</v>
      </c>
      <c r="I157" s="5">
        <f>I154-H154</f>
        <v>20417</v>
      </c>
      <c r="J157" s="15">
        <f>J154-I154</f>
        <v>4695.239999999991</v>
      </c>
      <c r="K157" s="1"/>
      <c r="L157" s="1"/>
    </row>
    <row r="158">
      <c r="A158" s="1"/>
      <c r="B158" s="9" t="s">
        <v>288</v>
      </c>
      <c r="C158" s="25"/>
      <c r="D158" s="25"/>
      <c r="E158" s="25"/>
      <c r="F158" s="25"/>
      <c r="G158" s="25"/>
      <c r="H158" s="25"/>
      <c r="I158" s="25"/>
      <c r="J158" s="37"/>
      <c r="K158" s="1"/>
      <c r="L158" s="1"/>
    </row>
    <row r="159" ht="29.25">
      <c r="A159" s="1"/>
      <c r="B159" s="191" t="s">
        <v>289</v>
      </c>
      <c r="C159" s="35">
        <v>159548</v>
      </c>
      <c r="D159" s="35">
        <v>158449</v>
      </c>
      <c r="E159" s="35">
        <v>177045</v>
      </c>
      <c r="F159" s="35">
        <v>197928</v>
      </c>
      <c r="G159" s="5">
        <f>(C159*C$6+D159*D$6+E159*E$6+F159*F$6)/G$6</f>
        <v>173358.0684931507</v>
      </c>
      <c r="H159" s="35">
        <v>205653</v>
      </c>
      <c r="I159" s="35">
        <v>204106</v>
      </c>
      <c r="J159" s="15"/>
      <c r="K159" s="1" t="s">
        <v>94</v>
      </c>
      <c r="L159" s="1"/>
    </row>
    <row r="160">
      <c r="A160" s="1"/>
      <c r="B160" s="1" t="s">
        <v>139</v>
      </c>
      <c r="C160" s="5"/>
      <c r="D160" s="5"/>
      <c r="E160" s="5"/>
      <c r="F160" s="5"/>
      <c r="G160" s="5"/>
      <c r="H160" s="5">
        <f>H159-C159</f>
        <v>46105</v>
      </c>
      <c r="I160" s="5">
        <f>I159-D159</f>
        <v>45657</v>
      </c>
      <c r="J160" s="15"/>
      <c r="K160" s="1"/>
      <c r="L160" s="1"/>
    </row>
    <row r="161">
      <c r="A161" s="1"/>
      <c r="B161" s="1" t="s">
        <v>140</v>
      </c>
      <c r="C161" s="5"/>
      <c r="D161" s="5">
        <f>D159-C159</f>
        <v>-1099</v>
      </c>
      <c r="E161" s="5">
        <f>E159-D159</f>
        <v>18596</v>
      </c>
      <c r="F161" s="5">
        <f>F159-E159</f>
        <v>20883</v>
      </c>
      <c r="G161" s="5"/>
      <c r="H161" s="5">
        <f>H159-F159</f>
        <v>7725</v>
      </c>
      <c r="I161" s="5">
        <f>I159-H159</f>
        <v>-1547</v>
      </c>
      <c r="J161" s="15"/>
      <c r="K161" s="1"/>
      <c r="L161" s="1"/>
    </row>
    <row r="162">
      <c r="A162" s="1"/>
      <c r="B162" s="1" t="s">
        <v>290</v>
      </c>
      <c r="C162" s="35">
        <v>19688</v>
      </c>
      <c r="D162" s="35">
        <v>23404</v>
      </c>
      <c r="E162" s="35">
        <v>22682</v>
      </c>
      <c r="F162" s="35">
        <v>22392</v>
      </c>
      <c r="G162" s="5">
        <f>(C162*C$6+D162*D$6+E162*E$6+F162*F$6)/G$6</f>
        <v>22050.66301369863</v>
      </c>
      <c r="H162" s="35">
        <v>22375</v>
      </c>
      <c r="I162" s="35">
        <v>26518</v>
      </c>
      <c r="J162" s="15"/>
      <c r="K162" s="1" t="s">
        <v>94</v>
      </c>
      <c r="L162" s="1"/>
    </row>
    <row r="163">
      <c r="A163" s="1"/>
      <c r="B163" s="1" t="s">
        <v>139</v>
      </c>
      <c r="C163" s="5"/>
      <c r="D163" s="5"/>
      <c r="E163" s="5"/>
      <c r="F163" s="5"/>
      <c r="G163" s="5"/>
      <c r="H163" s="5">
        <f>H162-C162</f>
        <v>2687</v>
      </c>
      <c r="I163" s="5">
        <f>I162-D162</f>
        <v>3114</v>
      </c>
      <c r="J163" s="15"/>
      <c r="K163" s="1"/>
      <c r="L163" s="1"/>
    </row>
    <row r="164">
      <c r="A164" s="1"/>
      <c r="B164" s="1" t="s">
        <v>140</v>
      </c>
      <c r="C164" s="5"/>
      <c r="D164" s="5">
        <f>D162-C162</f>
        <v>3716</v>
      </c>
      <c r="E164" s="5">
        <f>E162-D162</f>
        <v>-722</v>
      </c>
      <c r="F164" s="5">
        <f>F162-E162</f>
        <v>-290</v>
      </c>
      <c r="G164" s="5"/>
      <c r="H164" s="5">
        <f>H162-F162</f>
        <v>-17</v>
      </c>
      <c r="I164" s="5">
        <f>I162-H162</f>
        <v>4143</v>
      </c>
      <c r="J164" s="15"/>
      <c r="K164" s="1"/>
      <c r="L164" s="1"/>
    </row>
    <row r="165" ht="29.25">
      <c r="A165" s="1"/>
      <c r="B165" s="191" t="s">
        <v>291</v>
      </c>
      <c r="C165" s="35">
        <v>97171</v>
      </c>
      <c r="D165" s="35">
        <v>101894</v>
      </c>
      <c r="E165" s="35">
        <v>115868</v>
      </c>
      <c r="F165" s="35">
        <v>144040</v>
      </c>
      <c r="G165" s="5">
        <f>(C165*C$6+D165*D$6+E165*E$6+F165*F$6)/G$6</f>
        <v>114874.7397260274</v>
      </c>
      <c r="H165" s="35">
        <v>169870</v>
      </c>
      <c r="I165" s="35">
        <v>170853</v>
      </c>
      <c r="J165" s="15"/>
      <c r="K165" s="1" t="s">
        <v>94</v>
      </c>
      <c r="L165" s="1"/>
    </row>
    <row r="166">
      <c r="A166" s="1"/>
      <c r="B166" s="1" t="s">
        <v>139</v>
      </c>
      <c r="C166" s="5"/>
      <c r="D166" s="5"/>
      <c r="E166" s="5"/>
      <c r="F166" s="5"/>
      <c r="G166" s="5"/>
      <c r="H166" s="5">
        <f>H165-C165</f>
        <v>72699</v>
      </c>
      <c r="I166" s="5">
        <f>I165-D165</f>
        <v>68959</v>
      </c>
      <c r="J166" s="15"/>
      <c r="K166" s="1"/>
      <c r="L166" s="1"/>
    </row>
    <row r="167">
      <c r="A167" s="1"/>
      <c r="B167" s="1" t="s">
        <v>140</v>
      </c>
      <c r="C167" s="5"/>
      <c r="D167" s="5">
        <f>D165-C165</f>
        <v>4723</v>
      </c>
      <c r="E167" s="5">
        <f>E165-D165</f>
        <v>13974</v>
      </c>
      <c r="F167" s="5">
        <f>F165-E165</f>
        <v>28172</v>
      </c>
      <c r="G167" s="5"/>
      <c r="H167" s="5">
        <f>H165-F165</f>
        <v>25830</v>
      </c>
      <c r="I167" s="5">
        <f>I165-H165</f>
        <v>983</v>
      </c>
      <c r="J167" s="15"/>
      <c r="K167" s="1"/>
      <c r="L167" s="1"/>
    </row>
    <row r="168">
      <c r="A168" s="1"/>
      <c r="B168" s="9" t="s">
        <v>292</v>
      </c>
      <c r="C168" s="17">
        <f>C159+C162+C165</f>
        <v>276407</v>
      </c>
      <c r="D168" s="17">
        <f>D159+D162+D165</f>
        <v>283747</v>
      </c>
      <c r="E168" s="17">
        <f>E159+E162+E165</f>
        <v>315595</v>
      </c>
      <c r="F168" s="17">
        <f>F159+F162+F165</f>
        <v>364360</v>
      </c>
      <c r="G168" s="17">
        <f>G159+G162+G165</f>
        <v>310283.4712328767</v>
      </c>
      <c r="H168" s="17">
        <f>H159+H162+H165</f>
        <v>397898</v>
      </c>
      <c r="I168" s="17">
        <f>I159+I162+I165</f>
        <v>401477</v>
      </c>
      <c r="J168" s="42"/>
      <c r="K168" s="1"/>
      <c r="L168" s="1"/>
    </row>
    <row r="169">
      <c r="A169" s="1"/>
      <c r="B169" s="1" t="s">
        <v>146</v>
      </c>
      <c r="C169" s="5"/>
      <c r="D169" s="5"/>
      <c r="E169" s="5"/>
      <c r="F169" s="5"/>
      <c r="G169" s="5"/>
      <c r="H169" s="5">
        <f>H168-C168</f>
        <v>121491</v>
      </c>
      <c r="I169" s="5">
        <f>I168-D168</f>
        <v>117730</v>
      </c>
      <c r="J169" s="15"/>
      <c r="K169" s="1"/>
      <c r="L169" s="1"/>
    </row>
    <row r="170">
      <c r="A170" s="1"/>
      <c r="B170" s="1" t="s">
        <v>147</v>
      </c>
      <c r="C170" s="5"/>
      <c r="D170" s="5">
        <f>D168-C168</f>
        <v>7340</v>
      </c>
      <c r="E170" s="5">
        <f>E168-D168</f>
        <v>31848</v>
      </c>
      <c r="F170" s="5">
        <f>F168-E168</f>
        <v>48765</v>
      </c>
      <c r="G170" s="5"/>
      <c r="H170" s="5">
        <f>H168-F168</f>
        <v>33538</v>
      </c>
      <c r="I170" s="5">
        <f>I168-H168</f>
        <v>3579</v>
      </c>
      <c r="J170" s="15"/>
      <c r="K170" s="1"/>
      <c r="L170" s="1"/>
    </row>
    <row r="171" ht="29.25">
      <c r="A171" s="1"/>
      <c r="B171" s="194" t="s">
        <v>293</v>
      </c>
      <c r="C171" s="26">
        <f>C111/C168*365/C9</f>
        <v>0.02680648464040346</v>
      </c>
      <c r="D171" s="26">
        <f>D111/D168*365/D9</f>
        <v>0.025147576716403875</v>
      </c>
      <c r="E171" s="26">
        <f>E111/E168*365/E9</f>
        <v>0.02329433637084403</v>
      </c>
      <c r="F171" s="26">
        <f>F111/F168*365/F9</f>
        <v>0.017443629568463105</v>
      </c>
      <c r="G171" s="26">
        <f>G111/G168*365/G9</f>
        <v>0.02275661017953649</v>
      </c>
      <c r="H171" s="26">
        <f>H111/H168*365/H9</f>
        <v>0.02214819431668976</v>
      </c>
      <c r="I171" s="26">
        <f>I111/I168*365/I9</f>
        <v>0.02203922455892058</v>
      </c>
      <c r="J171" s="47"/>
      <c r="K171" s="1"/>
      <c r="L171" s="1"/>
    </row>
    <row r="172">
      <c r="A172" s="1"/>
      <c r="B172" s="1" t="s">
        <v>151</v>
      </c>
      <c r="C172" s="5"/>
      <c r="D172" s="5"/>
      <c r="E172" s="5"/>
      <c r="F172" s="5"/>
      <c r="G172" s="5"/>
      <c r="H172" s="5">
        <f>(H171-C171)*10000</f>
        <v>-46.582903237137</v>
      </c>
      <c r="I172" s="5">
        <f>(I171-D171)*10000</f>
        <v>-31.083521574832954</v>
      </c>
      <c r="J172" s="15"/>
      <c r="K172" s="1"/>
      <c r="L172" s="1"/>
    </row>
    <row r="173">
      <c r="A173" s="1"/>
      <c r="B173" s="1" t="s">
        <v>152</v>
      </c>
      <c r="C173" s="5"/>
      <c r="D173" s="5">
        <f>(D171-C171)*10000</f>
        <v>-16.58907923999586</v>
      </c>
      <c r="E173" s="5">
        <f>(E171-D171)*10000</f>
        <v>-18.532403455598438</v>
      </c>
      <c r="F173" s="5">
        <f>(F171-E171)*10000</f>
        <v>-58.50706802380926</v>
      </c>
      <c r="G173" s="5"/>
      <c r="H173" s="5">
        <f>(H171-F171)*10000</f>
        <v>47.04564748226655</v>
      </c>
      <c r="I173" s="5">
        <f>(I171-H171)*10000</f>
        <v>-1.0896975776918116</v>
      </c>
      <c r="J173" s="15"/>
      <c r="K173" s="1"/>
      <c r="L173" s="1"/>
    </row>
    <row r="174">
      <c r="A174" s="1"/>
      <c r="B174" s="1" t="s">
        <v>294</v>
      </c>
      <c r="C174" s="35">
        <v>611037</v>
      </c>
      <c r="D174" s="35">
        <v>641499</v>
      </c>
      <c r="E174" s="35">
        <v>679877</v>
      </c>
      <c r="F174" s="35">
        <v>735281</v>
      </c>
      <c r="G174" s="5">
        <f>(C174*C$6+D174*D$6+E174*E$6+F174*F$6)/G$6</f>
        <v>667299.3835616439</v>
      </c>
      <c r="H174" s="35">
        <v>801973</v>
      </c>
      <c r="I174" s="35">
        <v>825944</v>
      </c>
      <c r="J174" s="15"/>
      <c r="K174" s="1" t="s">
        <v>94</v>
      </c>
      <c r="L174" s="1"/>
    </row>
    <row r="175">
      <c r="A175" s="1"/>
      <c r="B175" s="1" t="s">
        <v>139</v>
      </c>
      <c r="C175" s="5"/>
      <c r="D175" s="5"/>
      <c r="E175" s="5"/>
      <c r="F175" s="5"/>
      <c r="G175" s="5"/>
      <c r="H175" s="5">
        <f>H174-C174</f>
        <v>190936</v>
      </c>
      <c r="I175" s="5">
        <f>I174-D174</f>
        <v>184445</v>
      </c>
      <c r="J175" s="15"/>
      <c r="K175" s="1"/>
      <c r="L175" s="1"/>
    </row>
    <row r="176">
      <c r="A176" s="1"/>
      <c r="B176" s="1" t="s">
        <v>140</v>
      </c>
      <c r="C176" s="5"/>
      <c r="D176" s="5">
        <f>D174-C174</f>
        <v>30462</v>
      </c>
      <c r="E176" s="5">
        <f>E174-D174</f>
        <v>38378</v>
      </c>
      <c r="F176" s="5">
        <f>F174-E174</f>
        <v>55404</v>
      </c>
      <c r="G176" s="5"/>
      <c r="H176" s="5">
        <f>H174-F174</f>
        <v>66692</v>
      </c>
      <c r="I176" s="5">
        <f>I174-H174</f>
        <v>23971</v>
      </c>
      <c r="J176" s="15"/>
      <c r="K176" s="1"/>
      <c r="L176" s="1"/>
    </row>
    <row r="177">
      <c r="A177" s="1"/>
      <c r="B177" s="9" t="s">
        <v>295</v>
      </c>
      <c r="C177" s="25"/>
      <c r="D177" s="25"/>
      <c r="E177" s="25"/>
      <c r="F177" s="25"/>
      <c r="G177" s="25"/>
      <c r="H177" s="25"/>
      <c r="I177" s="25"/>
      <c r="J177" s="37"/>
      <c r="K177" s="1"/>
      <c r="L177" s="1"/>
    </row>
    <row r="178">
      <c r="A178" s="1"/>
      <c r="B178" s="1" t="s">
        <v>257</v>
      </c>
      <c r="C178" s="35">
        <v>197142</v>
      </c>
      <c r="D178" s="35">
        <v>208161</v>
      </c>
      <c r="E178" s="35">
        <v>224462</v>
      </c>
      <c r="F178" s="35">
        <v>253004</v>
      </c>
      <c r="G178" s="5">
        <f>F178</f>
        <v>253004</v>
      </c>
      <c r="H178" s="35">
        <v>272820</v>
      </c>
      <c r="I178" s="35">
        <v>275653</v>
      </c>
      <c r="J178" s="15"/>
      <c r="K178" s="1" t="s">
        <v>94</v>
      </c>
      <c r="L178" s="1"/>
    </row>
    <row r="179">
      <c r="A179" s="1"/>
      <c r="B179" s="1" t="s">
        <v>139</v>
      </c>
      <c r="C179" s="5"/>
      <c r="D179" s="5"/>
      <c r="E179" s="5"/>
      <c r="F179" s="5"/>
      <c r="G179" s="5"/>
      <c r="H179" s="5">
        <f>H178-C178</f>
        <v>75678</v>
      </c>
      <c r="I179" s="5">
        <f>I178-D178</f>
        <v>67492</v>
      </c>
      <c r="J179" s="15"/>
      <c r="K179" s="1"/>
      <c r="L179" s="1"/>
    </row>
    <row r="180">
      <c r="A180" s="1"/>
      <c r="B180" s="1" t="s">
        <v>140</v>
      </c>
      <c r="C180" s="5"/>
      <c r="D180" s="5">
        <f>D178-C178</f>
        <v>11019</v>
      </c>
      <c r="E180" s="5">
        <f>E178-D178</f>
        <v>16301</v>
      </c>
      <c r="F180" s="5">
        <f>F178-E178</f>
        <v>28542</v>
      </c>
      <c r="G180" s="5"/>
      <c r="H180" s="5">
        <f>H178-F178</f>
        <v>19816</v>
      </c>
      <c r="I180" s="5">
        <f>I178-H178</f>
        <v>2833</v>
      </c>
      <c r="J180" s="15"/>
      <c r="K180" s="1"/>
      <c r="L180" s="1"/>
    </row>
    <row r="181">
      <c r="A181" s="1"/>
      <c r="B181" s="1" t="s">
        <v>258</v>
      </c>
      <c r="C181" s="35">
        <v>83522</v>
      </c>
      <c r="D181" s="35">
        <v>82417</v>
      </c>
      <c r="E181" s="35">
        <v>79518</v>
      </c>
      <c r="F181" s="35">
        <v>80505</v>
      </c>
      <c r="G181" s="5">
        <f>F181</f>
        <v>80505</v>
      </c>
      <c r="H181" s="35">
        <v>80331</v>
      </c>
      <c r="I181" s="35">
        <v>80099</v>
      </c>
      <c r="J181" s="15"/>
      <c r="K181" s="1" t="s">
        <v>94</v>
      </c>
      <c r="L181" s="1"/>
    </row>
    <row r="182">
      <c r="A182" s="1"/>
      <c r="B182" s="1" t="s">
        <v>139</v>
      </c>
      <c r="C182" s="5"/>
      <c r="D182" s="5"/>
      <c r="E182" s="5"/>
      <c r="F182" s="5"/>
      <c r="G182" s="5"/>
      <c r="H182" s="5">
        <f>H181-C181</f>
        <v>-3191</v>
      </c>
      <c r="I182" s="5">
        <f>I181-D181</f>
        <v>-2318</v>
      </c>
      <c r="J182" s="15"/>
      <c r="K182" s="1"/>
      <c r="L182" s="1"/>
    </row>
    <row r="183">
      <c r="A183" s="1"/>
      <c r="B183" s="1" t="s">
        <v>140</v>
      </c>
      <c r="C183" s="5"/>
      <c r="D183" s="5">
        <f>D181-C181</f>
        <v>-1105</v>
      </c>
      <c r="E183" s="5">
        <f>E181-D181</f>
        <v>-2899</v>
      </c>
      <c r="F183" s="5">
        <f>F181-E181</f>
        <v>987</v>
      </c>
      <c r="G183" s="5"/>
      <c r="H183" s="5">
        <f>H181-F181</f>
        <v>-174</v>
      </c>
      <c r="I183" s="5">
        <f>I181-H181</f>
        <v>-232</v>
      </c>
      <c r="J183" s="15"/>
      <c r="K183" s="1"/>
      <c r="L183" s="1"/>
    </row>
    <row r="184">
      <c r="A184" s="1"/>
      <c r="B184" s="9" t="s">
        <v>165</v>
      </c>
      <c r="C184" s="17">
        <f>C178+C181</f>
        <v>280664</v>
      </c>
      <c r="D184" s="17">
        <f>D178+D181</f>
        <v>290578</v>
      </c>
      <c r="E184" s="17">
        <f>E178+E181</f>
        <v>303980</v>
      </c>
      <c r="F184" s="17">
        <f>F178+F181</f>
        <v>333509</v>
      </c>
      <c r="G184" s="17">
        <f>G178+G181</f>
        <v>333509</v>
      </c>
      <c r="H184" s="17">
        <f>H178+H181</f>
        <v>353151</v>
      </c>
      <c r="I184" s="17">
        <f>I178+I181</f>
        <v>355752</v>
      </c>
      <c r="J184" s="42"/>
      <c r="K184" s="1"/>
      <c r="L184" s="1"/>
    </row>
    <row r="185">
      <c r="A185" s="1"/>
      <c r="B185" s="1" t="s">
        <v>166</v>
      </c>
      <c r="C185" s="35">
        <v>209200</v>
      </c>
      <c r="D185" s="35">
        <v>208048</v>
      </c>
      <c r="E185" s="35">
        <v>211051</v>
      </c>
      <c r="F185" s="35">
        <v>224146</v>
      </c>
      <c r="G185" s="5">
        <f>F185</f>
        <v>224146</v>
      </c>
      <c r="H185" s="35">
        <v>214501</v>
      </c>
      <c r="I185" s="35">
        <v>250097</v>
      </c>
      <c r="J185" s="15"/>
      <c r="K185" s="1" t="s">
        <v>94</v>
      </c>
      <c r="L185" s="1"/>
    </row>
    <row r="186">
      <c r="A186" s="1"/>
      <c r="B186" s="1" t="s">
        <v>139</v>
      </c>
      <c r="C186" s="5"/>
      <c r="D186" s="5"/>
      <c r="E186" s="5"/>
      <c r="F186" s="5"/>
      <c r="G186" s="5"/>
      <c r="H186" s="5">
        <f>H185-C185</f>
        <v>5301</v>
      </c>
      <c r="I186" s="5">
        <f>I185-D185</f>
        <v>42049</v>
      </c>
      <c r="J186" s="15"/>
      <c r="K186" s="1"/>
      <c r="L186" s="1"/>
    </row>
    <row r="187">
      <c r="A187" s="1"/>
      <c r="B187" s="1" t="s">
        <v>140</v>
      </c>
      <c r="C187" s="5"/>
      <c r="D187" s="5">
        <f>D185-C185</f>
        <v>-1152</v>
      </c>
      <c r="E187" s="5">
        <f>E185-D185</f>
        <v>3003</v>
      </c>
      <c r="F187" s="5">
        <f>F185-E185</f>
        <v>13095</v>
      </c>
      <c r="G187" s="5"/>
      <c r="H187" s="5">
        <f>H185-F185</f>
        <v>-9645</v>
      </c>
      <c r="I187" s="5">
        <f>I185-H185</f>
        <v>35596</v>
      </c>
      <c r="J187" s="15"/>
      <c r="K187" s="1"/>
      <c r="L187" s="1"/>
    </row>
    <row r="188">
      <c r="A188" s="1"/>
      <c r="B188" s="1"/>
      <c r="C188" s="13"/>
      <c r="D188" s="13"/>
      <c r="E188" s="13"/>
      <c r="F188" s="13"/>
      <c r="G188" s="13"/>
      <c r="H188" s="13"/>
      <c r="I188" s="13"/>
      <c r="J188" s="27"/>
      <c r="K188" s="1"/>
      <c r="L188" s="1"/>
    </row>
    <row r="189">
      <c r="A189" s="1"/>
      <c r="B189" s="9" t="s">
        <v>215</v>
      </c>
      <c r="C189" s="25"/>
      <c r="D189" s="25"/>
      <c r="E189" s="25"/>
      <c r="F189" s="25"/>
      <c r="G189" s="25"/>
      <c r="H189" s="25"/>
      <c r="I189" s="25"/>
      <c r="J189" s="37"/>
      <c r="K189" s="1"/>
      <c r="L189" s="1"/>
    </row>
    <row r="190">
      <c r="A190" s="1"/>
      <c r="B190" s="1" t="s">
        <v>216</v>
      </c>
      <c r="C190" s="35">
        <v>97</v>
      </c>
      <c r="D190" s="35">
        <v>75</v>
      </c>
      <c r="E190" s="35">
        <v>96</v>
      </c>
      <c r="F190" s="35">
        <v>182</v>
      </c>
      <c r="G190" s="5">
        <f>SUM(C190:F190)</f>
        <v>450</v>
      </c>
      <c r="H190" s="35">
        <v>224</v>
      </c>
      <c r="I190" s="35">
        <v>-15</v>
      </c>
      <c r="J190" s="15">
        <f>J141*J193*J9/365</f>
        <v>92.36332690410958</v>
      </c>
      <c r="K190" s="1" t="s">
        <v>94</v>
      </c>
      <c r="L190" s="1"/>
    </row>
    <row r="191">
      <c r="A191" s="1"/>
      <c r="B191" s="1" t="s">
        <v>139</v>
      </c>
      <c r="C191" s="5"/>
      <c r="D191" s="5"/>
      <c r="E191" s="5"/>
      <c r="F191" s="5"/>
      <c r="G191" s="5"/>
      <c r="H191" s="5">
        <f>H190-C190</f>
        <v>127</v>
      </c>
      <c r="I191" s="5">
        <f>I190-D190</f>
        <v>-90</v>
      </c>
      <c r="J191" s="15">
        <f>J190-E190</f>
        <v>-3.6366730958904157</v>
      </c>
      <c r="K191" s="1"/>
      <c r="L191" s="1"/>
    </row>
    <row r="192">
      <c r="A192" s="1"/>
      <c r="B192" s="1" t="s">
        <v>140</v>
      </c>
      <c r="C192" s="5"/>
      <c r="D192" s="5">
        <f>D190-C190</f>
        <v>-22</v>
      </c>
      <c r="E192" s="5">
        <f>E190-D190</f>
        <v>21</v>
      </c>
      <c r="F192" s="5">
        <f>F190-E190</f>
        <v>86</v>
      </c>
      <c r="G192" s="5"/>
      <c r="H192" s="5">
        <f>H190-F190</f>
        <v>42</v>
      </c>
      <c r="I192" s="5">
        <f>I190-H190</f>
        <v>-239</v>
      </c>
      <c r="J192" s="15">
        <f>J190-I190</f>
        <v>107.36332690410958</v>
      </c>
      <c r="K192" s="1"/>
      <c r="L192" s="1"/>
    </row>
    <row r="193">
      <c r="A193" s="1"/>
      <c r="B193" s="6" t="s">
        <v>217</v>
      </c>
      <c r="C193" s="200">
        <f>C190/C141*365/C9</f>
        <v>0.001418706570769235</v>
      </c>
      <c r="D193" s="200">
        <f>D190/D141*365/D9</f>
        <v>0.0010522522118053203</v>
      </c>
      <c r="E193" s="200">
        <f>E190/E141*365/E9</f>
        <v>0.0012871781044539155</v>
      </c>
      <c r="F193" s="200">
        <f>F190/F141*365/F9</f>
        <v>0.0023079056765238294</v>
      </c>
      <c r="G193" s="200">
        <f>G190/G141*365/G9</f>
        <v>0.0015353700463353647</v>
      </c>
      <c r="H193" s="200">
        <f>H190/H141*365/H9</f>
        <v>0.002653825991979447</v>
      </c>
      <c r="I193" s="200">
        <f>I190/I141*365/I9</f>
        <v>-0.00016741612520928162</v>
      </c>
      <c r="J193" s="204">
        <v>0.001</v>
      </c>
      <c r="K193" s="1"/>
      <c r="L193" s="1"/>
    </row>
    <row r="194">
      <c r="A194" s="1"/>
      <c r="B194" s="1" t="s">
        <v>151</v>
      </c>
      <c r="C194" s="5"/>
      <c r="D194" s="5"/>
      <c r="E194" s="5"/>
      <c r="F194" s="5"/>
      <c r="G194" s="5"/>
      <c r="H194" s="5">
        <f>(H193-C193)*10000</f>
        <v>12.351194212102122</v>
      </c>
      <c r="I194" s="5">
        <f>(I193-D193)*10000</f>
        <v>-12.196683370146019</v>
      </c>
      <c r="J194" s="15">
        <f>(J193-E193)*10000</f>
        <v>-2.871781044539155</v>
      </c>
      <c r="K194" s="1"/>
      <c r="L194" s="1"/>
    </row>
    <row r="195">
      <c r="A195" s="1"/>
      <c r="B195" s="1" t="s">
        <v>152</v>
      </c>
      <c r="C195" s="5"/>
      <c r="D195" s="5">
        <f>(D193-C193)*10000</f>
        <v>-3.664543589639148</v>
      </c>
      <c r="E195" s="5">
        <f>(E193-D193)*10000</f>
        <v>2.3492589264859522</v>
      </c>
      <c r="F195" s="5">
        <f>(F193-E193)*10000</f>
        <v>10.207275720699139</v>
      </c>
      <c r="G195" s="5"/>
      <c r="H195" s="5">
        <f>(H193-F193)*10000</f>
        <v>3.4592031545561777</v>
      </c>
      <c r="I195" s="5">
        <f>(I193-H193)*10000</f>
        <v>-28.21242117188729</v>
      </c>
      <c r="J195" s="15">
        <f>(J193-I193)*10000</f>
        <v>11.674161252092816</v>
      </c>
      <c r="K195" s="1"/>
      <c r="L195" s="1"/>
    </row>
    <row r="196" ht="29.25">
      <c r="A196" s="1"/>
      <c r="B196" s="191" t="s">
        <v>218</v>
      </c>
      <c r="C196" s="35">
        <v>-97</v>
      </c>
      <c r="D196" s="35">
        <v>28</v>
      </c>
      <c r="E196" s="35">
        <v>-203</v>
      </c>
      <c r="F196" s="35">
        <v>-104</v>
      </c>
      <c r="G196" s="5">
        <f>SUM(C196:F196)</f>
        <v>-376</v>
      </c>
      <c r="H196" s="35">
        <v>-49</v>
      </c>
      <c r="I196" s="35">
        <v>-166</v>
      </c>
      <c r="J196" s="38">
        <v>-50</v>
      </c>
      <c r="K196" s="1" t="s">
        <v>94</v>
      </c>
      <c r="L196" s="1"/>
    </row>
    <row r="197">
      <c r="A197" s="1"/>
      <c r="B197" s="1" t="s">
        <v>139</v>
      </c>
      <c r="C197" s="5"/>
      <c r="D197" s="5"/>
      <c r="E197" s="5"/>
      <c r="F197" s="5"/>
      <c r="G197" s="5"/>
      <c r="H197" s="5">
        <f>H196-C196</f>
        <v>48</v>
      </c>
      <c r="I197" s="5">
        <f>I196-D196</f>
        <v>-194</v>
      </c>
      <c r="J197" s="15">
        <f>J196-E196</f>
        <v>153</v>
      </c>
      <c r="K197" s="1"/>
      <c r="L197" s="1"/>
    </row>
    <row r="198">
      <c r="A198" s="1"/>
      <c r="B198" s="1" t="s">
        <v>140</v>
      </c>
      <c r="C198" s="5"/>
      <c r="D198" s="5">
        <f>D196-C196</f>
        <v>125</v>
      </c>
      <c r="E198" s="5">
        <f>E196-D196</f>
        <v>-231</v>
      </c>
      <c r="F198" s="5">
        <f>F196-E196</f>
        <v>99</v>
      </c>
      <c r="G198" s="5"/>
      <c r="H198" s="5">
        <f>H196-F196</f>
        <v>55</v>
      </c>
      <c r="I198" s="5">
        <f>I196-H196</f>
        <v>-117</v>
      </c>
      <c r="J198" s="15">
        <f>J196-I196</f>
        <v>116</v>
      </c>
      <c r="K198" s="1"/>
      <c r="L198" s="1"/>
    </row>
    <row r="199">
      <c r="A199" s="1"/>
      <c r="B199" s="9" t="s">
        <v>219</v>
      </c>
      <c r="C199" s="17">
        <f>C190+C196</f>
        <v>0</v>
      </c>
      <c r="D199" s="17">
        <f>D190+D196</f>
        <v>103</v>
      </c>
      <c r="E199" s="17">
        <f>E190+E196</f>
        <v>-107</v>
      </c>
      <c r="F199" s="17">
        <f>F190+F196</f>
        <v>78</v>
      </c>
      <c r="G199" s="17">
        <f>G190+G196</f>
        <v>74</v>
      </c>
      <c r="H199" s="17">
        <f>H190+H196</f>
        <v>175</v>
      </c>
      <c r="I199" s="17">
        <f>I190+I196</f>
        <v>-181</v>
      </c>
      <c r="J199" s="42">
        <f>J190+J196</f>
        <v>42.363326904109584</v>
      </c>
      <c r="K199" s="1"/>
      <c r="L199" s="1"/>
    </row>
    <row r="200">
      <c r="A200" s="1"/>
      <c r="B200" s="1" t="s">
        <v>220</v>
      </c>
      <c r="C200" s="35">
        <v>2476</v>
      </c>
      <c r="D200" s="35">
        <v>2251</v>
      </c>
      <c r="E200" s="35">
        <v>2362</v>
      </c>
      <c r="F200" s="35">
        <v>2347</v>
      </c>
      <c r="G200" s="5">
        <f>SUM(C200:F200)</f>
        <v>9436</v>
      </c>
      <c r="H200" s="35">
        <v>2692</v>
      </c>
      <c r="I200" s="35">
        <v>2497</v>
      </c>
      <c r="J200" s="15">
        <f>I200*(1+J203)</f>
        <v>2447.06</v>
      </c>
      <c r="K200" s="1" t="s">
        <v>94</v>
      </c>
      <c r="L200" s="1"/>
    </row>
    <row r="201">
      <c r="A201" s="1"/>
      <c r="B201" s="1" t="s">
        <v>139</v>
      </c>
      <c r="C201" s="5"/>
      <c r="D201" s="5"/>
      <c r="E201" s="5"/>
      <c r="F201" s="5"/>
      <c r="G201" s="5"/>
      <c r="H201" s="5">
        <f>H200-C200</f>
        <v>216</v>
      </c>
      <c r="I201" s="5">
        <f>I200-D200</f>
        <v>246</v>
      </c>
      <c r="J201" s="15">
        <f>J200-E200</f>
        <v>85.05999999999995</v>
      </c>
      <c r="K201" s="1"/>
      <c r="L201" s="1"/>
    </row>
    <row r="202">
      <c r="A202" s="1"/>
      <c r="B202" s="1" t="s">
        <v>140</v>
      </c>
      <c r="C202" s="5"/>
      <c r="D202" s="5">
        <f>D200-C200</f>
        <v>-225</v>
      </c>
      <c r="E202" s="5">
        <f>E200-D200</f>
        <v>111</v>
      </c>
      <c r="F202" s="5">
        <f>F200-E200</f>
        <v>-15</v>
      </c>
      <c r="G202" s="5"/>
      <c r="H202" s="5">
        <f>H200-F200</f>
        <v>345</v>
      </c>
      <c r="I202" s="5">
        <f>I200-H200</f>
        <v>-195</v>
      </c>
      <c r="J202" s="15">
        <f>J200-I200</f>
        <v>-49.940000000000055</v>
      </c>
      <c r="K202" s="1"/>
      <c r="L202" s="1"/>
    </row>
    <row r="203" ht="42">
      <c r="A203" s="1"/>
      <c r="B203" s="194" t="s">
        <v>296</v>
      </c>
      <c r="C203" s="26"/>
      <c r="D203" s="26">
        <f>D200/C200-1</f>
        <v>-0.09087237479806143</v>
      </c>
      <c r="E203" s="26">
        <f>E200/D200-1</f>
        <v>0.0493114171479343</v>
      </c>
      <c r="F203" s="26">
        <f>F200/E200-1</f>
        <v>-0.006350550381033049</v>
      </c>
      <c r="G203" s="26"/>
      <c r="H203" s="26">
        <f>H200/F200-1</f>
        <v>0.14699616531742654</v>
      </c>
      <c r="I203" s="26">
        <f>I200/H200-1</f>
        <v>-0.07243684992570576</v>
      </c>
      <c r="J203" s="106">
        <v>-0.02</v>
      </c>
      <c r="K203" s="1"/>
      <c r="L203" s="1"/>
    </row>
    <row r="204">
      <c r="A204" s="1"/>
      <c r="B204" s="9" t="s">
        <v>221</v>
      </c>
      <c r="C204" s="17">
        <f>C52-C199-C200</f>
        <v>2588</v>
      </c>
      <c r="D204" s="17">
        <f>D52-D199-D200</f>
        <v>2319</v>
      </c>
      <c r="E204" s="17">
        <f>E52-E199-E200</f>
        <v>2624</v>
      </c>
      <c r="F204" s="17">
        <f>F52-F199-F200</f>
        <v>2191</v>
      </c>
      <c r="G204" s="17">
        <f>G52-G199-G200</f>
        <v>9722</v>
      </c>
      <c r="H204" s="17">
        <f>H52-H199-H200</f>
        <v>2411</v>
      </c>
      <c r="I204" s="17">
        <f>I52-I199-I200</f>
        <v>3109</v>
      </c>
      <c r="J204" s="42">
        <f>J52-J199-J200</f>
        <v>2657.2568379310555</v>
      </c>
      <c r="K204" s="1"/>
      <c r="L204" s="1"/>
    </row>
    <row r="205">
      <c r="A205" s="1"/>
      <c r="B205" s="1" t="s">
        <v>222</v>
      </c>
      <c r="C205" s="35">
        <v>647</v>
      </c>
      <c r="D205" s="35">
        <v>582</v>
      </c>
      <c r="E205" s="35">
        <v>658</v>
      </c>
      <c r="F205" s="35">
        <v>552</v>
      </c>
      <c r="G205" s="5">
        <f>SUM(C205:F205)</f>
        <v>2439</v>
      </c>
      <c r="H205" s="35">
        <v>602</v>
      </c>
      <c r="I205" s="35">
        <v>780</v>
      </c>
      <c r="J205" s="15">
        <f>J204*J206</f>
        <v>664.3142094827639</v>
      </c>
      <c r="K205" s="1" t="s">
        <v>94</v>
      </c>
      <c r="L205" s="1"/>
    </row>
    <row r="206">
      <c r="A206" s="1"/>
      <c r="B206" s="6" t="s">
        <v>223</v>
      </c>
      <c r="C206" s="26">
        <f>C205/C204</f>
        <v>0.25</v>
      </c>
      <c r="D206" s="26">
        <f>D205/D204</f>
        <v>0.25097024579560157</v>
      </c>
      <c r="E206" s="26">
        <f>E205/E204</f>
        <v>0.2507621951219512</v>
      </c>
      <c r="F206" s="26">
        <f>F205/F204</f>
        <v>0.2519397535371976</v>
      </c>
      <c r="G206" s="26">
        <f>G205/G204</f>
        <v>0.25087430569841596</v>
      </c>
      <c r="H206" s="26">
        <f>H205/H204</f>
        <v>0.24968892575694732</v>
      </c>
      <c r="I206" s="26">
        <f>I205/I204</f>
        <v>0.2508845287873914</v>
      </c>
      <c r="J206" s="106">
        <v>0.25</v>
      </c>
      <c r="K206" s="1"/>
      <c r="L206" s="1"/>
    </row>
    <row r="207">
      <c r="A207" s="1"/>
      <c r="B207" s="1" t="s">
        <v>151</v>
      </c>
      <c r="C207" s="5"/>
      <c r="D207" s="5"/>
      <c r="E207" s="5"/>
      <c r="F207" s="5"/>
      <c r="G207" s="5"/>
      <c r="H207" s="5">
        <f>(H206-C206)*10000</f>
        <v>-3.110742430526836</v>
      </c>
      <c r="I207" s="5">
        <f>(I206-D206)*10000</f>
        <v>-0.8571700821013994</v>
      </c>
      <c r="J207" s="15">
        <f>(J206-E206)*10000</f>
        <v>-7.621951219511924</v>
      </c>
      <c r="K207" s="1"/>
      <c r="L207" s="1"/>
    </row>
    <row r="208">
      <c r="A208" s="1"/>
      <c r="B208" s="1" t="s">
        <v>152</v>
      </c>
      <c r="C208" s="5"/>
      <c r="D208" s="5">
        <f>(D206-C206)*10000</f>
        <v>9.702457956015653</v>
      </c>
      <c r="E208" s="5">
        <f>(E206-D206)*10000</f>
        <v>-2.080506736503729</v>
      </c>
      <c r="F208" s="5">
        <f>(F206-E206)*10000</f>
        <v>11.775584152464159</v>
      </c>
      <c r="G208" s="5"/>
      <c r="H208" s="5">
        <f>(H206-F206)*10000</f>
        <v>-22.508277802502917</v>
      </c>
      <c r="I208" s="5">
        <f>(I206-H206)*10000</f>
        <v>11.95603030444109</v>
      </c>
      <c r="J208" s="15">
        <f>(J206-I206)*10000</f>
        <v>-8.845287873914254</v>
      </c>
      <c r="K208" s="1"/>
      <c r="L208" s="1"/>
    </row>
    <row r="209">
      <c r="A209" s="1"/>
      <c r="B209" s="9" t="s">
        <v>102</v>
      </c>
      <c r="C209" s="17">
        <f>C204-C205</f>
        <v>1941</v>
      </c>
      <c r="D209" s="17">
        <f>D204-D205</f>
        <v>1737</v>
      </c>
      <c r="E209" s="17">
        <f>E204-E205</f>
        <v>1966</v>
      </c>
      <c r="F209" s="17">
        <f>F204-F205</f>
        <v>1639</v>
      </c>
      <c r="G209" s="17">
        <f>G204-G205</f>
        <v>7283</v>
      </c>
      <c r="H209" s="17">
        <f>H204-H205</f>
        <v>1809</v>
      </c>
      <c r="I209" s="17">
        <f>I204-I205</f>
        <v>2329</v>
      </c>
      <c r="J209" s="42">
        <f>J204-J205</f>
        <v>1992.9426284482915</v>
      </c>
      <c r="K209" s="1"/>
      <c r="L209" s="1"/>
    </row>
    <row r="210">
      <c r="A210" s="1"/>
      <c r="B210" s="6" t="s">
        <v>75</v>
      </c>
      <c r="C210" s="26"/>
      <c r="D210" s="26"/>
      <c r="E210" s="26"/>
      <c r="F210" s="26"/>
      <c r="G210" s="26"/>
      <c r="H210" s="26">
        <f>IFERROR(IF(OR(C209&lt;=0,H209&lt;0),"n/m",H209/C209-1),"n/m")</f>
        <v>-0.06800618238021638</v>
      </c>
      <c r="I210" s="26">
        <f>IFERROR(IF(OR(D209&lt;=0,I209&lt;0),"n/m",I209/D209-1),"n/m")</f>
        <v>0.34081750143926315</v>
      </c>
      <c r="J210" s="47">
        <f>IFERROR(IF(OR(E209&lt;=0,J209&lt;0),"n/m",J209/E209-1),"n/m")</f>
        <v>0.013704287104929547</v>
      </c>
      <c r="K210" s="1"/>
      <c r="L210" s="1"/>
    </row>
    <row r="211">
      <c r="A211" s="1"/>
      <c r="B211" s="6" t="s">
        <v>76</v>
      </c>
      <c r="C211" s="26"/>
      <c r="D211" s="26">
        <f>IFERROR(IF(OR(C209&lt;=0,D209&lt;0),"n/m",D209/C209-1),"n/m")</f>
        <v>-0.10510046367851622</v>
      </c>
      <c r="E211" s="26">
        <f>IFERROR(IF(OR(D209&lt;=0,E209&lt;0),"n/m",E209/D209-1),"n/m")</f>
        <v>0.13183649971214728</v>
      </c>
      <c r="F211" s="26">
        <f>IFERROR(IF(OR(E209&lt;=0,F209&lt;0),"n/m",F209/E209-1),"n/m")</f>
        <v>-0.16632756866734488</v>
      </c>
      <c r="G211" s="26"/>
      <c r="H211" s="26">
        <f>IFERROR(IF(OR(F209&lt;=0,H209&lt;0),"n/m",H209/F209-1),"n/m")</f>
        <v>0.10372178157413048</v>
      </c>
      <c r="I211" s="26">
        <f>IFERROR(IF(OR(H209&lt;=0,I209&lt;0),"n/m",I209/H209-1),"n/m")</f>
        <v>0.28745163073521285</v>
      </c>
      <c r="J211" s="47">
        <f>IFERROR(IF(OR(I209&lt;=0,J209&lt;0),"n/m",J209/I209-1),"n/m")</f>
        <v>-0.14429255970446908</v>
      </c>
      <c r="K211" s="1"/>
      <c r="L211" s="1"/>
    </row>
    <row r="212" ht="29.25">
      <c r="A212" s="1"/>
      <c r="B212" s="191" t="s">
        <v>224</v>
      </c>
      <c r="C212" s="35">
        <v>1941</v>
      </c>
      <c r="D212" s="35">
        <v>1737</v>
      </c>
      <c r="E212" s="35">
        <v>1966</v>
      </c>
      <c r="F212" s="35">
        <v>1639</v>
      </c>
      <c r="G212" s="5">
        <f>SUM(C212:F212)</f>
        <v>7283</v>
      </c>
      <c r="H212" s="35">
        <v>1809</v>
      </c>
      <c r="I212" s="35">
        <v>2329</v>
      </c>
      <c r="J212" s="15"/>
      <c r="K212" s="1" t="s">
        <v>94</v>
      </c>
      <c r="L212" s="1"/>
    </row>
    <row r="213" ht="29.25">
      <c r="A213" s="1"/>
      <c r="B213" s="194" t="s">
        <v>225</v>
      </c>
      <c r="C213" s="197">
        <f>C209-C212</f>
        <v>0</v>
      </c>
      <c r="D213" s="197">
        <f>D209-D212</f>
        <v>0</v>
      </c>
      <c r="E213" s="197">
        <f>E209-E212</f>
        <v>0</v>
      </c>
      <c r="F213" s="197">
        <f>F209-F212</f>
        <v>0</v>
      </c>
      <c r="G213" s="197">
        <f>G209-G212</f>
        <v>0</v>
      </c>
      <c r="H213" s="197">
        <f>H209-H212</f>
        <v>0</v>
      </c>
      <c r="I213" s="197">
        <f>I209-I212</f>
        <v>0</v>
      </c>
      <c r="J213" s="40"/>
      <c r="K213" s="1"/>
      <c r="L213" s="1"/>
    </row>
    <row r="214">
      <c r="A214" s="1"/>
      <c r="B214" s="6" t="s">
        <v>226</v>
      </c>
      <c r="C214" s="26">
        <f>C200/C52</f>
        <v>0.48894154818325436</v>
      </c>
      <c r="D214" s="26">
        <f>D200/D52</f>
        <v>0.48170340252514443</v>
      </c>
      <c r="E214" s="26">
        <f>E200/E52</f>
        <v>0.4841155974584956</v>
      </c>
      <c r="F214" s="26">
        <f>F200/F52</f>
        <v>0.5084488734835355</v>
      </c>
      <c r="G214" s="26">
        <f>G200/G52</f>
        <v>0.4906405990016639</v>
      </c>
      <c r="H214" s="26">
        <f>H200/H52</f>
        <v>0.5100416824554755</v>
      </c>
      <c r="I214" s="26">
        <f>I200/I52</f>
        <v>0.46027649769585255</v>
      </c>
      <c r="J214" s="47">
        <f>J200/J52</f>
        <v>0.4754637789073441</v>
      </c>
      <c r="K214" s="1"/>
      <c r="L214" s="1"/>
    </row>
    <row r="215">
      <c r="A215" s="1"/>
      <c r="B215" s="1" t="s">
        <v>151</v>
      </c>
      <c r="C215" s="5"/>
      <c r="D215" s="5"/>
      <c r="E215" s="5"/>
      <c r="F215" s="5"/>
      <c r="G215" s="5"/>
      <c r="H215" s="5">
        <f>(H214-C214)*10000</f>
        <v>211.00134272221183</v>
      </c>
      <c r="I215" s="5">
        <f>(I214-D214)*10000</f>
        <v>-214.26904829291882</v>
      </c>
      <c r="J215" s="15">
        <f>(J214-E214)*10000</f>
        <v>-86.51818551151491</v>
      </c>
      <c r="K215" s="1"/>
      <c r="L215" s="1"/>
    </row>
    <row r="216">
      <c r="A216" s="1"/>
      <c r="B216" s="1" t="s">
        <v>152</v>
      </c>
      <c r="C216" s="5"/>
      <c r="D216" s="5">
        <f>(D214-C214)*10000</f>
        <v>-72.38145658109929</v>
      </c>
      <c r="E216" s="5">
        <f>(E214-D214)*10000</f>
        <v>24.121949333511527</v>
      </c>
      <c r="F216" s="5">
        <f>(F214-E214)*10000</f>
        <v>243.3327602503993</v>
      </c>
      <c r="G216" s="5"/>
      <c r="H216" s="5">
        <f>(H214-F214)*10000</f>
        <v>15.928089719400296</v>
      </c>
      <c r="I216" s="5">
        <f>(I214-H214)*10000</f>
        <v>-497.6518475962299</v>
      </c>
      <c r="J216" s="15">
        <f>(J214-I214)*10000</f>
        <v>151.87281211491543</v>
      </c>
      <c r="K216" s="1"/>
      <c r="L216" s="1"/>
    </row>
    <row r="217" ht="29.25">
      <c r="A217" s="1"/>
      <c r="B217" s="194" t="s">
        <v>229</v>
      </c>
      <c r="C217" s="65">
        <v>0.17</v>
      </c>
      <c r="D217" s="65">
        <v>0.149</v>
      </c>
      <c r="E217" s="65">
        <v>0.168</v>
      </c>
      <c r="F217" s="65">
        <v>0.138</v>
      </c>
      <c r="G217" s="26"/>
      <c r="H217" s="65">
        <v>0.149</v>
      </c>
      <c r="I217" s="65">
        <v>0.192</v>
      </c>
      <c r="J217" s="47"/>
      <c r="K217" s="1" t="s">
        <v>94</v>
      </c>
      <c r="L217" s="1"/>
    </row>
    <row r="218">
      <c r="A218" s="1"/>
      <c r="B218" s="1" t="s">
        <v>151</v>
      </c>
      <c r="C218" s="5"/>
      <c r="D218" s="5"/>
      <c r="E218" s="5"/>
      <c r="F218" s="5"/>
      <c r="G218" s="5"/>
      <c r="H218" s="5">
        <f>(H217-C217)*10000</f>
        <v>-210.0000000000002</v>
      </c>
      <c r="I218" s="5">
        <f>(I217-D217)*10000</f>
        <v>430.0000000000001</v>
      </c>
      <c r="J218" s="15"/>
      <c r="K218" s="1"/>
      <c r="L218" s="1"/>
    </row>
    <row r="219">
      <c r="A219" s="1"/>
      <c r="B219" s="1" t="s">
        <v>152</v>
      </c>
      <c r="C219" s="5"/>
      <c r="D219" s="5">
        <f>(D217-C217)*10000</f>
        <v>-210.0000000000002</v>
      </c>
      <c r="E219" s="5">
        <f>(E217-D217)*10000</f>
        <v>190.00000000000017</v>
      </c>
      <c r="F219" s="5">
        <f>(F217-E217)*10000</f>
        <v>-300</v>
      </c>
      <c r="G219" s="5"/>
      <c r="H219" s="5">
        <f>(H217-F217)*10000</f>
        <v>109.99999999999982</v>
      </c>
      <c r="I219" s="5">
        <f>(I217-H217)*10000</f>
        <v>430.0000000000001</v>
      </c>
      <c r="J219" s="15"/>
      <c r="K219" s="1"/>
      <c r="L219" s="1"/>
    </row>
    <row r="220">
      <c r="A220" s="1"/>
      <c r="B220" s="1"/>
      <c r="C220" s="13"/>
      <c r="D220" s="13"/>
      <c r="E220" s="13"/>
      <c r="F220" s="13"/>
      <c r="G220" s="13"/>
      <c r="H220" s="13"/>
      <c r="I220" s="13"/>
      <c r="J220" s="27"/>
      <c r="K220" s="1"/>
      <c r="L220" s="1"/>
    </row>
    <row r="221">
      <c r="A221" s="1"/>
      <c r="B221" s="9" t="s">
        <v>230</v>
      </c>
      <c r="C221" s="25"/>
      <c r="D221" s="25"/>
      <c r="E221" s="25"/>
      <c r="F221" s="25"/>
      <c r="G221" s="25"/>
      <c r="H221" s="25"/>
      <c r="I221" s="25"/>
      <c r="J221" s="37"/>
      <c r="K221" s="1"/>
      <c r="L221" s="1"/>
    </row>
    <row r="222" ht="29.25">
      <c r="A222" s="1"/>
      <c r="B222" s="191" t="s">
        <v>231</v>
      </c>
      <c r="C222" s="5" t="s">
        <v>81</v>
      </c>
      <c r="D222" s="5">
        <f>C184</f>
        <v>280664</v>
      </c>
      <c r="E222" s="5">
        <f>D184</f>
        <v>290578</v>
      </c>
      <c r="F222" s="5">
        <f>E184</f>
        <v>303980</v>
      </c>
      <c r="G222" s="5" t="s">
        <v>81</v>
      </c>
      <c r="H222" s="5">
        <f>F184</f>
        <v>333509</v>
      </c>
      <c r="I222" s="5">
        <f>H184</f>
        <v>353151</v>
      </c>
      <c r="J222" s="15">
        <f>I184</f>
        <v>355752</v>
      </c>
      <c r="K222" s="1"/>
      <c r="L222" s="1"/>
    </row>
    <row r="223">
      <c r="A223" s="1"/>
      <c r="B223" s="1" t="s">
        <v>232</v>
      </c>
      <c r="C223" s="5"/>
      <c r="D223" s="5">
        <f>D224-D222</f>
        <v>9914</v>
      </c>
      <c r="E223" s="5">
        <f>E224-E222</f>
        <v>13402</v>
      </c>
      <c r="F223" s="5">
        <f>F224-F222</f>
        <v>29529</v>
      </c>
      <c r="G223" s="5"/>
      <c r="H223" s="5">
        <f>H224-H222</f>
        <v>19642</v>
      </c>
      <c r="I223" s="5">
        <f>I224-I222</f>
        <v>2601</v>
      </c>
      <c r="J223" s="15">
        <f>J224-J222</f>
        <v>6997.239029977238</v>
      </c>
      <c r="K223" s="1"/>
      <c r="L223" s="1"/>
    </row>
    <row r="224">
      <c r="A224" s="1"/>
      <c r="B224" s="9" t="s">
        <v>233</v>
      </c>
      <c r="C224" s="17">
        <f>C184</f>
        <v>280664</v>
      </c>
      <c r="D224" s="17">
        <f>D184</f>
        <v>290578</v>
      </c>
      <c r="E224" s="17">
        <f>E184</f>
        <v>303980</v>
      </c>
      <c r="F224" s="17">
        <f>F184</f>
        <v>333509</v>
      </c>
      <c r="G224" s="17">
        <f>G184</f>
        <v>333509</v>
      </c>
      <c r="H224" s="17">
        <f>H184</f>
        <v>353151</v>
      </c>
      <c r="I224" s="17">
        <f>I184</f>
        <v>355752</v>
      </c>
      <c r="J224" s="42">
        <f>J222*J141/I141</f>
        <v>362749.23902997724</v>
      </c>
      <c r="K224" s="1"/>
      <c r="L224" s="1"/>
    </row>
    <row r="225">
      <c r="A225" s="1"/>
      <c r="B225" s="1" t="s">
        <v>139</v>
      </c>
      <c r="C225" s="5"/>
      <c r="D225" s="5"/>
      <c r="E225" s="5"/>
      <c r="F225" s="5"/>
      <c r="G225" s="5"/>
      <c r="H225" s="5">
        <f>H224-C224</f>
        <v>72487</v>
      </c>
      <c r="I225" s="5">
        <f>I224-D224</f>
        <v>65174</v>
      </c>
      <c r="J225" s="15">
        <f>J224-E224</f>
        <v>58769.23902997724</v>
      </c>
      <c r="K225" s="1"/>
      <c r="L225" s="1"/>
    </row>
    <row r="226">
      <c r="A226" s="1"/>
      <c r="B226" s="1" t="s">
        <v>140</v>
      </c>
      <c r="C226" s="5"/>
      <c r="D226" s="5">
        <f>D224-C224</f>
        <v>9914</v>
      </c>
      <c r="E226" s="5">
        <f>E224-D224</f>
        <v>13402</v>
      </c>
      <c r="F226" s="5">
        <f>F224-E224</f>
        <v>29529</v>
      </c>
      <c r="G226" s="5"/>
      <c r="H226" s="5">
        <f>H224-F224</f>
        <v>19642</v>
      </c>
      <c r="I226" s="5">
        <f>I224-H224</f>
        <v>2601</v>
      </c>
      <c r="J226" s="15">
        <f>J224-I224</f>
        <v>6997.239029977238</v>
      </c>
      <c r="K226" s="1"/>
      <c r="L226" s="1"/>
    </row>
    <row r="227">
      <c r="A227" s="1"/>
      <c r="B227" s="1" t="s">
        <v>234</v>
      </c>
      <c r="C227" s="5">
        <f>C141</f>
        <v>277287</v>
      </c>
      <c r="D227" s="5">
        <f>D141</f>
        <v>285886</v>
      </c>
      <c r="E227" s="5">
        <f>E141</f>
        <v>295895</v>
      </c>
      <c r="F227" s="5">
        <f>F141</f>
        <v>312866</v>
      </c>
      <c r="G227" s="5">
        <f>G141</f>
        <v>293088.9534246575</v>
      </c>
      <c r="H227" s="5">
        <f>H141</f>
        <v>342315</v>
      </c>
      <c r="I227" s="5">
        <f>I141</f>
        <v>359373</v>
      </c>
      <c r="J227" s="15">
        <f>J141</f>
        <v>366441.46</v>
      </c>
      <c r="K227" s="1"/>
      <c r="L227" s="1"/>
    </row>
    <row r="228">
      <c r="A228" s="1"/>
      <c r="B228" s="1" t="s">
        <v>235</v>
      </c>
      <c r="C228" s="5">
        <f>C224-C227</f>
        <v>3377</v>
      </c>
      <c r="D228" s="5">
        <f>D224-D227</f>
        <v>4692</v>
      </c>
      <c r="E228" s="5">
        <f>E224-E227</f>
        <v>8085</v>
      </c>
      <c r="F228" s="5">
        <f>F224-F227</f>
        <v>20643</v>
      </c>
      <c r="G228" s="5">
        <f>G224-G227</f>
        <v>40420.04657534248</v>
      </c>
      <c r="H228" s="5">
        <f>H224-H227</f>
        <v>10836</v>
      </c>
      <c r="I228" s="5">
        <f>I224-I227</f>
        <v>-3621</v>
      </c>
      <c r="J228" s="15">
        <f>J224-J227</f>
        <v>-3692.220970022783</v>
      </c>
      <c r="K228" s="1"/>
      <c r="L228" s="1"/>
    </row>
    <row r="229">
      <c r="A229" s="1"/>
      <c r="B229" s="9" t="s">
        <v>236</v>
      </c>
      <c r="C229" s="25"/>
      <c r="D229" s="25"/>
      <c r="E229" s="25"/>
      <c r="F229" s="25"/>
      <c r="G229" s="25"/>
      <c r="H229" s="25"/>
      <c r="I229" s="25"/>
      <c r="J229" s="37"/>
      <c r="K229" s="1"/>
      <c r="L229" s="1"/>
    </row>
    <row r="230" ht="29.25">
      <c r="A230" s="1"/>
      <c r="B230" s="191" t="s">
        <v>237</v>
      </c>
      <c r="C230" s="5" t="s">
        <v>81</v>
      </c>
      <c r="D230" s="5">
        <f>C185</f>
        <v>209200</v>
      </c>
      <c r="E230" s="5">
        <f>D185</f>
        <v>208048</v>
      </c>
      <c r="F230" s="5">
        <f>E185</f>
        <v>211051</v>
      </c>
      <c r="G230" s="5" t="s">
        <v>81</v>
      </c>
      <c r="H230" s="5">
        <f>F185</f>
        <v>224146</v>
      </c>
      <c r="I230" s="5">
        <f>H185</f>
        <v>214501</v>
      </c>
      <c r="J230" s="15">
        <f>I185</f>
        <v>250097</v>
      </c>
      <c r="K230" s="1"/>
      <c r="L230" s="1"/>
    </row>
    <row r="231">
      <c r="A231" s="1"/>
      <c r="B231" s="1" t="s">
        <v>232</v>
      </c>
      <c r="C231" s="5"/>
      <c r="D231" s="5">
        <f>D232-D230</f>
        <v>-1152</v>
      </c>
      <c r="E231" s="5">
        <f>E232-E230</f>
        <v>3003</v>
      </c>
      <c r="F231" s="5">
        <f>F232-F230</f>
        <v>13095</v>
      </c>
      <c r="G231" s="5"/>
      <c r="H231" s="5">
        <f>H232-H230</f>
        <v>-9645</v>
      </c>
      <c r="I231" s="5">
        <f>I232-I230</f>
        <v>35596</v>
      </c>
      <c r="J231" s="15">
        <f>J232-J230</f>
        <v>5001.940000000002</v>
      </c>
      <c r="K231" s="1"/>
      <c r="L231" s="1"/>
    </row>
    <row r="232">
      <c r="A232" s="1"/>
      <c r="B232" s="9" t="s">
        <v>238</v>
      </c>
      <c r="C232" s="17">
        <f>C185</f>
        <v>209200</v>
      </c>
      <c r="D232" s="17">
        <f>D185</f>
        <v>208048</v>
      </c>
      <c r="E232" s="17">
        <f>E185</f>
        <v>211051</v>
      </c>
      <c r="F232" s="17">
        <f>F185</f>
        <v>224146</v>
      </c>
      <c r="G232" s="17">
        <f>G185</f>
        <v>224146</v>
      </c>
      <c r="H232" s="17">
        <f>H185</f>
        <v>214501</v>
      </c>
      <c r="I232" s="17">
        <f>I185</f>
        <v>250097</v>
      </c>
      <c r="J232" s="42">
        <f>J230*J154/I154</f>
        <v>255098.94</v>
      </c>
      <c r="K232" s="1"/>
      <c r="L232" s="1"/>
    </row>
    <row r="233">
      <c r="A233" s="1"/>
      <c r="B233" s="1" t="s">
        <v>139</v>
      </c>
      <c r="C233" s="5"/>
      <c r="D233" s="5"/>
      <c r="E233" s="5"/>
      <c r="F233" s="5"/>
      <c r="G233" s="5"/>
      <c r="H233" s="5">
        <f>H232-C232</f>
        <v>5301</v>
      </c>
      <c r="I233" s="5">
        <f>I232-D232</f>
        <v>42049</v>
      </c>
      <c r="J233" s="15">
        <f>J232-E232</f>
        <v>44047.94</v>
      </c>
      <c r="K233" s="1"/>
      <c r="L233" s="1"/>
    </row>
    <row r="234">
      <c r="A234" s="1"/>
      <c r="B234" s="1" t="s">
        <v>140</v>
      </c>
      <c r="C234" s="5"/>
      <c r="D234" s="5">
        <f>D232-C232</f>
        <v>-1152</v>
      </c>
      <c r="E234" s="5">
        <f>E232-D232</f>
        <v>3003</v>
      </c>
      <c r="F234" s="5">
        <f>F232-E232</f>
        <v>13095</v>
      </c>
      <c r="G234" s="5"/>
      <c r="H234" s="5">
        <f>H232-F232</f>
        <v>-9645</v>
      </c>
      <c r="I234" s="5">
        <f>I232-H232</f>
        <v>35596</v>
      </c>
      <c r="J234" s="15">
        <f>J232-I232</f>
        <v>5001.940000000002</v>
      </c>
      <c r="K234" s="1"/>
      <c r="L234" s="1"/>
    </row>
    <row r="235">
      <c r="A235" s="1"/>
      <c r="B235" s="1" t="s">
        <v>148</v>
      </c>
      <c r="C235" s="5">
        <f>C154</f>
        <v>203914</v>
      </c>
      <c r="D235" s="5">
        <f>D154</f>
        <v>202420</v>
      </c>
      <c r="E235" s="5">
        <f>E154</f>
        <v>204056</v>
      </c>
      <c r="F235" s="5">
        <f>F154</f>
        <v>214520</v>
      </c>
      <c r="G235" s="5">
        <f>G154</f>
        <v>206250.60821917807</v>
      </c>
      <c r="H235" s="5">
        <f>H154</f>
        <v>214345</v>
      </c>
      <c r="I235" s="5">
        <f>I154</f>
        <v>234762</v>
      </c>
      <c r="J235" s="15">
        <f>J154</f>
        <v>239457.24</v>
      </c>
      <c r="K235" s="1"/>
      <c r="L235" s="1"/>
    </row>
    <row r="236">
      <c r="A236" s="1"/>
      <c r="B236" s="1" t="s">
        <v>235</v>
      </c>
      <c r="C236" s="5">
        <f>C232-C235</f>
        <v>5286</v>
      </c>
      <c r="D236" s="5">
        <f>D232-D235</f>
        <v>5628</v>
      </c>
      <c r="E236" s="5">
        <f>E232-E235</f>
        <v>6995</v>
      </c>
      <c r="F236" s="5">
        <f>F232-F235</f>
        <v>9626</v>
      </c>
      <c r="G236" s="5">
        <f>G232-G235</f>
        <v>17895.391780821927</v>
      </c>
      <c r="H236" s="5">
        <f>H232-H235</f>
        <v>156</v>
      </c>
      <c r="I236" s="5">
        <f>I232-I235</f>
        <v>15335</v>
      </c>
      <c r="J236" s="15">
        <f>J232-J235</f>
        <v>15641.700000000012</v>
      </c>
      <c r="K236" s="1"/>
      <c r="L236" s="1"/>
    </row>
    <row r="237">
      <c r="A237" s="1"/>
      <c r="B237" s="1"/>
      <c r="C237" s="13"/>
      <c r="D237" s="13"/>
      <c r="E237" s="13"/>
      <c r="F237" s="13"/>
      <c r="G237" s="13"/>
      <c r="H237" s="13"/>
      <c r="I237" s="13"/>
      <c r="J237" s="27"/>
      <c r="K237" s="1"/>
      <c r="L237" s="1"/>
    </row>
    <row r="238">
      <c r="A238" s="1"/>
      <c r="B238" s="1"/>
      <c r="C238" s="13"/>
      <c r="D238" s="13"/>
      <c r="E238" s="13"/>
      <c r="F238" s="13"/>
      <c r="G238" s="13"/>
      <c r="H238" s="13"/>
      <c r="I238" s="13"/>
      <c r="J238" s="27"/>
      <c r="K238" s="1"/>
      <c r="L238" s="1"/>
    </row>
  </sheetData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49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14" customWidth="1"/>
  </cols>
  <sheetData>
    <row r="1">
      <c r="A1" s="1"/>
      <c r="B1" s="3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9" t="s">
        <v>297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64" t="s">
        <v>62</v>
      </c>
      <c r="C4" s="29" t="s">
        <v>63</v>
      </c>
      <c r="D4" s="29" t="s">
        <v>64</v>
      </c>
      <c r="E4" s="29" t="s">
        <v>65</v>
      </c>
      <c r="F4" s="29" t="s">
        <v>66</v>
      </c>
      <c r="G4" s="29" t="s">
        <v>67</v>
      </c>
      <c r="H4" s="29" t="s">
        <v>68</v>
      </c>
      <c r="I4" s="29" t="s">
        <v>69</v>
      </c>
      <c r="J4" s="39" t="s">
        <v>70</v>
      </c>
      <c r="K4" s="131" t="s">
        <v>3</v>
      </c>
      <c r="L4" s="1"/>
    </row>
    <row r="5">
      <c r="A5" s="1"/>
      <c r="B5" s="67" t="s">
        <v>71</v>
      </c>
      <c r="C5" s="32">
        <v>45747</v>
      </c>
      <c r="D5" s="32">
        <v>45838</v>
      </c>
      <c r="E5" s="32">
        <v>45930</v>
      </c>
      <c r="F5" s="32">
        <v>46022</v>
      </c>
      <c r="G5" s="32">
        <v>46022</v>
      </c>
      <c r="H5" s="32">
        <v>46112</v>
      </c>
      <c r="I5" s="32">
        <v>46203</v>
      </c>
      <c r="J5" s="66">
        <v>46295</v>
      </c>
      <c r="K5" s="71"/>
      <c r="L5" s="1"/>
    </row>
    <row r="6">
      <c r="A6" s="1"/>
      <c r="B6" s="8" t="s">
        <v>72</v>
      </c>
      <c r="C6" s="20">
        <f>C5-EOMONTH(C5,-3)</f>
        <v>90</v>
      </c>
      <c r="D6" s="20">
        <f>D5-EOMONTH(D5,-3)</f>
        <v>91</v>
      </c>
      <c r="E6" s="20">
        <f>E5-EOMONTH(E5,-3)</f>
        <v>92</v>
      </c>
      <c r="F6" s="20">
        <f>F5-EOMONTH(F5,-3)</f>
        <v>92</v>
      </c>
      <c r="G6" s="20">
        <f>G5-DATE(YEAR(G5)-1,12,31)</f>
        <v>365</v>
      </c>
      <c r="H6" s="20">
        <f>H5-EOMONTH(H5,-3)</f>
        <v>90</v>
      </c>
      <c r="I6" s="20">
        <f>I5-EOMONTH(I5,-3)</f>
        <v>91</v>
      </c>
      <c r="J6" s="50">
        <f>J5-EOMONTH(J5,-3)</f>
        <v>92</v>
      </c>
      <c r="K6" s="7"/>
      <c r="L6" s="1"/>
    </row>
    <row r="7">
      <c r="A7" s="1"/>
      <c r="B7" s="1"/>
      <c r="C7" s="13"/>
      <c r="D7" s="13"/>
      <c r="E7" s="13"/>
      <c r="F7" s="13"/>
      <c r="G7" s="13"/>
      <c r="H7" s="13"/>
      <c r="I7" s="13"/>
      <c r="J7" s="27"/>
      <c r="K7" s="1"/>
      <c r="L7" s="1"/>
    </row>
    <row r="8" ht="29.25">
      <c r="A8" s="1"/>
      <c r="B8" s="28" t="s">
        <v>298</v>
      </c>
      <c r="C8" s="25"/>
      <c r="D8" s="25"/>
      <c r="E8" s="25"/>
      <c r="F8" s="25"/>
      <c r="G8" s="25"/>
      <c r="H8" s="25"/>
      <c r="I8" s="25"/>
      <c r="J8" s="37"/>
      <c r="K8" s="1"/>
      <c r="L8" s="1"/>
    </row>
    <row r="9">
      <c r="A9" s="1"/>
      <c r="B9" s="1" t="s">
        <v>120</v>
      </c>
      <c r="C9" s="107">
        <f>C6</f>
        <v>90</v>
      </c>
      <c r="D9" s="107">
        <f>D6</f>
        <v>91</v>
      </c>
      <c r="E9" s="107">
        <f>E6</f>
        <v>92</v>
      </c>
      <c r="F9" s="107">
        <f>F6</f>
        <v>92</v>
      </c>
      <c r="G9" s="107">
        <f>G6</f>
        <v>365</v>
      </c>
      <c r="H9" s="107">
        <f>H6</f>
        <v>90</v>
      </c>
      <c r="I9" s="107">
        <f>I6</f>
        <v>91</v>
      </c>
      <c r="J9" s="113">
        <f>J6</f>
        <v>92</v>
      </c>
      <c r="K9" s="1"/>
      <c r="L9" s="1"/>
    </row>
    <row r="10">
      <c r="A10" s="1"/>
      <c r="B10" s="1" t="s">
        <v>99</v>
      </c>
      <c r="C10" s="35">
        <v>730</v>
      </c>
      <c r="D10" s="35">
        <v>785</v>
      </c>
      <c r="E10" s="35">
        <v>851</v>
      </c>
      <c r="F10" s="35">
        <v>868</v>
      </c>
      <c r="G10" s="5">
        <f>SUM(C10:F10)</f>
        <v>3234</v>
      </c>
      <c r="H10" s="35">
        <v>905</v>
      </c>
      <c r="I10" s="35">
        <v>919</v>
      </c>
      <c r="J10" s="15">
        <f>J91*J94*J9/365</f>
        <v>939.6349633718777</v>
      </c>
      <c r="K10" s="1" t="s">
        <v>94</v>
      </c>
      <c r="L10" s="1"/>
    </row>
    <row r="11">
      <c r="A11" s="1"/>
      <c r="B11" s="6" t="s">
        <v>84</v>
      </c>
      <c r="C11" s="26"/>
      <c r="D11" s="26"/>
      <c r="E11" s="26"/>
      <c r="F11" s="26"/>
      <c r="G11" s="26"/>
      <c r="H11" s="26">
        <f>IFERROR(IF(OR(C10&lt;=0,H10&lt;0),"n/m",H10/C10-1),"n/m")</f>
        <v>0.23972602739726034</v>
      </c>
      <c r="I11" s="26">
        <f>IFERROR(IF(OR(D10&lt;=0,I10&lt;0),"n/m",I10/D10-1),"n/m")</f>
        <v>0.17070063694267512</v>
      </c>
      <c r="J11" s="47">
        <f>IFERROR(IF(OR(E10&lt;=0,J10&lt;0),"n/m",J10/E10-1),"n/m")</f>
        <v>0.10415389350396898</v>
      </c>
      <c r="K11" s="1"/>
      <c r="L11" s="1"/>
    </row>
    <row r="12">
      <c r="A12" s="1"/>
      <c r="B12" s="6" t="s">
        <v>85</v>
      </c>
      <c r="C12" s="26"/>
      <c r="D12" s="26">
        <f>IFERROR(IF(OR(C10&lt;=0,D10&lt;0),"n/m",D10/C10-1),"n/m")</f>
        <v>0.07534246575342474</v>
      </c>
      <c r="E12" s="26">
        <f>IFERROR(IF(OR(D10&lt;=0,E10&lt;0),"n/m",E10/D10-1),"n/m")</f>
        <v>0.08407643312101909</v>
      </c>
      <c r="F12" s="26">
        <f>IFERROR(IF(OR(E10&lt;=0,F10&lt;0),"n/m",F10/E10-1),"n/m")</f>
        <v>0.0199764982373678</v>
      </c>
      <c r="G12" s="26"/>
      <c r="H12" s="26">
        <f>IFERROR(IF(OR(F10&lt;=0,H10&lt;0),"n/m",H10/F10-1),"n/m")</f>
        <v>0.04262672811059898</v>
      </c>
      <c r="I12" s="26">
        <f>IFERROR(IF(OR(H10&lt;=0,I10&lt;0),"n/m",I10/H10-1),"n/m")</f>
        <v>0.015469613259668558</v>
      </c>
      <c r="J12" s="47">
        <f>IFERROR(IF(OR(I10&lt;=0,J10&lt;0),"n/m",J10/I10-1),"n/m")</f>
        <v>0.022453714224023535</v>
      </c>
      <c r="K12" s="1"/>
      <c r="L12" s="1"/>
    </row>
    <row r="13">
      <c r="A13" s="1"/>
      <c r="B13" s="6" t="s">
        <v>86</v>
      </c>
      <c r="C13" s="26"/>
      <c r="D13" s="26"/>
      <c r="E13" s="26"/>
      <c r="F13" s="26"/>
      <c r="G13" s="26"/>
      <c r="H13" s="26" t="s">
        <v>78</v>
      </c>
      <c r="I13" s="26" t="s">
        <v>78</v>
      </c>
      <c r="J13" s="47" t="s">
        <v>78</v>
      </c>
      <c r="K13" s="1"/>
      <c r="L13" s="1"/>
    </row>
    <row r="14">
      <c r="A14" s="1"/>
      <c r="B14" s="6" t="s">
        <v>87</v>
      </c>
      <c r="C14" s="26"/>
      <c r="D14" s="26"/>
      <c r="E14" s="26"/>
      <c r="F14" s="26"/>
      <c r="G14" s="26"/>
      <c r="H14" s="26" t="s">
        <v>78</v>
      </c>
      <c r="I14" s="26" t="s">
        <v>78</v>
      </c>
      <c r="J14" s="47" t="s">
        <v>78</v>
      </c>
      <c r="K14" s="1"/>
      <c r="L14" s="1"/>
    </row>
    <row r="15">
      <c r="A15" s="1"/>
      <c r="B15" s="6" t="s">
        <v>88</v>
      </c>
      <c r="C15" s="26"/>
      <c r="D15" s="26"/>
      <c r="E15" s="26"/>
      <c r="F15" s="26"/>
      <c r="G15" s="26"/>
      <c r="H15" s="26" t="s">
        <v>81</v>
      </c>
      <c r="I15" s="26" t="s">
        <v>81</v>
      </c>
      <c r="J15" s="47" t="s">
        <v>81</v>
      </c>
      <c r="K15" s="1"/>
      <c r="L15" s="1"/>
    </row>
    <row r="16" ht="29.25">
      <c r="A16" s="1"/>
      <c r="B16" s="191" t="s">
        <v>122</v>
      </c>
      <c r="C16" s="35">
        <v>2234</v>
      </c>
      <c r="D16" s="35">
        <v>2208</v>
      </c>
      <c r="E16" s="35">
        <v>2353</v>
      </c>
      <c r="F16" s="35">
        <v>2492</v>
      </c>
      <c r="G16" s="5">
        <f>SUM(C16:F16)</f>
        <v>9287</v>
      </c>
      <c r="H16" s="35">
        <v>2503</v>
      </c>
      <c r="I16" s="35">
        <v>2506</v>
      </c>
      <c r="J16" s="15">
        <f>J75*1000*J78</f>
        <v>2732.0195632746627</v>
      </c>
      <c r="K16" s="1" t="s">
        <v>94</v>
      </c>
      <c r="L16" s="1"/>
    </row>
    <row r="17">
      <c r="A17" s="1"/>
      <c r="B17" s="6" t="s">
        <v>84</v>
      </c>
      <c r="C17" s="26"/>
      <c r="D17" s="26"/>
      <c r="E17" s="26"/>
      <c r="F17" s="26"/>
      <c r="G17" s="26"/>
      <c r="H17" s="26">
        <f>IFERROR(IF(OR(C16&lt;=0,H16&lt;0),"n/m",H16/C16-1),"n/m")</f>
        <v>0.12041181736794981</v>
      </c>
      <c r="I17" s="26">
        <f>IFERROR(IF(OR(D16&lt;=0,I16&lt;0),"n/m",I16/D16-1),"n/m")</f>
        <v>0.13496376811594213</v>
      </c>
      <c r="J17" s="47">
        <f>IFERROR(IF(OR(E16&lt;=0,J16&lt;0),"n/m",J16/E16-1),"n/m")</f>
        <v>0.16107928740954636</v>
      </c>
      <c r="K17" s="1"/>
      <c r="L17" s="1"/>
    </row>
    <row r="18">
      <c r="A18" s="1"/>
      <c r="B18" s="6" t="s">
        <v>85</v>
      </c>
      <c r="C18" s="26"/>
      <c r="D18" s="26">
        <f>IFERROR(IF(OR(C16&lt;=0,D16&lt;0),"n/m",D16/C16-1),"n/m")</f>
        <v>-0.011638316920322245</v>
      </c>
      <c r="E18" s="26">
        <f>IFERROR(IF(OR(D16&lt;=0,E16&lt;0),"n/m",E16/D16-1),"n/m")</f>
        <v>0.0656702898550725</v>
      </c>
      <c r="F18" s="26">
        <f>IFERROR(IF(OR(E16&lt;=0,F16&lt;0),"n/m",F16/E16-1),"n/m")</f>
        <v>0.05907352316192105</v>
      </c>
      <c r="G18" s="26"/>
      <c r="H18" s="26">
        <f>IFERROR(IF(OR(F16&lt;=0,H16&lt;0),"n/m",H16/F16-1),"n/m")</f>
        <v>0.004414125200641994</v>
      </c>
      <c r="I18" s="26">
        <f>IFERROR(IF(OR(H16&lt;=0,I16&lt;0),"n/m",I16/H16-1),"n/m")</f>
        <v>0.001198561725928915</v>
      </c>
      <c r="J18" s="47">
        <f>IFERROR(IF(OR(I16&lt;=0,J16&lt;0),"n/m",J16/I16-1),"n/m")</f>
        <v>0.09019136603138977</v>
      </c>
      <c r="K18" s="1"/>
      <c r="L18" s="1"/>
    </row>
    <row r="19">
      <c r="A19" s="1"/>
      <c r="B19" s="6" t="s">
        <v>86</v>
      </c>
      <c r="C19" s="26"/>
      <c r="D19" s="26"/>
      <c r="E19" s="26"/>
      <c r="F19" s="26"/>
      <c r="G19" s="26"/>
      <c r="H19" s="26" t="s">
        <v>78</v>
      </c>
      <c r="I19" s="26" t="s">
        <v>78</v>
      </c>
      <c r="J19" s="47" t="s">
        <v>78</v>
      </c>
      <c r="K19" s="1"/>
      <c r="L19" s="1"/>
    </row>
    <row r="20">
      <c r="A20" s="1"/>
      <c r="B20" s="6" t="s">
        <v>87</v>
      </c>
      <c r="C20" s="26"/>
      <c r="D20" s="26"/>
      <c r="E20" s="26"/>
      <c r="F20" s="26"/>
      <c r="G20" s="26"/>
      <c r="H20" s="26" t="s">
        <v>78</v>
      </c>
      <c r="I20" s="26" t="s">
        <v>78</v>
      </c>
      <c r="J20" s="47" t="s">
        <v>78</v>
      </c>
      <c r="K20" s="1"/>
      <c r="L20" s="1"/>
    </row>
    <row r="21">
      <c r="A21" s="1"/>
      <c r="B21" s="6" t="s">
        <v>88</v>
      </c>
      <c r="C21" s="26"/>
      <c r="D21" s="26"/>
      <c r="E21" s="26"/>
      <c r="F21" s="26"/>
      <c r="G21" s="26"/>
      <c r="H21" s="26" t="s">
        <v>81</v>
      </c>
      <c r="I21" s="26" t="s">
        <v>81</v>
      </c>
      <c r="J21" s="47" t="s">
        <v>81</v>
      </c>
      <c r="K21" s="1"/>
      <c r="L21" s="1"/>
    </row>
    <row r="22" ht="29.25">
      <c r="A22" s="1"/>
      <c r="B22" s="191" t="s">
        <v>123</v>
      </c>
      <c r="C22" s="35">
        <v>421</v>
      </c>
      <c r="D22" s="35">
        <v>400</v>
      </c>
      <c r="E22" s="35">
        <v>424</v>
      </c>
      <c r="F22" s="35">
        <v>442</v>
      </c>
      <c r="G22" s="5">
        <f>SUM(C22:F22)</f>
        <v>1687</v>
      </c>
      <c r="H22" s="35">
        <v>438</v>
      </c>
      <c r="I22" s="35">
        <v>437</v>
      </c>
      <c r="J22" s="15">
        <f>I22*(1+J28)</f>
        <v>441.37</v>
      </c>
      <c r="K22" s="1" t="s">
        <v>94</v>
      </c>
      <c r="L22" s="1"/>
    </row>
    <row r="23">
      <c r="A23" s="1"/>
      <c r="B23" s="6" t="s">
        <v>84</v>
      </c>
      <c r="C23" s="26"/>
      <c r="D23" s="26"/>
      <c r="E23" s="26"/>
      <c r="F23" s="26"/>
      <c r="G23" s="26"/>
      <c r="H23" s="26">
        <f>IFERROR(IF(OR(C22&lt;=0,H22&lt;0),"n/m",H22/C22-1),"n/m")</f>
        <v>0.040380047505938155</v>
      </c>
      <c r="I23" s="26">
        <f>IFERROR(IF(OR(D22&lt;=0,I22&lt;0),"n/m",I22/D22-1),"n/m")</f>
        <v>0.09250000000000003</v>
      </c>
      <c r="J23" s="47">
        <f>IFERROR(IF(OR(E22&lt;=0,J22&lt;0),"n/m",J22/E22-1),"n/m")</f>
        <v>0.04096698113207542</v>
      </c>
      <c r="K23" s="1"/>
      <c r="L23" s="1"/>
    </row>
    <row r="24">
      <c r="A24" s="1"/>
      <c r="B24" s="6" t="s">
        <v>85</v>
      </c>
      <c r="C24" s="26"/>
      <c r="D24" s="26">
        <f>IFERROR(IF(OR(C22&lt;=0,D22&lt;0),"n/m",D22/C22-1),"n/m")</f>
        <v>-0.049881235154394354</v>
      </c>
      <c r="E24" s="26">
        <f>IFERROR(IF(OR(D22&lt;=0,E22&lt;0),"n/m",E22/D22-1),"n/m")</f>
        <v>0.06000000000000005</v>
      </c>
      <c r="F24" s="26">
        <f>IFERROR(IF(OR(E22&lt;=0,F22&lt;0),"n/m",F22/E22-1),"n/m")</f>
        <v>0.04245283018867929</v>
      </c>
      <c r="G24" s="26"/>
      <c r="H24" s="26">
        <f>IFERROR(IF(OR(F22&lt;=0,H22&lt;0),"n/m",H22/F22-1),"n/m")</f>
        <v>-0.009049773755656076</v>
      </c>
      <c r="I24" s="26">
        <f>IFERROR(IF(OR(H22&lt;=0,I22&lt;0),"n/m",I22/H22-1),"n/m")</f>
        <v>-0.0022831050228310223</v>
      </c>
      <c r="J24" s="47">
        <f>IFERROR(IF(OR(I22&lt;=0,J22&lt;0),"n/m",J22/I22-1),"n/m")</f>
        <v>0.010000000000000009</v>
      </c>
      <c r="K24" s="1"/>
      <c r="L24" s="1"/>
    </row>
    <row r="25">
      <c r="A25" s="1"/>
      <c r="B25" s="6" t="s">
        <v>86</v>
      </c>
      <c r="C25" s="26"/>
      <c r="D25" s="26"/>
      <c r="E25" s="26"/>
      <c r="F25" s="26"/>
      <c r="G25" s="26"/>
      <c r="H25" s="26" t="s">
        <v>78</v>
      </c>
      <c r="I25" s="26" t="s">
        <v>78</v>
      </c>
      <c r="J25" s="47" t="s">
        <v>78</v>
      </c>
      <c r="K25" s="1"/>
      <c r="L25" s="1"/>
    </row>
    <row r="26">
      <c r="A26" s="1"/>
      <c r="B26" s="6" t="s">
        <v>87</v>
      </c>
      <c r="C26" s="26"/>
      <c r="D26" s="26"/>
      <c r="E26" s="26"/>
      <c r="F26" s="26"/>
      <c r="G26" s="26"/>
      <c r="H26" s="26" t="s">
        <v>78</v>
      </c>
      <c r="I26" s="26" t="s">
        <v>78</v>
      </c>
      <c r="J26" s="47" t="s">
        <v>78</v>
      </c>
      <c r="K26" s="1"/>
      <c r="L26" s="1"/>
    </row>
    <row r="27">
      <c r="A27" s="1"/>
      <c r="B27" s="6" t="s">
        <v>88</v>
      </c>
      <c r="C27" s="26"/>
      <c r="D27" s="26"/>
      <c r="E27" s="26"/>
      <c r="F27" s="26"/>
      <c r="G27" s="26"/>
      <c r="H27" s="26" t="s">
        <v>81</v>
      </c>
      <c r="I27" s="26" t="s">
        <v>81</v>
      </c>
      <c r="J27" s="47" t="s">
        <v>81</v>
      </c>
      <c r="K27" s="1"/>
      <c r="L27" s="1"/>
    </row>
    <row r="28">
      <c r="A28" s="1"/>
      <c r="B28" s="6" t="s">
        <v>124</v>
      </c>
      <c r="C28" s="26"/>
      <c r="D28" s="26">
        <f>D22/C22-1</f>
        <v>-0.049881235154394354</v>
      </c>
      <c r="E28" s="26">
        <f>E22/D22-1</f>
        <v>0.06000000000000005</v>
      </c>
      <c r="F28" s="26">
        <f>F22/E22-1</f>
        <v>0.04245283018867929</v>
      </c>
      <c r="G28" s="26"/>
      <c r="H28" s="26">
        <f>H22/F22-1</f>
        <v>-0.009049773755656076</v>
      </c>
      <c r="I28" s="26">
        <f>I22/H22-1</f>
        <v>-0.0022831050228310223</v>
      </c>
      <c r="J28" s="106">
        <v>0.01</v>
      </c>
      <c r="K28" s="1"/>
      <c r="L28" s="1"/>
    </row>
    <row r="29">
      <c r="A29" s="1"/>
      <c r="B29" s="1" t="s">
        <v>127</v>
      </c>
      <c r="C29" s="35">
        <v>19</v>
      </c>
      <c r="D29" s="35">
        <v>45</v>
      </c>
      <c r="E29" s="35">
        <v>46</v>
      </c>
      <c r="F29" s="35">
        <v>19</v>
      </c>
      <c r="G29" s="5">
        <f>SUM(C29:F29)</f>
        <v>129</v>
      </c>
      <c r="H29" s="35">
        <v>29</v>
      </c>
      <c r="I29" s="35">
        <v>30</v>
      </c>
      <c r="J29" s="38">
        <v>30</v>
      </c>
      <c r="K29" s="1" t="s">
        <v>94</v>
      </c>
      <c r="L29" s="1"/>
    </row>
    <row r="30">
      <c r="A30" s="1"/>
      <c r="B30" s="6" t="s">
        <v>84</v>
      </c>
      <c r="C30" s="26"/>
      <c r="D30" s="26"/>
      <c r="E30" s="26"/>
      <c r="F30" s="26"/>
      <c r="G30" s="26"/>
      <c r="H30" s="26">
        <f>IFERROR(IF(OR(C29&lt;=0,H29&lt;0),"n/m",H29/C29-1),"n/m")</f>
        <v>0.5263157894736843</v>
      </c>
      <c r="I30" s="26">
        <f>IFERROR(IF(OR(D29&lt;=0,I29&lt;0),"n/m",I29/D29-1),"n/m")</f>
        <v>-0.33333333333333337</v>
      </c>
      <c r="J30" s="47">
        <f>IFERROR(IF(OR(E29&lt;=0,J29&lt;0),"n/m",J29/E29-1),"n/m")</f>
        <v>-0.34782608695652173</v>
      </c>
      <c r="K30" s="1"/>
      <c r="L30" s="1"/>
    </row>
    <row r="31">
      <c r="A31" s="1"/>
      <c r="B31" s="6" t="s">
        <v>85</v>
      </c>
      <c r="C31" s="26"/>
      <c r="D31" s="26">
        <f>IFERROR(IF(OR(C29&lt;=0,D29&lt;0),"n/m",D29/C29-1),"n/m")</f>
        <v>1.3684210526315788</v>
      </c>
      <c r="E31" s="26">
        <f>IFERROR(IF(OR(D29&lt;=0,E29&lt;0),"n/m",E29/D29-1),"n/m")</f>
        <v>0.022222222222222143</v>
      </c>
      <c r="F31" s="26">
        <f>IFERROR(IF(OR(E29&lt;=0,F29&lt;0),"n/m",F29/E29-1),"n/m")</f>
        <v>-0.5869565217391304</v>
      </c>
      <c r="G31" s="26"/>
      <c r="H31" s="26">
        <f>IFERROR(IF(OR(F29&lt;=0,H29&lt;0),"n/m",H29/F29-1),"n/m")</f>
        <v>0.5263157894736843</v>
      </c>
      <c r="I31" s="26">
        <f>IFERROR(IF(OR(H29&lt;=0,I29&lt;0),"n/m",I29/H29-1),"n/m")</f>
        <v>0.034482758620689724</v>
      </c>
      <c r="J31" s="47">
        <f>IFERROR(IF(OR(I29&lt;=0,J29&lt;0),"n/m",J29/I29-1),"n/m")</f>
        <v>0</v>
      </c>
      <c r="K31" s="1"/>
      <c r="L31" s="1"/>
    </row>
    <row r="32">
      <c r="A32" s="1"/>
      <c r="B32" s="6" t="s">
        <v>86</v>
      </c>
      <c r="C32" s="26"/>
      <c r="D32" s="26"/>
      <c r="E32" s="26"/>
      <c r="F32" s="26"/>
      <c r="G32" s="26"/>
      <c r="H32" s="26" t="s">
        <v>78</v>
      </c>
      <c r="I32" s="26" t="s">
        <v>78</v>
      </c>
      <c r="J32" s="47" t="s">
        <v>78</v>
      </c>
      <c r="K32" s="1"/>
      <c r="L32" s="1"/>
    </row>
    <row r="33">
      <c r="A33" s="1"/>
      <c r="B33" s="6" t="s">
        <v>87</v>
      </c>
      <c r="C33" s="26"/>
      <c r="D33" s="26"/>
      <c r="E33" s="26"/>
      <c r="F33" s="26"/>
      <c r="G33" s="26"/>
      <c r="H33" s="26" t="s">
        <v>78</v>
      </c>
      <c r="I33" s="26" t="s">
        <v>78</v>
      </c>
      <c r="J33" s="47" t="s">
        <v>78</v>
      </c>
      <c r="K33" s="1"/>
      <c r="L33" s="1"/>
    </row>
    <row r="34">
      <c r="A34" s="1"/>
      <c r="B34" s="6" t="s">
        <v>88</v>
      </c>
      <c r="C34" s="26"/>
      <c r="D34" s="26"/>
      <c r="E34" s="26"/>
      <c r="F34" s="26"/>
      <c r="G34" s="26"/>
      <c r="H34" s="26" t="s">
        <v>81</v>
      </c>
      <c r="I34" s="26" t="s">
        <v>81</v>
      </c>
      <c r="J34" s="47" t="s">
        <v>81</v>
      </c>
      <c r="K34" s="1"/>
      <c r="L34" s="1"/>
    </row>
    <row r="35">
      <c r="A35" s="1"/>
      <c r="B35" s="9" t="s">
        <v>128</v>
      </c>
      <c r="C35" s="17">
        <f>C16+C22+C29</f>
        <v>2674</v>
      </c>
      <c r="D35" s="17">
        <f>D16+D22+D29</f>
        <v>2653</v>
      </c>
      <c r="E35" s="17">
        <f>E16+E22+E29</f>
        <v>2823</v>
      </c>
      <c r="F35" s="17">
        <f>F16+F22+F29</f>
        <v>2953</v>
      </c>
      <c r="G35" s="17">
        <f>G16+G22+G29</f>
        <v>11103</v>
      </c>
      <c r="H35" s="17">
        <f>H16+H22+H29</f>
        <v>2970</v>
      </c>
      <c r="I35" s="17">
        <f>I16+I22+I29</f>
        <v>2973</v>
      </c>
      <c r="J35" s="42">
        <f>J16+J22+J29</f>
        <v>3203.3895632746626</v>
      </c>
      <c r="K35" s="1"/>
      <c r="L35" s="1"/>
    </row>
    <row r="36">
      <c r="A36" s="1"/>
      <c r="B36" s="6" t="s">
        <v>75</v>
      </c>
      <c r="C36" s="26"/>
      <c r="D36" s="26"/>
      <c r="E36" s="26"/>
      <c r="F36" s="26"/>
      <c r="G36" s="26"/>
      <c r="H36" s="26">
        <f>IFERROR(IF(OR(C35&lt;=0,H35&lt;0),"n/m",H35/C35-1),"n/m")</f>
        <v>0.11069558713537764</v>
      </c>
      <c r="I36" s="26">
        <f>IFERROR(IF(OR(D35&lt;=0,I35&lt;0),"n/m",I35/D35-1),"n/m")</f>
        <v>0.12061816811157189</v>
      </c>
      <c r="J36" s="47">
        <f>IFERROR(IF(OR(E35&lt;=0,J35&lt;0),"n/m",J35/E35-1),"n/m")</f>
        <v>0.13474656864139667</v>
      </c>
      <c r="K36" s="1"/>
      <c r="L36" s="1"/>
    </row>
    <row r="37">
      <c r="A37" s="1"/>
      <c r="B37" s="6" t="s">
        <v>76</v>
      </c>
      <c r="C37" s="26"/>
      <c r="D37" s="26">
        <f>IFERROR(IF(OR(C35&lt;=0,D35&lt;0),"n/m",D35/C35-1),"n/m")</f>
        <v>-0.007853403141361293</v>
      </c>
      <c r="E37" s="26">
        <f>IFERROR(IF(OR(D35&lt;=0,E35&lt;0),"n/m",E35/D35-1),"n/m")</f>
        <v>0.0640784018092726</v>
      </c>
      <c r="F37" s="26">
        <f>IFERROR(IF(OR(E35&lt;=0,F35&lt;0),"n/m",F35/E35-1),"n/m")</f>
        <v>0.04605030109812258</v>
      </c>
      <c r="G37" s="26"/>
      <c r="H37" s="26">
        <f>IFERROR(IF(OR(F35&lt;=0,H35&lt;0),"n/m",H35/F35-1),"n/m")</f>
        <v>0.005756857433118823</v>
      </c>
      <c r="I37" s="26">
        <f>IFERROR(IF(OR(H35&lt;=0,I35&lt;0),"n/m",I35/H35-1),"n/m")</f>
        <v>0.0010101010101009056</v>
      </c>
      <c r="J37" s="47">
        <f>IFERROR(IF(OR(I35&lt;=0,J35&lt;0),"n/m",J35/I35-1),"n/m")</f>
        <v>0.07749396679268838</v>
      </c>
      <c r="K37" s="1"/>
      <c r="L37" s="1"/>
    </row>
    <row r="38">
      <c r="A38" s="1"/>
      <c r="B38" s="6" t="s">
        <v>77</v>
      </c>
      <c r="C38" s="26"/>
      <c r="D38" s="26"/>
      <c r="E38" s="26"/>
      <c r="F38" s="26"/>
      <c r="G38" s="26"/>
      <c r="H38" s="26" t="s">
        <v>78</v>
      </c>
      <c r="I38" s="26" t="s">
        <v>78</v>
      </c>
      <c r="J38" s="47" t="s">
        <v>78</v>
      </c>
      <c r="K38" s="1"/>
      <c r="L38" s="1"/>
    </row>
    <row r="39">
      <c r="A39" s="1"/>
      <c r="B39" s="6" t="s">
        <v>79</v>
      </c>
      <c r="C39" s="26"/>
      <c r="D39" s="26"/>
      <c r="E39" s="26"/>
      <c r="F39" s="26"/>
      <c r="G39" s="26"/>
      <c r="H39" s="26" t="s">
        <v>78</v>
      </c>
      <c r="I39" s="26" t="s">
        <v>78</v>
      </c>
      <c r="J39" s="47" t="s">
        <v>78</v>
      </c>
      <c r="K39" s="1"/>
      <c r="L39" s="1"/>
    </row>
    <row r="40">
      <c r="A40" s="1"/>
      <c r="B40" s="6" t="s">
        <v>80</v>
      </c>
      <c r="C40" s="26"/>
      <c r="D40" s="26"/>
      <c r="E40" s="26"/>
      <c r="F40" s="26"/>
      <c r="G40" s="26"/>
      <c r="H40" s="26" t="s">
        <v>81</v>
      </c>
      <c r="I40" s="26" t="s">
        <v>81</v>
      </c>
      <c r="J40" s="47" t="s">
        <v>81</v>
      </c>
      <c r="K40" s="1"/>
      <c r="L40" s="1"/>
    </row>
    <row r="41">
      <c r="A41" s="1"/>
      <c r="B41" s="9" t="s">
        <v>74</v>
      </c>
      <c r="C41" s="17">
        <f>C10+C35</f>
        <v>3404</v>
      </c>
      <c r="D41" s="17">
        <f>D10+D35</f>
        <v>3438</v>
      </c>
      <c r="E41" s="17">
        <f>E10+E35</f>
        <v>3674</v>
      </c>
      <c r="F41" s="17">
        <f>F10+F35</f>
        <v>3821</v>
      </c>
      <c r="G41" s="17">
        <f>G10+G35</f>
        <v>14337</v>
      </c>
      <c r="H41" s="17">
        <f>H10+H35</f>
        <v>3875</v>
      </c>
      <c r="I41" s="17">
        <f>I10+I35</f>
        <v>3892</v>
      </c>
      <c r="J41" s="42">
        <f>J10+J35</f>
        <v>4143.02452664654</v>
      </c>
      <c r="K41" s="1"/>
      <c r="L41" s="1"/>
    </row>
    <row r="42">
      <c r="A42" s="1"/>
      <c r="B42" s="6" t="s">
        <v>75</v>
      </c>
      <c r="C42" s="26"/>
      <c r="D42" s="26"/>
      <c r="E42" s="26"/>
      <c r="F42" s="26"/>
      <c r="G42" s="26"/>
      <c r="H42" s="26">
        <f>IFERROR(IF(OR(C41&lt;=0,H41&lt;0),"n/m",H41/C41-1),"n/m")</f>
        <v>0.1383666274970623</v>
      </c>
      <c r="I42" s="26">
        <f>IFERROR(IF(OR(D41&lt;=0,I41&lt;0),"n/m",I41/D41-1),"n/m")</f>
        <v>0.13205351948807453</v>
      </c>
      <c r="J42" s="47">
        <f>IFERROR(IF(OR(E41&lt;=0,J41&lt;0),"n/m",J41/E41-1),"n/m")</f>
        <v>0.12766045907635815</v>
      </c>
      <c r="K42" s="1"/>
      <c r="L42" s="1"/>
    </row>
    <row r="43">
      <c r="A43" s="1"/>
      <c r="B43" s="6" t="s">
        <v>76</v>
      </c>
      <c r="C43" s="26"/>
      <c r="D43" s="26">
        <f>IFERROR(IF(OR(C41&lt;=0,D41&lt;0),"n/m",D41/C41-1),"n/m")</f>
        <v>0.009988249118684012</v>
      </c>
      <c r="E43" s="26">
        <f>IFERROR(IF(OR(D41&lt;=0,E41&lt;0),"n/m",E41/D41-1),"n/m")</f>
        <v>0.06864456079115766</v>
      </c>
      <c r="F43" s="26">
        <f>IFERROR(IF(OR(E41&lt;=0,F41&lt;0),"n/m",F41/E41-1),"n/m")</f>
        <v>0.040010887316276555</v>
      </c>
      <c r="G43" s="26"/>
      <c r="H43" s="26">
        <f>IFERROR(IF(OR(F41&lt;=0,H41&lt;0),"n/m",H41/F41-1),"n/m")</f>
        <v>0.014132426066474801</v>
      </c>
      <c r="I43" s="26">
        <f>IFERROR(IF(OR(H41&lt;=0,I41&lt;0),"n/m",I41/H41-1),"n/m")</f>
        <v>0.004387096774193466</v>
      </c>
      <c r="J43" s="47">
        <f>IFERROR(IF(OR(I41&lt;=0,J41&lt;0),"n/m",J41/I41-1),"n/m")</f>
        <v>0.06449756594207079</v>
      </c>
      <c r="K43" s="1"/>
      <c r="L43" s="1"/>
    </row>
    <row r="44">
      <c r="A44" s="1"/>
      <c r="B44" s="6" t="s">
        <v>77</v>
      </c>
      <c r="C44" s="26"/>
      <c r="D44" s="26"/>
      <c r="E44" s="26"/>
      <c r="F44" s="26"/>
      <c r="G44" s="26"/>
      <c r="H44" s="26" t="s">
        <v>78</v>
      </c>
      <c r="I44" s="26" t="s">
        <v>78</v>
      </c>
      <c r="J44" s="47" t="s">
        <v>78</v>
      </c>
      <c r="K44" s="1"/>
      <c r="L44" s="1"/>
    </row>
    <row r="45">
      <c r="A45" s="1"/>
      <c r="B45" s="6" t="s">
        <v>79</v>
      </c>
      <c r="C45" s="26"/>
      <c r="D45" s="26"/>
      <c r="E45" s="26"/>
      <c r="F45" s="26"/>
      <c r="G45" s="26"/>
      <c r="H45" s="26" t="s">
        <v>78</v>
      </c>
      <c r="I45" s="26" t="s">
        <v>78</v>
      </c>
      <c r="J45" s="47" t="s">
        <v>78</v>
      </c>
      <c r="K45" s="1"/>
      <c r="L45" s="1"/>
    </row>
    <row r="46">
      <c r="A46" s="1"/>
      <c r="B46" s="6" t="s">
        <v>80</v>
      </c>
      <c r="C46" s="26"/>
      <c r="D46" s="26"/>
      <c r="E46" s="26"/>
      <c r="F46" s="26"/>
      <c r="G46" s="26"/>
      <c r="H46" s="26" t="s">
        <v>81</v>
      </c>
      <c r="I46" s="26" t="s">
        <v>81</v>
      </c>
      <c r="J46" s="47" t="s">
        <v>81</v>
      </c>
      <c r="K46" s="1"/>
      <c r="L46" s="1"/>
    </row>
    <row r="47">
      <c r="A47" s="1"/>
      <c r="B47" s="1"/>
      <c r="C47" s="13"/>
      <c r="D47" s="13"/>
      <c r="E47" s="13"/>
      <c r="F47" s="13"/>
      <c r="G47" s="13"/>
      <c r="H47" s="13"/>
      <c r="I47" s="13"/>
      <c r="J47" s="27"/>
      <c r="K47" s="1"/>
      <c r="L47" s="1"/>
    </row>
    <row r="48">
      <c r="A48" s="1"/>
      <c r="B48" s="9" t="s">
        <v>299</v>
      </c>
      <c r="C48" s="25"/>
      <c r="D48" s="25"/>
      <c r="E48" s="25"/>
      <c r="F48" s="25"/>
      <c r="G48" s="25"/>
      <c r="H48" s="25"/>
      <c r="I48" s="25"/>
      <c r="J48" s="37"/>
      <c r="K48" s="1"/>
      <c r="L48" s="1"/>
    </row>
    <row r="49">
      <c r="A49" s="1"/>
      <c r="B49" s="1" t="s">
        <v>300</v>
      </c>
      <c r="C49" s="35">
        <v>980</v>
      </c>
      <c r="D49" s="35">
        <v>1042</v>
      </c>
      <c r="E49" s="35">
        <v>1104</v>
      </c>
      <c r="F49" s="35">
        <v>1127</v>
      </c>
      <c r="G49" s="5">
        <f>F49</f>
        <v>1127</v>
      </c>
      <c r="H49" s="35">
        <v>1119</v>
      </c>
      <c r="I49" s="35">
        <v>1225</v>
      </c>
      <c r="J49" s="15">
        <f>J69</f>
        <v>1225</v>
      </c>
      <c r="K49" s="1" t="s">
        <v>94</v>
      </c>
      <c r="L49" s="1"/>
    </row>
    <row r="50">
      <c r="A50" s="1"/>
      <c r="B50" s="1" t="s">
        <v>139</v>
      </c>
      <c r="C50" s="5"/>
      <c r="D50" s="5"/>
      <c r="E50" s="5"/>
      <c r="F50" s="5"/>
      <c r="G50" s="5"/>
      <c r="H50" s="5">
        <f>H49-C49</f>
        <v>139</v>
      </c>
      <c r="I50" s="5">
        <f>I49-D49</f>
        <v>183</v>
      </c>
      <c r="J50" s="15">
        <f>J49-E49</f>
        <v>121</v>
      </c>
      <c r="K50" s="1"/>
      <c r="L50" s="1"/>
    </row>
    <row r="51">
      <c r="A51" s="1"/>
      <c r="B51" s="1" t="s">
        <v>140</v>
      </c>
      <c r="C51" s="5"/>
      <c r="D51" s="5">
        <f>D49-C49</f>
        <v>62</v>
      </c>
      <c r="E51" s="5">
        <f>E49-D49</f>
        <v>62</v>
      </c>
      <c r="F51" s="5">
        <f>F49-E49</f>
        <v>23</v>
      </c>
      <c r="G51" s="5"/>
      <c r="H51" s="5">
        <f>H49-F49</f>
        <v>-8</v>
      </c>
      <c r="I51" s="5">
        <f>I49-H49</f>
        <v>106</v>
      </c>
      <c r="J51" s="15">
        <f>J49-I49</f>
        <v>0</v>
      </c>
      <c r="K51" s="1"/>
      <c r="L51" s="1"/>
    </row>
    <row r="52" ht="29.25">
      <c r="A52" s="1"/>
      <c r="B52" s="191" t="s">
        <v>301</v>
      </c>
      <c r="C52" s="35">
        <v>1253</v>
      </c>
      <c r="D52" s="35">
        <v>1304</v>
      </c>
      <c r="E52" s="35">
        <v>1369</v>
      </c>
      <c r="F52" s="35">
        <v>1382</v>
      </c>
      <c r="G52" s="5">
        <f>F52</f>
        <v>1382</v>
      </c>
      <c r="H52" s="35">
        <v>1364</v>
      </c>
      <c r="I52" s="35">
        <v>1466</v>
      </c>
      <c r="J52" s="15"/>
      <c r="K52" s="1" t="s">
        <v>94</v>
      </c>
      <c r="L52" s="1"/>
    </row>
    <row r="53">
      <c r="A53" s="1"/>
      <c r="B53" s="1" t="s">
        <v>139</v>
      </c>
      <c r="C53" s="5"/>
      <c r="D53" s="5"/>
      <c r="E53" s="5"/>
      <c r="F53" s="5"/>
      <c r="G53" s="5"/>
      <c r="H53" s="5">
        <f>H52-C52</f>
        <v>111</v>
      </c>
      <c r="I53" s="5">
        <f>I52-D52</f>
        <v>162</v>
      </c>
      <c r="J53" s="15"/>
      <c r="K53" s="1"/>
      <c r="L53" s="1"/>
    </row>
    <row r="54">
      <c r="A54" s="1"/>
      <c r="B54" s="1" t="s">
        <v>140</v>
      </c>
      <c r="C54" s="5"/>
      <c r="D54" s="5">
        <f>D52-C52</f>
        <v>51</v>
      </c>
      <c r="E54" s="5">
        <f>E52-D52</f>
        <v>65</v>
      </c>
      <c r="F54" s="5">
        <f>F52-E52</f>
        <v>13</v>
      </c>
      <c r="G54" s="5"/>
      <c r="H54" s="5">
        <f>H52-F52</f>
        <v>-18</v>
      </c>
      <c r="I54" s="5">
        <f>I52-H52</f>
        <v>102</v>
      </c>
      <c r="J54" s="15"/>
      <c r="K54" s="1"/>
      <c r="L54" s="1"/>
    </row>
    <row r="55">
      <c r="A55" s="1"/>
      <c r="B55" s="9" t="s">
        <v>302</v>
      </c>
      <c r="C55" s="17">
        <f>C49+C52</f>
        <v>2233</v>
      </c>
      <c r="D55" s="17">
        <f>D49+D52</f>
        <v>2346</v>
      </c>
      <c r="E55" s="17">
        <f>E49+E52</f>
        <v>2473</v>
      </c>
      <c r="F55" s="17">
        <f>F49+F52</f>
        <v>2509</v>
      </c>
      <c r="G55" s="17">
        <f>G49+G52</f>
        <v>2509</v>
      </c>
      <c r="H55" s="17">
        <f>H49+H52</f>
        <v>2483</v>
      </c>
      <c r="I55" s="17">
        <f>I49+I52</f>
        <v>2691</v>
      </c>
      <c r="J55" s="42"/>
      <c r="K55" s="1"/>
      <c r="L55" s="1"/>
    </row>
    <row r="56">
      <c r="A56" s="1"/>
      <c r="B56" s="1" t="s">
        <v>146</v>
      </c>
      <c r="C56" s="5"/>
      <c r="D56" s="5"/>
      <c r="E56" s="5"/>
      <c r="F56" s="5"/>
      <c r="G56" s="5"/>
      <c r="H56" s="5">
        <f>H55-C55</f>
        <v>250</v>
      </c>
      <c r="I56" s="5">
        <f>I55-D55</f>
        <v>345</v>
      </c>
      <c r="J56" s="15"/>
      <c r="K56" s="1"/>
      <c r="L56" s="1"/>
    </row>
    <row r="57">
      <c r="A57" s="1"/>
      <c r="B57" s="1" t="s">
        <v>147</v>
      </c>
      <c r="C57" s="5"/>
      <c r="D57" s="5">
        <f>D55-C55</f>
        <v>113</v>
      </c>
      <c r="E57" s="5">
        <f>E55-D55</f>
        <v>127</v>
      </c>
      <c r="F57" s="5">
        <f>F55-E55</f>
        <v>36</v>
      </c>
      <c r="G57" s="5"/>
      <c r="H57" s="5">
        <f>H55-F55</f>
        <v>-26</v>
      </c>
      <c r="I57" s="5">
        <f>I55-H55</f>
        <v>208</v>
      </c>
      <c r="J57" s="15"/>
      <c r="K57" s="1"/>
      <c r="L57" s="1"/>
    </row>
    <row r="58">
      <c r="A58" s="1"/>
      <c r="B58" s="1" t="s">
        <v>303</v>
      </c>
      <c r="C58" s="35">
        <v>1996</v>
      </c>
      <c r="D58" s="35">
        <v>2097</v>
      </c>
      <c r="E58" s="35">
        <v>2211</v>
      </c>
      <c r="F58" s="35">
        <v>2244</v>
      </c>
      <c r="G58" s="5">
        <f>F58</f>
        <v>2244</v>
      </c>
      <c r="H58" s="35">
        <v>2222</v>
      </c>
      <c r="I58" s="35">
        <v>2409</v>
      </c>
      <c r="J58" s="15"/>
      <c r="K58" s="1" t="s">
        <v>94</v>
      </c>
      <c r="L58" s="1"/>
    </row>
    <row r="59">
      <c r="A59" s="1"/>
      <c r="B59" s="1" t="s">
        <v>139</v>
      </c>
      <c r="C59" s="5"/>
      <c r="D59" s="5"/>
      <c r="E59" s="5"/>
      <c r="F59" s="5"/>
      <c r="G59" s="5"/>
      <c r="H59" s="5">
        <f>H58-C58</f>
        <v>226</v>
      </c>
      <c r="I59" s="5">
        <f>I58-D58</f>
        <v>312</v>
      </c>
      <c r="J59" s="15"/>
      <c r="K59" s="1"/>
      <c r="L59" s="1"/>
    </row>
    <row r="60">
      <c r="A60" s="1"/>
      <c r="B60" s="1" t="s">
        <v>140</v>
      </c>
      <c r="C60" s="5"/>
      <c r="D60" s="5">
        <f>D58-C58</f>
        <v>101</v>
      </c>
      <c r="E60" s="5">
        <f>E58-D58</f>
        <v>114</v>
      </c>
      <c r="F60" s="5">
        <f>F58-E58</f>
        <v>33</v>
      </c>
      <c r="G60" s="5"/>
      <c r="H60" s="5">
        <f>H58-F58</f>
        <v>-22</v>
      </c>
      <c r="I60" s="5">
        <f>I58-H58</f>
        <v>187</v>
      </c>
      <c r="J60" s="15"/>
      <c r="K60" s="1"/>
      <c r="L60" s="1"/>
    </row>
    <row r="61" ht="29.25">
      <c r="A61" s="1"/>
      <c r="B61" s="194" t="s">
        <v>304</v>
      </c>
      <c r="C61" s="26">
        <f>C49/C55</f>
        <v>0.438871473354232</v>
      </c>
      <c r="D61" s="26">
        <f>D49/D55</f>
        <v>0.4441602728047741</v>
      </c>
      <c r="E61" s="26">
        <f>E49/E55</f>
        <v>0.44642135058633237</v>
      </c>
      <c r="F61" s="26">
        <f>F49/F55</f>
        <v>0.4491829414109207</v>
      </c>
      <c r="G61" s="26">
        <f>G49/G55</f>
        <v>0.4491829414109207</v>
      </c>
      <c r="H61" s="26">
        <f>H49/H55</f>
        <v>0.450664518727346</v>
      </c>
      <c r="I61" s="26">
        <f>I49/I55</f>
        <v>0.4552211073950204</v>
      </c>
      <c r="J61" s="47"/>
      <c r="K61" s="1"/>
      <c r="L61" s="1"/>
    </row>
    <row r="62">
      <c r="A62" s="1"/>
      <c r="B62" s="1" t="s">
        <v>151</v>
      </c>
      <c r="C62" s="5"/>
      <c r="D62" s="5"/>
      <c r="E62" s="5"/>
      <c r="F62" s="5"/>
      <c r="G62" s="5"/>
      <c r="H62" s="5">
        <f>(H61-C61)*10000</f>
        <v>117.93045373113986</v>
      </c>
      <c r="I62" s="5">
        <f>(I61-D61)*10000</f>
        <v>110.60834590246316</v>
      </c>
      <c r="J62" s="15"/>
      <c r="K62" s="1"/>
      <c r="L62" s="1"/>
    </row>
    <row r="63">
      <c r="A63" s="1"/>
      <c r="B63" s="1" t="s">
        <v>152</v>
      </c>
      <c r="C63" s="5"/>
      <c r="D63" s="5">
        <f>(D61-C61)*10000</f>
        <v>52.88799450542114</v>
      </c>
      <c r="E63" s="5">
        <f>(E61-D61)*10000</f>
        <v>22.61077781558263</v>
      </c>
      <c r="F63" s="5">
        <f>(F61-E61)*10000</f>
        <v>27.615908245883226</v>
      </c>
      <c r="G63" s="5"/>
      <c r="H63" s="5">
        <f>(H61-F61)*10000</f>
        <v>14.815773164252866</v>
      </c>
      <c r="I63" s="5">
        <f>(I61-H61)*10000</f>
        <v>45.56588667674444</v>
      </c>
      <c r="J63" s="15"/>
      <c r="K63" s="1"/>
      <c r="L63" s="1"/>
    </row>
    <row r="64">
      <c r="A64" s="1"/>
      <c r="B64" s="9" t="s">
        <v>305</v>
      </c>
      <c r="C64" s="25"/>
      <c r="D64" s="25"/>
      <c r="E64" s="25"/>
      <c r="F64" s="25"/>
      <c r="G64" s="25"/>
      <c r="H64" s="25"/>
      <c r="I64" s="25"/>
      <c r="J64" s="37"/>
      <c r="K64" s="1"/>
      <c r="L64" s="1"/>
    </row>
    <row r="65">
      <c r="A65" s="1"/>
      <c r="B65" s="1" t="s">
        <v>306</v>
      </c>
      <c r="C65" s="5" t="s">
        <v>81</v>
      </c>
      <c r="D65" s="5">
        <f>C49</f>
        <v>980</v>
      </c>
      <c r="E65" s="5">
        <f>D49</f>
        <v>1042</v>
      </c>
      <c r="F65" s="5">
        <f>E49</f>
        <v>1104</v>
      </c>
      <c r="G65" s="5" t="str">
        <f>C65</f>
        <v>Unavailable</v>
      </c>
      <c r="H65" s="5">
        <f>F49</f>
        <v>1127</v>
      </c>
      <c r="I65" s="5">
        <f>H49</f>
        <v>1119</v>
      </c>
      <c r="J65" s="15">
        <f>I49</f>
        <v>1225</v>
      </c>
      <c r="K65" s="1"/>
      <c r="L65" s="1"/>
    </row>
    <row r="66">
      <c r="A66" s="1"/>
      <c r="B66" s="1" t="s">
        <v>307</v>
      </c>
      <c r="C66" s="5" t="s">
        <v>78</v>
      </c>
      <c r="D66" s="5" t="s">
        <v>78</v>
      </c>
      <c r="E66" s="5" t="s">
        <v>78</v>
      </c>
      <c r="F66" s="5" t="s">
        <v>78</v>
      </c>
      <c r="G66" s="5"/>
      <c r="H66" s="5" t="s">
        <v>78</v>
      </c>
      <c r="I66" s="5" t="s">
        <v>78</v>
      </c>
      <c r="J66" s="15"/>
      <c r="K66" s="1"/>
      <c r="L66" s="1"/>
    </row>
    <row r="67">
      <c r="A67" s="1"/>
      <c r="B67" s="1" t="s">
        <v>308</v>
      </c>
      <c r="C67" s="5" t="s">
        <v>78</v>
      </c>
      <c r="D67" s="5" t="s">
        <v>78</v>
      </c>
      <c r="E67" s="5" t="s">
        <v>78</v>
      </c>
      <c r="F67" s="5" t="s">
        <v>78</v>
      </c>
      <c r="G67" s="5"/>
      <c r="H67" s="5" t="s">
        <v>78</v>
      </c>
      <c r="I67" s="5" t="s">
        <v>78</v>
      </c>
      <c r="J67" s="15"/>
      <c r="K67" s="1"/>
      <c r="L67" s="1"/>
    </row>
    <row r="68" ht="29.25">
      <c r="A68" s="1"/>
      <c r="B68" s="191" t="s">
        <v>309</v>
      </c>
      <c r="C68" s="5"/>
      <c r="D68" s="5">
        <f>D49-D65</f>
        <v>62</v>
      </c>
      <c r="E68" s="5">
        <f>E49-E65</f>
        <v>62</v>
      </c>
      <c r="F68" s="5">
        <f>F49-F65</f>
        <v>23</v>
      </c>
      <c r="G68" s="5" t="s">
        <v>81</v>
      </c>
      <c r="H68" s="5">
        <f>H49-H65</f>
        <v>-8</v>
      </c>
      <c r="I68" s="5">
        <f>I49-I65</f>
        <v>106</v>
      </c>
      <c r="J68" s="203">
        <v>0</v>
      </c>
      <c r="K68" s="1"/>
      <c r="L68" s="1"/>
    </row>
    <row r="69">
      <c r="A69" s="1"/>
      <c r="B69" s="1" t="s">
        <v>310</v>
      </c>
      <c r="C69" s="5">
        <f>C49</f>
        <v>980</v>
      </c>
      <c r="D69" s="5">
        <f>D49</f>
        <v>1042</v>
      </c>
      <c r="E69" s="5">
        <f>E49</f>
        <v>1104</v>
      </c>
      <c r="F69" s="5">
        <f>F49</f>
        <v>1127</v>
      </c>
      <c r="G69" s="5">
        <f>G49</f>
        <v>1127</v>
      </c>
      <c r="H69" s="5">
        <f>H49</f>
        <v>1119</v>
      </c>
      <c r="I69" s="5">
        <f>I49</f>
        <v>1225</v>
      </c>
      <c r="J69" s="15">
        <f>J65+J68</f>
        <v>1225</v>
      </c>
      <c r="K69" s="1"/>
      <c r="L69" s="1"/>
    </row>
    <row r="70">
      <c r="A70" s="1"/>
      <c r="B70" s="1" t="s">
        <v>139</v>
      </c>
      <c r="C70" s="5"/>
      <c r="D70" s="5"/>
      <c r="E70" s="5"/>
      <c r="F70" s="5"/>
      <c r="G70" s="5"/>
      <c r="H70" s="5">
        <f>H69-C69</f>
        <v>139</v>
      </c>
      <c r="I70" s="5">
        <f>I69-D69</f>
        <v>183</v>
      </c>
      <c r="J70" s="15">
        <f>J69-E69</f>
        <v>121</v>
      </c>
      <c r="K70" s="1"/>
      <c r="L70" s="1"/>
    </row>
    <row r="71">
      <c r="A71" s="1"/>
      <c r="B71" s="1" t="s">
        <v>140</v>
      </c>
      <c r="C71" s="5"/>
      <c r="D71" s="5">
        <f>D69-C69</f>
        <v>62</v>
      </c>
      <c r="E71" s="5">
        <f>E69-D69</f>
        <v>62</v>
      </c>
      <c r="F71" s="5">
        <f>F69-E69</f>
        <v>23</v>
      </c>
      <c r="G71" s="5"/>
      <c r="H71" s="5">
        <f>H69-F69</f>
        <v>-8</v>
      </c>
      <c r="I71" s="5">
        <f>I69-H69</f>
        <v>106</v>
      </c>
      <c r="J71" s="15">
        <f>J69-I69</f>
        <v>0</v>
      </c>
      <c r="K71" s="1"/>
      <c r="L71" s="1"/>
    </row>
    <row r="72" ht="29.25">
      <c r="A72" s="1"/>
      <c r="B72" s="191" t="s">
        <v>311</v>
      </c>
      <c r="C72" s="5"/>
      <c r="D72" s="5">
        <f>(D65+D69)/2</f>
        <v>1011</v>
      </c>
      <c r="E72" s="5">
        <f>(E65+E69)/2</f>
        <v>1073</v>
      </c>
      <c r="F72" s="5">
        <f>(F65+F69)/2</f>
        <v>1115.5</v>
      </c>
      <c r="G72" s="5"/>
      <c r="H72" s="5">
        <f>(H65+H69)/2</f>
        <v>1123</v>
      </c>
      <c r="I72" s="5">
        <f>(I65+I69)/2</f>
        <v>1172</v>
      </c>
      <c r="J72" s="15">
        <f>(J65+J69)/2</f>
        <v>1225</v>
      </c>
      <c r="K72" s="1"/>
      <c r="L72" s="1"/>
    </row>
    <row r="73">
      <c r="A73" s="1"/>
      <c r="B73" s="1" t="s">
        <v>139</v>
      </c>
      <c r="C73" s="5"/>
      <c r="D73" s="5"/>
      <c r="E73" s="5"/>
      <c r="F73" s="5"/>
      <c r="G73" s="5"/>
      <c r="H73" s="5"/>
      <c r="I73" s="5">
        <f>I72-D72</f>
        <v>161</v>
      </c>
      <c r="J73" s="15">
        <f>J72-E72</f>
        <v>152</v>
      </c>
      <c r="K73" s="1"/>
      <c r="L73" s="1"/>
    </row>
    <row r="74">
      <c r="A74" s="1"/>
      <c r="B74" s="1" t="s">
        <v>140</v>
      </c>
      <c r="C74" s="5"/>
      <c r="D74" s="5"/>
      <c r="E74" s="5">
        <f>E72-D72</f>
        <v>62</v>
      </c>
      <c r="F74" s="5">
        <f>F72-E72</f>
        <v>42.5</v>
      </c>
      <c r="G74" s="5"/>
      <c r="H74" s="5">
        <f>H72-F72</f>
        <v>7.5</v>
      </c>
      <c r="I74" s="5">
        <f>I72-H72</f>
        <v>49</v>
      </c>
      <c r="J74" s="15">
        <f>J72-I72</f>
        <v>53</v>
      </c>
      <c r="K74" s="1"/>
      <c r="L74" s="1"/>
    </row>
    <row r="75" ht="29.25">
      <c r="A75" s="1"/>
      <c r="B75" s="191" t="s">
        <v>312</v>
      </c>
      <c r="C75" s="5" t="s">
        <v>81</v>
      </c>
      <c r="D75" s="5">
        <f>C49</f>
        <v>980</v>
      </c>
      <c r="E75" s="5">
        <f>D49</f>
        <v>1042</v>
      </c>
      <c r="F75" s="5">
        <f>E49</f>
        <v>1104</v>
      </c>
      <c r="G75" s="5" t="str">
        <f>C75</f>
        <v>Unavailable</v>
      </c>
      <c r="H75" s="5">
        <f>F49</f>
        <v>1127</v>
      </c>
      <c r="I75" s="5">
        <f>H49</f>
        <v>1119</v>
      </c>
      <c r="J75" s="15">
        <f>I49</f>
        <v>1225</v>
      </c>
      <c r="K75" s="1"/>
      <c r="L75" s="1"/>
    </row>
    <row r="76">
      <c r="A76" s="1"/>
      <c r="B76" s="1" t="s">
        <v>139</v>
      </c>
      <c r="C76" s="5"/>
      <c r="D76" s="5"/>
      <c r="E76" s="5"/>
      <c r="F76" s="5"/>
      <c r="G76" s="5"/>
      <c r="H76" s="5"/>
      <c r="I76" s="5">
        <f>I75-D75</f>
        <v>139</v>
      </c>
      <c r="J76" s="15">
        <f>J75-E75</f>
        <v>183</v>
      </c>
      <c r="K76" s="1"/>
      <c r="L76" s="1"/>
    </row>
    <row r="77">
      <c r="A77" s="1"/>
      <c r="B77" s="1" t="s">
        <v>140</v>
      </c>
      <c r="C77" s="5"/>
      <c r="D77" s="5"/>
      <c r="E77" s="5">
        <f>E75-D75</f>
        <v>62</v>
      </c>
      <c r="F77" s="5">
        <f>F75-E75</f>
        <v>62</v>
      </c>
      <c r="G77" s="5"/>
      <c r="H77" s="5">
        <f>H75-F75</f>
        <v>23</v>
      </c>
      <c r="I77" s="5">
        <f>I75-H75</f>
        <v>-8</v>
      </c>
      <c r="J77" s="15">
        <f>J75-I75</f>
        <v>106</v>
      </c>
      <c r="K77" s="1"/>
      <c r="L77" s="1"/>
    </row>
    <row r="78" ht="29.25">
      <c r="A78" s="1"/>
      <c r="B78" s="194" t="s">
        <v>313</v>
      </c>
      <c r="C78" s="200"/>
      <c r="D78" s="200">
        <f>D16/(D75*1000)</f>
        <v>0.002253061224489796</v>
      </c>
      <c r="E78" s="200">
        <f>E16/(E75*1000)</f>
        <v>0.002258157389635317</v>
      </c>
      <c r="F78" s="200">
        <f>F16/(F75*1000)</f>
        <v>0.002257246376811594</v>
      </c>
      <c r="G78" s="200"/>
      <c r="H78" s="200">
        <f>H16/(H75*1000)</f>
        <v>0.002220940550133097</v>
      </c>
      <c r="I78" s="200">
        <f>I16/(I75*1000)</f>
        <v>0.0022394995531724755</v>
      </c>
      <c r="J78" s="201">
        <f>AVERAGE(H78,I78)</f>
        <v>0.002230220051652786</v>
      </c>
      <c r="K78" s="1"/>
      <c r="L78" s="1"/>
    </row>
    <row r="79">
      <c r="A79" s="1"/>
      <c r="B79" s="1" t="s">
        <v>151</v>
      </c>
      <c r="C79" s="5"/>
      <c r="D79" s="5"/>
      <c r="E79" s="5"/>
      <c r="F79" s="5"/>
      <c r="G79" s="5"/>
      <c r="H79" s="5"/>
      <c r="I79" s="5">
        <f>(I78-D78)*10000</f>
        <v>-0.1356167131732035</v>
      </c>
      <c r="J79" s="15">
        <f>(J78-E78)*10000</f>
        <v>-0.27937337982530863</v>
      </c>
      <c r="K79" s="1"/>
      <c r="L79" s="1"/>
    </row>
    <row r="80">
      <c r="A80" s="1"/>
      <c r="B80" s="1" t="s">
        <v>152</v>
      </c>
      <c r="C80" s="5"/>
      <c r="D80" s="5"/>
      <c r="E80" s="5">
        <f>(E78-D78)*10000</f>
        <v>0.05096165145520963</v>
      </c>
      <c r="F80" s="5">
        <f>(F78-E78)*10000</f>
        <v>-0.009110128237226935</v>
      </c>
      <c r="G80" s="5"/>
      <c r="H80" s="5">
        <f>(H78-F78)*10000</f>
        <v>-0.3630582667849729</v>
      </c>
      <c r="I80" s="5">
        <f>(I78-H78)*10000</f>
        <v>0.1855900303937867</v>
      </c>
      <c r="J80" s="15">
        <f>(J78-I78)*10000</f>
        <v>-0.09279501519689551</v>
      </c>
      <c r="K80" s="1"/>
      <c r="L80" s="1"/>
    </row>
    <row r="81">
      <c r="A81" s="1"/>
      <c r="B81" s="1"/>
      <c r="C81" s="13"/>
      <c r="D81" s="13"/>
      <c r="E81" s="13"/>
      <c r="F81" s="13"/>
      <c r="G81" s="13"/>
      <c r="H81" s="13"/>
      <c r="I81" s="13"/>
      <c r="J81" s="27"/>
      <c r="K81" s="1"/>
      <c r="L81" s="1"/>
    </row>
    <row r="82" ht="29.25">
      <c r="A82" s="1"/>
      <c r="B82" s="28" t="s">
        <v>280</v>
      </c>
      <c r="C82" s="25"/>
      <c r="D82" s="25"/>
      <c r="E82" s="25"/>
      <c r="F82" s="25"/>
      <c r="G82" s="25"/>
      <c r="H82" s="25"/>
      <c r="I82" s="25"/>
      <c r="J82" s="37"/>
      <c r="K82" s="1"/>
      <c r="L82" s="1"/>
    </row>
    <row r="83">
      <c r="A83" s="1"/>
      <c r="B83" s="1" t="s">
        <v>234</v>
      </c>
      <c r="C83" s="35">
        <v>80930</v>
      </c>
      <c r="D83" s="35">
        <v>81271</v>
      </c>
      <c r="E83" s="35">
        <v>82330</v>
      </c>
      <c r="F83" s="35">
        <v>84949</v>
      </c>
      <c r="G83" s="5">
        <f>(C83*C$6+D83*D$6+E83*E$6+F83*F$6)/G$6</f>
        <v>82380.90136986302</v>
      </c>
      <c r="H83" s="35">
        <v>88386</v>
      </c>
      <c r="I83" s="35">
        <v>91143</v>
      </c>
      <c r="J83" s="15">
        <f>I83*(1+J84)</f>
        <v>93421.575</v>
      </c>
      <c r="K83" s="1" t="s">
        <v>94</v>
      </c>
      <c r="L83" s="1"/>
    </row>
    <row r="84">
      <c r="A84" s="1"/>
      <c r="B84" s="6" t="s">
        <v>124</v>
      </c>
      <c r="C84" s="26"/>
      <c r="D84" s="26">
        <f>D83/C83-1</f>
        <v>0.004213517854936288</v>
      </c>
      <c r="E84" s="26">
        <f>E83/D83-1</f>
        <v>0.013030478276383928</v>
      </c>
      <c r="F84" s="26">
        <f>F83/E83-1</f>
        <v>0.03181100449410912</v>
      </c>
      <c r="G84" s="26"/>
      <c r="H84" s="26">
        <f>H83/F83-1</f>
        <v>0.040459569859562894</v>
      </c>
      <c r="I84" s="26">
        <f>I83/H83-1</f>
        <v>0.031192722829407327</v>
      </c>
      <c r="J84" s="106">
        <v>0.025</v>
      </c>
      <c r="K84" s="1"/>
      <c r="L84" s="1"/>
    </row>
    <row r="85">
      <c r="A85" s="1"/>
      <c r="B85" s="1" t="s">
        <v>139</v>
      </c>
      <c r="C85" s="5"/>
      <c r="D85" s="5"/>
      <c r="E85" s="5"/>
      <c r="F85" s="5"/>
      <c r="G85" s="5"/>
      <c r="H85" s="5">
        <f>H83-C83</f>
        <v>7456</v>
      </c>
      <c r="I85" s="5">
        <f>I83-D83</f>
        <v>9872</v>
      </c>
      <c r="J85" s="15">
        <f>J83-E83</f>
        <v>11091.574999999997</v>
      </c>
      <c r="K85" s="1"/>
      <c r="L85" s="1"/>
    </row>
    <row r="86">
      <c r="A86" s="1"/>
      <c r="B86" s="1" t="s">
        <v>140</v>
      </c>
      <c r="C86" s="5"/>
      <c r="D86" s="5">
        <f>D83-C83</f>
        <v>341</v>
      </c>
      <c r="E86" s="5">
        <f>E83-D83</f>
        <v>1059</v>
      </c>
      <c r="F86" s="5">
        <f>F83-E83</f>
        <v>2619</v>
      </c>
      <c r="G86" s="5"/>
      <c r="H86" s="5">
        <f>H83-F83</f>
        <v>3437</v>
      </c>
      <c r="I86" s="5">
        <f>I83-H83</f>
        <v>2757</v>
      </c>
      <c r="J86" s="15">
        <f>J83-I83</f>
        <v>2278.574999999997</v>
      </c>
      <c r="K86" s="1"/>
      <c r="L86" s="1"/>
    </row>
    <row r="87">
      <c r="A87" s="1"/>
      <c r="B87" s="1" t="s">
        <v>148</v>
      </c>
      <c r="C87" s="35">
        <v>102097</v>
      </c>
      <c r="D87" s="35">
        <v>99458</v>
      </c>
      <c r="E87" s="35">
        <v>99764</v>
      </c>
      <c r="F87" s="35">
        <v>105542</v>
      </c>
      <c r="G87" s="5">
        <f>(C87*C$6+D87*D$6+E87*E$6+F87*F$6)/G$6</f>
        <v>101719.34246575342</v>
      </c>
      <c r="H87" s="35">
        <v>112098</v>
      </c>
      <c r="I87" s="35">
        <v>109788</v>
      </c>
      <c r="J87" s="15">
        <f>I87*(1+J88)</f>
        <v>109788</v>
      </c>
      <c r="K87" s="1" t="s">
        <v>94</v>
      </c>
      <c r="L87" s="1"/>
    </row>
    <row r="88">
      <c r="A88" s="1"/>
      <c r="B88" s="6" t="s">
        <v>124</v>
      </c>
      <c r="C88" s="26"/>
      <c r="D88" s="26">
        <f>D87/C87-1</f>
        <v>-0.025847968108759334</v>
      </c>
      <c r="E88" s="26">
        <f>E87/D87-1</f>
        <v>0.003076675581652477</v>
      </c>
      <c r="F88" s="26">
        <f>F87/E87-1</f>
        <v>0.05791668337275979</v>
      </c>
      <c r="G88" s="26"/>
      <c r="H88" s="26">
        <f>H87/F87-1</f>
        <v>0.06211745087263831</v>
      </c>
      <c r="I88" s="26">
        <f>I87/H87-1</f>
        <v>-0.020606968902210587</v>
      </c>
      <c r="J88" s="202">
        <v>0</v>
      </c>
      <c r="K88" s="1"/>
      <c r="L88" s="1"/>
    </row>
    <row r="89">
      <c r="A89" s="1"/>
      <c r="B89" s="1" t="s">
        <v>139</v>
      </c>
      <c r="C89" s="5"/>
      <c r="D89" s="5"/>
      <c r="E89" s="5"/>
      <c r="F89" s="5"/>
      <c r="G89" s="5"/>
      <c r="H89" s="5">
        <f>H87-C87</f>
        <v>10001</v>
      </c>
      <c r="I89" s="5">
        <f>I87-D87</f>
        <v>10330</v>
      </c>
      <c r="J89" s="15">
        <f>J87-E87</f>
        <v>10024</v>
      </c>
      <c r="K89" s="1"/>
      <c r="L89" s="1"/>
    </row>
    <row r="90">
      <c r="A90" s="1"/>
      <c r="B90" s="1" t="s">
        <v>140</v>
      </c>
      <c r="C90" s="5"/>
      <c r="D90" s="5">
        <f>D87-C87</f>
        <v>-2639</v>
      </c>
      <c r="E90" s="5">
        <f>E87-D87</f>
        <v>306</v>
      </c>
      <c r="F90" s="5">
        <f>F87-E87</f>
        <v>5778</v>
      </c>
      <c r="G90" s="5"/>
      <c r="H90" s="5">
        <f>H87-F87</f>
        <v>6556</v>
      </c>
      <c r="I90" s="5">
        <f>I87-H87</f>
        <v>-2310</v>
      </c>
      <c r="J90" s="15">
        <f>J87-I87</f>
        <v>0</v>
      </c>
      <c r="K90" s="1"/>
      <c r="L90" s="1"/>
    </row>
    <row r="91" ht="29.25">
      <c r="A91" s="1"/>
      <c r="B91" s="191" t="s">
        <v>149</v>
      </c>
      <c r="C91" s="5">
        <f>C83+C87</f>
        <v>183027</v>
      </c>
      <c r="D91" s="5">
        <f>D83+D87</f>
        <v>180729</v>
      </c>
      <c r="E91" s="5">
        <f>E83+E87</f>
        <v>182094</v>
      </c>
      <c r="F91" s="5">
        <f>F83+F87</f>
        <v>190491</v>
      </c>
      <c r="G91" s="5">
        <f>G83+G87</f>
        <v>184100.24383561645</v>
      </c>
      <c r="H91" s="5">
        <f>H83+H87</f>
        <v>200484</v>
      </c>
      <c r="I91" s="5">
        <f>I83+I87</f>
        <v>200931</v>
      </c>
      <c r="J91" s="15">
        <f>J83+J87</f>
        <v>203209.575</v>
      </c>
      <c r="K91" s="1"/>
      <c r="L91" s="1"/>
    </row>
    <row r="92">
      <c r="A92" s="1"/>
      <c r="B92" s="1" t="s">
        <v>139</v>
      </c>
      <c r="C92" s="5"/>
      <c r="D92" s="5"/>
      <c r="E92" s="5"/>
      <c r="F92" s="5"/>
      <c r="G92" s="5"/>
      <c r="H92" s="5">
        <f>H91-C91</f>
        <v>17457</v>
      </c>
      <c r="I92" s="5">
        <f>I91-D91</f>
        <v>20202</v>
      </c>
      <c r="J92" s="15">
        <f>J91-E91</f>
        <v>21115.57500000001</v>
      </c>
      <c r="K92" s="1"/>
      <c r="L92" s="1"/>
    </row>
    <row r="93">
      <c r="A93" s="1"/>
      <c r="B93" s="1" t="s">
        <v>140</v>
      </c>
      <c r="C93" s="5"/>
      <c r="D93" s="5">
        <f>D91-C91</f>
        <v>-2298</v>
      </c>
      <c r="E93" s="5">
        <f>E91-D91</f>
        <v>1365</v>
      </c>
      <c r="F93" s="5">
        <f>F91-E91</f>
        <v>8397</v>
      </c>
      <c r="G93" s="5"/>
      <c r="H93" s="5">
        <f>H91-F91</f>
        <v>9993</v>
      </c>
      <c r="I93" s="5">
        <f>I91-H91</f>
        <v>447</v>
      </c>
      <c r="J93" s="15">
        <f>J91-I91</f>
        <v>2278.5750000000116</v>
      </c>
      <c r="K93" s="1"/>
      <c r="L93" s="1"/>
    </row>
    <row r="94" ht="29.25">
      <c r="A94" s="1"/>
      <c r="B94" s="194" t="s">
        <v>150</v>
      </c>
      <c r="C94" s="200">
        <f>C10/C91*365/C9</f>
        <v>0.016175512659637955</v>
      </c>
      <c r="D94" s="200">
        <f>D10/D91*365/D9</f>
        <v>0.017421810410207406</v>
      </c>
      <c r="E94" s="200">
        <f>E10/E91*365/E9</f>
        <v>0.0185412479268949</v>
      </c>
      <c r="F94" s="200">
        <f>F10/F91*365/F9</f>
        <v>0.018077996609676638</v>
      </c>
      <c r="G94" s="200">
        <f>G10/G91*365/G9</f>
        <v>0.017566516657564268</v>
      </c>
      <c r="H94" s="200">
        <f>H10/H91*365/H9</f>
        <v>0.018307085741394714</v>
      </c>
      <c r="I94" s="200">
        <f>I10/I91*365/I9</f>
        <v>0.018345098073960224</v>
      </c>
      <c r="J94" s="201">
        <f>I94</f>
        <v>0.018345098073960224</v>
      </c>
      <c r="K94" s="1"/>
      <c r="L94" s="1"/>
    </row>
    <row r="95">
      <c r="A95" s="1"/>
      <c r="B95" s="1" t="s">
        <v>151</v>
      </c>
      <c r="C95" s="5"/>
      <c r="D95" s="5"/>
      <c r="E95" s="5"/>
      <c r="F95" s="5"/>
      <c r="G95" s="5"/>
      <c r="H95" s="5">
        <f>(H94-C94)*10000</f>
        <v>21.315730817567587</v>
      </c>
      <c r="I95" s="5">
        <f>(I94-D94)*10000</f>
        <v>9.232876637528184</v>
      </c>
      <c r="J95" s="15">
        <f>(J94-E94)*10000</f>
        <v>-1.9614985293467737</v>
      </c>
      <c r="K95" s="1"/>
      <c r="L95" s="1"/>
    </row>
    <row r="96">
      <c r="A96" s="1"/>
      <c r="B96" s="1" t="s">
        <v>152</v>
      </c>
      <c r="C96" s="5"/>
      <c r="D96" s="5">
        <f>(D94-C94)*10000</f>
        <v>12.462977505694507</v>
      </c>
      <c r="E96" s="5">
        <f>(E94-D94)*10000</f>
        <v>11.194375166874957</v>
      </c>
      <c r="F96" s="5">
        <f>(F94-E94)*10000</f>
        <v>-4.632513172182634</v>
      </c>
      <c r="G96" s="5"/>
      <c r="H96" s="5">
        <f>(H94-F94)*10000</f>
        <v>2.290891317180757</v>
      </c>
      <c r="I96" s="5">
        <f>(I94-H94)*10000</f>
        <v>0.38012332565510315</v>
      </c>
      <c r="J96" s="15">
        <f>(J94-I94)*10000</f>
        <v>0</v>
      </c>
      <c r="K96" s="1"/>
      <c r="L96" s="1"/>
    </row>
    <row r="97">
      <c r="A97" s="1"/>
      <c r="B97" s="1" t="s">
        <v>314</v>
      </c>
      <c r="C97" s="35">
        <v>80955</v>
      </c>
      <c r="D97" s="35">
        <v>81327</v>
      </c>
      <c r="E97" s="35">
        <v>83786</v>
      </c>
      <c r="F97" s="35">
        <v>87106</v>
      </c>
      <c r="G97" s="5">
        <f>F97</f>
        <v>87106</v>
      </c>
      <c r="H97" s="35">
        <v>89537</v>
      </c>
      <c r="I97" s="35">
        <v>93804</v>
      </c>
      <c r="J97" s="15"/>
      <c r="K97" s="1" t="s">
        <v>94</v>
      </c>
      <c r="L97" s="1"/>
    </row>
    <row r="98">
      <c r="A98" s="1"/>
      <c r="B98" s="1" t="s">
        <v>139</v>
      </c>
      <c r="C98" s="5"/>
      <c r="D98" s="5"/>
      <c r="E98" s="5"/>
      <c r="F98" s="5"/>
      <c r="G98" s="5"/>
      <c r="H98" s="5">
        <f>H97-C97</f>
        <v>8582</v>
      </c>
      <c r="I98" s="5">
        <f>I97-D97</f>
        <v>12477</v>
      </c>
      <c r="J98" s="15"/>
      <c r="K98" s="1"/>
      <c r="L98" s="1"/>
    </row>
    <row r="99">
      <c r="A99" s="1"/>
      <c r="B99" s="1" t="s">
        <v>140</v>
      </c>
      <c r="C99" s="5"/>
      <c r="D99" s="5">
        <f>D97-C97</f>
        <v>372</v>
      </c>
      <c r="E99" s="5">
        <f>E97-D97</f>
        <v>2459</v>
      </c>
      <c r="F99" s="5">
        <f>F97-E97</f>
        <v>3320</v>
      </c>
      <c r="G99" s="5"/>
      <c r="H99" s="5">
        <f>H97-F97</f>
        <v>2431</v>
      </c>
      <c r="I99" s="5">
        <f>I97-H97</f>
        <v>4267</v>
      </c>
      <c r="J99" s="15"/>
      <c r="K99" s="1"/>
      <c r="L99" s="1"/>
    </row>
    <row r="100">
      <c r="A100" s="1"/>
      <c r="B100" s="1" t="s">
        <v>166</v>
      </c>
      <c r="C100" s="35">
        <v>102162</v>
      </c>
      <c r="D100" s="35">
        <v>97318</v>
      </c>
      <c r="E100" s="35">
        <v>103957</v>
      </c>
      <c r="F100" s="35">
        <v>117478</v>
      </c>
      <c r="G100" s="5">
        <f>F100</f>
        <v>117478</v>
      </c>
      <c r="H100" s="35">
        <v>113659</v>
      </c>
      <c r="I100" s="35">
        <v>110599</v>
      </c>
      <c r="J100" s="15"/>
      <c r="K100" s="1" t="s">
        <v>94</v>
      </c>
      <c r="L100" s="1"/>
    </row>
    <row r="101">
      <c r="A101" s="1"/>
      <c r="B101" s="1" t="s">
        <v>139</v>
      </c>
      <c r="C101" s="5"/>
      <c r="D101" s="5"/>
      <c r="E101" s="5"/>
      <c r="F101" s="5"/>
      <c r="G101" s="5"/>
      <c r="H101" s="5">
        <f>H100-C100</f>
        <v>11497</v>
      </c>
      <c r="I101" s="5">
        <f>I100-D100</f>
        <v>13281</v>
      </c>
      <c r="J101" s="15"/>
      <c r="K101" s="1"/>
      <c r="L101" s="1"/>
    </row>
    <row r="102">
      <c r="A102" s="1"/>
      <c r="B102" s="1" t="s">
        <v>140</v>
      </c>
      <c r="C102" s="5"/>
      <c r="D102" s="5">
        <f>D100-C100</f>
        <v>-4844</v>
      </c>
      <c r="E102" s="5">
        <f>E100-D100</f>
        <v>6639</v>
      </c>
      <c r="F102" s="5">
        <f>F100-E100</f>
        <v>13521</v>
      </c>
      <c r="G102" s="5"/>
      <c r="H102" s="5">
        <f>H100-F100</f>
        <v>-3819</v>
      </c>
      <c r="I102" s="5">
        <f>I100-H100</f>
        <v>-3060</v>
      </c>
      <c r="J102" s="15"/>
      <c r="K102" s="1"/>
      <c r="L102" s="1"/>
    </row>
    <row r="103">
      <c r="A103" s="1"/>
      <c r="B103" s="1"/>
      <c r="C103" s="13"/>
      <c r="D103" s="13"/>
      <c r="E103" s="13"/>
      <c r="F103" s="13"/>
      <c r="G103" s="13"/>
      <c r="H103" s="13"/>
      <c r="I103" s="13"/>
      <c r="J103" s="27"/>
      <c r="K103" s="1"/>
      <c r="L103" s="1"/>
    </row>
    <row r="104">
      <c r="A104" s="1"/>
      <c r="B104" s="9" t="s">
        <v>215</v>
      </c>
      <c r="C104" s="25"/>
      <c r="D104" s="25"/>
      <c r="E104" s="25"/>
      <c r="F104" s="25"/>
      <c r="G104" s="25"/>
      <c r="H104" s="25"/>
      <c r="I104" s="25"/>
      <c r="J104" s="37"/>
      <c r="K104" s="1"/>
      <c r="L104" s="1"/>
    </row>
    <row r="105">
      <c r="A105" s="1"/>
      <c r="B105" s="1" t="s">
        <v>216</v>
      </c>
      <c r="C105" s="35">
        <v>-6</v>
      </c>
      <c r="D105" s="35">
        <v>6</v>
      </c>
      <c r="E105" s="35">
        <v>-1</v>
      </c>
      <c r="F105" s="198">
        <v>0</v>
      </c>
      <c r="G105" s="5">
        <f>SUM(C105:F105)</f>
        <v>-1</v>
      </c>
      <c r="H105" s="35">
        <v>-1</v>
      </c>
      <c r="I105" s="35">
        <v>-1</v>
      </c>
      <c r="J105" s="203">
        <v>0</v>
      </c>
      <c r="K105" s="1" t="s">
        <v>94</v>
      </c>
      <c r="L105" s="1"/>
    </row>
    <row r="106">
      <c r="A106" s="1"/>
      <c r="B106" s="1" t="s">
        <v>139</v>
      </c>
      <c r="C106" s="5"/>
      <c r="D106" s="5"/>
      <c r="E106" s="5"/>
      <c r="F106" s="5"/>
      <c r="G106" s="5"/>
      <c r="H106" s="5">
        <f>H105-C105</f>
        <v>5</v>
      </c>
      <c r="I106" s="5">
        <f>I105-D105</f>
        <v>-7</v>
      </c>
      <c r="J106" s="15">
        <f>J105-E105</f>
        <v>1</v>
      </c>
      <c r="K106" s="1"/>
      <c r="L106" s="1"/>
    </row>
    <row r="107">
      <c r="A107" s="1"/>
      <c r="B107" s="1" t="s">
        <v>140</v>
      </c>
      <c r="C107" s="5"/>
      <c r="D107" s="5">
        <f>D105-C105</f>
        <v>12</v>
      </c>
      <c r="E107" s="5">
        <f>E105-D105</f>
        <v>-7</v>
      </c>
      <c r="F107" s="5">
        <f>F105-E105</f>
        <v>1</v>
      </c>
      <c r="G107" s="5"/>
      <c r="H107" s="5">
        <f>H105-F105</f>
        <v>-1</v>
      </c>
      <c r="I107" s="5">
        <f>I105-H105</f>
        <v>0</v>
      </c>
      <c r="J107" s="15">
        <f>J105-I105</f>
        <v>1</v>
      </c>
      <c r="K107" s="1"/>
      <c r="L107" s="1"/>
    </row>
    <row r="108" ht="29.25">
      <c r="A108" s="1"/>
      <c r="B108" s="191" t="s">
        <v>218</v>
      </c>
      <c r="C108" s="35">
        <v>17</v>
      </c>
      <c r="D108" s="35">
        <v>6</v>
      </c>
      <c r="E108" s="35">
        <v>-13</v>
      </c>
      <c r="F108" s="35">
        <v>-9</v>
      </c>
      <c r="G108" s="5">
        <f>SUM(C108:F108)</f>
        <v>1</v>
      </c>
      <c r="H108" s="35">
        <v>-9</v>
      </c>
      <c r="I108" s="35">
        <v>18</v>
      </c>
      <c r="J108" s="38">
        <v>5</v>
      </c>
      <c r="K108" s="1" t="s">
        <v>94</v>
      </c>
      <c r="L108" s="1"/>
    </row>
    <row r="109">
      <c r="A109" s="1"/>
      <c r="B109" s="1" t="s">
        <v>139</v>
      </c>
      <c r="C109" s="5"/>
      <c r="D109" s="5"/>
      <c r="E109" s="5"/>
      <c r="F109" s="5"/>
      <c r="G109" s="5"/>
      <c r="H109" s="5">
        <f>H108-C108</f>
        <v>-26</v>
      </c>
      <c r="I109" s="5">
        <f>I108-D108</f>
        <v>12</v>
      </c>
      <c r="J109" s="15">
        <f>J108-E108</f>
        <v>18</v>
      </c>
      <c r="K109" s="1"/>
      <c r="L109" s="1"/>
    </row>
    <row r="110">
      <c r="A110" s="1"/>
      <c r="B110" s="1" t="s">
        <v>140</v>
      </c>
      <c r="C110" s="5"/>
      <c r="D110" s="5">
        <f>D108-C108</f>
        <v>-11</v>
      </c>
      <c r="E110" s="5">
        <f>E108-D108</f>
        <v>-19</v>
      </c>
      <c r="F110" s="5">
        <f>F108-E108</f>
        <v>4</v>
      </c>
      <c r="G110" s="5"/>
      <c r="H110" s="5">
        <f>H108-F108</f>
        <v>0</v>
      </c>
      <c r="I110" s="5">
        <f>I108-H108</f>
        <v>27</v>
      </c>
      <c r="J110" s="15">
        <f>J108-I108</f>
        <v>-13</v>
      </c>
      <c r="K110" s="1"/>
      <c r="L110" s="1"/>
    </row>
    <row r="111">
      <c r="A111" s="1"/>
      <c r="B111" s="9" t="s">
        <v>219</v>
      </c>
      <c r="C111" s="17">
        <f>C105+C108</f>
        <v>11</v>
      </c>
      <c r="D111" s="17">
        <f>D105+D108</f>
        <v>12</v>
      </c>
      <c r="E111" s="17">
        <f>E105+E108</f>
        <v>-14</v>
      </c>
      <c r="F111" s="17">
        <f>F105+F108</f>
        <v>-9</v>
      </c>
      <c r="G111" s="17">
        <f>G105+G108</f>
        <v>0</v>
      </c>
      <c r="H111" s="17">
        <f>H105+H108</f>
        <v>-10</v>
      </c>
      <c r="I111" s="17">
        <f>I105+I108</f>
        <v>17</v>
      </c>
      <c r="J111" s="42">
        <f>J105+J108</f>
        <v>5</v>
      </c>
      <c r="K111" s="1"/>
      <c r="L111" s="1"/>
    </row>
    <row r="112">
      <c r="A112" s="1"/>
      <c r="B112" s="1" t="s">
        <v>220</v>
      </c>
      <c r="C112" s="35">
        <v>2946</v>
      </c>
      <c r="D112" s="35">
        <v>2865</v>
      </c>
      <c r="E112" s="35">
        <v>3013</v>
      </c>
      <c r="F112" s="35">
        <v>3074</v>
      </c>
      <c r="G112" s="5">
        <f>SUM(C112:F112)</f>
        <v>11898</v>
      </c>
      <c r="H112" s="35">
        <v>3262</v>
      </c>
      <c r="I112" s="35">
        <v>3160</v>
      </c>
      <c r="J112" s="46">
        <f>I112+'Income Statement'!J166*((J16+J22)-(I16+I22))</f>
        <v>3263.675303473598</v>
      </c>
      <c r="K112" s="1" t="s">
        <v>94</v>
      </c>
      <c r="L112" s="1"/>
    </row>
    <row r="113">
      <c r="A113" s="1"/>
      <c r="B113" s="1" t="s">
        <v>139</v>
      </c>
      <c r="C113" s="5"/>
      <c r="D113" s="5"/>
      <c r="E113" s="5"/>
      <c r="F113" s="5"/>
      <c r="G113" s="5"/>
      <c r="H113" s="5">
        <f>H112-C112</f>
        <v>316</v>
      </c>
      <c r="I113" s="5">
        <f>I112-D112</f>
        <v>295</v>
      </c>
      <c r="J113" s="15">
        <f>J112-E112</f>
        <v>250.67530347359798</v>
      </c>
      <c r="K113" s="1"/>
      <c r="L113" s="1"/>
    </row>
    <row r="114">
      <c r="A114" s="1"/>
      <c r="B114" s="1" t="s">
        <v>140</v>
      </c>
      <c r="C114" s="5"/>
      <c r="D114" s="5">
        <f>D112-C112</f>
        <v>-81</v>
      </c>
      <c r="E114" s="5">
        <f>E112-D112</f>
        <v>148</v>
      </c>
      <c r="F114" s="5">
        <f>F112-E112</f>
        <v>61</v>
      </c>
      <c r="G114" s="5"/>
      <c r="H114" s="5">
        <f>H112-F112</f>
        <v>188</v>
      </c>
      <c r="I114" s="5">
        <f>I112-H112</f>
        <v>-102</v>
      </c>
      <c r="J114" s="15">
        <f>J112-I112</f>
        <v>103.67530347359798</v>
      </c>
      <c r="K114" s="1"/>
      <c r="L114" s="1"/>
    </row>
    <row r="115">
      <c r="A115" s="1"/>
      <c r="B115" s="9" t="s">
        <v>221</v>
      </c>
      <c r="C115" s="17">
        <f>C41-C111-C112</f>
        <v>447</v>
      </c>
      <c r="D115" s="17">
        <f>D41-D111-D112</f>
        <v>561</v>
      </c>
      <c r="E115" s="17">
        <f>E41-E111-E112</f>
        <v>675</v>
      </c>
      <c r="F115" s="17">
        <f>F41-F111-F112</f>
        <v>756</v>
      </c>
      <c r="G115" s="17">
        <f>G41-G111-G112</f>
        <v>2439</v>
      </c>
      <c r="H115" s="17">
        <f>H41-H111-H112</f>
        <v>623</v>
      </c>
      <c r="I115" s="17">
        <f>I41-I111-I112</f>
        <v>715</v>
      </c>
      <c r="J115" s="42">
        <f>J41-J111-J112</f>
        <v>874.349223172942</v>
      </c>
      <c r="K115" s="1"/>
      <c r="L115" s="1"/>
    </row>
    <row r="116">
      <c r="A116" s="1"/>
      <c r="B116" s="1" t="s">
        <v>222</v>
      </c>
      <c r="C116" s="35">
        <v>98</v>
      </c>
      <c r="D116" s="35">
        <v>141</v>
      </c>
      <c r="E116" s="35">
        <v>169</v>
      </c>
      <c r="F116" s="35">
        <v>191</v>
      </c>
      <c r="G116" s="5">
        <f>SUM(C116:F116)</f>
        <v>599</v>
      </c>
      <c r="H116" s="35">
        <v>155</v>
      </c>
      <c r="I116" s="35">
        <v>178</v>
      </c>
      <c r="J116" s="15">
        <f>J115*J117</f>
        <v>218.5873057932355</v>
      </c>
      <c r="K116" s="1" t="s">
        <v>94</v>
      </c>
      <c r="L116" s="1"/>
    </row>
    <row r="117">
      <c r="A117" s="1"/>
      <c r="B117" s="6" t="s">
        <v>223</v>
      </c>
      <c r="C117" s="26">
        <f>C116/C115</f>
        <v>0.21923937360178972</v>
      </c>
      <c r="D117" s="26">
        <f>D116/D115</f>
        <v>0.25133689839572193</v>
      </c>
      <c r="E117" s="26">
        <f>E116/E115</f>
        <v>0.25037037037037035</v>
      </c>
      <c r="F117" s="26">
        <f>F116/F115</f>
        <v>0.2526455026455027</v>
      </c>
      <c r="G117" s="26">
        <f>G116/G115</f>
        <v>0.24559245592455925</v>
      </c>
      <c r="H117" s="26">
        <f>H116/H115</f>
        <v>0.24879614767255218</v>
      </c>
      <c r="I117" s="26">
        <f>I116/I115</f>
        <v>0.24895104895104894</v>
      </c>
      <c r="J117" s="106">
        <v>0.25</v>
      </c>
      <c r="K117" s="1"/>
      <c r="L117" s="1"/>
    </row>
    <row r="118">
      <c r="A118" s="1"/>
      <c r="B118" s="1" t="s">
        <v>151</v>
      </c>
      <c r="C118" s="5"/>
      <c r="D118" s="5"/>
      <c r="E118" s="5"/>
      <c r="F118" s="5"/>
      <c r="G118" s="5"/>
      <c r="H118" s="5">
        <f>(H117-C117)*10000</f>
        <v>295.5677407076246</v>
      </c>
      <c r="I118" s="5">
        <f>(I117-D117)*10000</f>
        <v>-23.858494446729882</v>
      </c>
      <c r="J118" s="15">
        <f>(J117-E117)*10000</f>
        <v>-3.7037037037035425</v>
      </c>
      <c r="K118" s="1"/>
      <c r="L118" s="1"/>
    </row>
    <row r="119">
      <c r="A119" s="1"/>
      <c r="B119" s="1" t="s">
        <v>152</v>
      </c>
      <c r="C119" s="5"/>
      <c r="D119" s="5">
        <f>(D117-C117)*10000</f>
        <v>320.9752479393221</v>
      </c>
      <c r="E119" s="5">
        <f>(E117-D117)*10000</f>
        <v>-9.665280253515762</v>
      </c>
      <c r="F119" s="5">
        <f>(F117-E117)*10000</f>
        <v>22.751322751323187</v>
      </c>
      <c r="G119" s="5"/>
      <c r="H119" s="5">
        <f>(H117-F117)*10000</f>
        <v>-38.49354972950497</v>
      </c>
      <c r="I119" s="5">
        <f>(I117-H117)*10000</f>
        <v>1.5490127849676627</v>
      </c>
      <c r="J119" s="15">
        <f>(J117-I117)*10000</f>
        <v>10.489510489510579</v>
      </c>
      <c r="K119" s="1"/>
      <c r="L119" s="1"/>
    </row>
    <row r="120">
      <c r="A120" s="1"/>
      <c r="B120" s="9" t="s">
        <v>102</v>
      </c>
      <c r="C120" s="17">
        <f>C115-C116</f>
        <v>349</v>
      </c>
      <c r="D120" s="17">
        <f>D115-D116</f>
        <v>420</v>
      </c>
      <c r="E120" s="17">
        <f>E115-E116</f>
        <v>506</v>
      </c>
      <c r="F120" s="17">
        <f>F115-F116</f>
        <v>565</v>
      </c>
      <c r="G120" s="17">
        <f>G115-G116</f>
        <v>1840</v>
      </c>
      <c r="H120" s="17">
        <f>H115-H116</f>
        <v>468</v>
      </c>
      <c r="I120" s="17">
        <f>I115-I116</f>
        <v>537</v>
      </c>
      <c r="J120" s="42">
        <f>J115-J116</f>
        <v>655.7619173797065</v>
      </c>
      <c r="K120" s="1"/>
      <c r="L120" s="1"/>
    </row>
    <row r="121">
      <c r="A121" s="1"/>
      <c r="B121" s="6" t="s">
        <v>75</v>
      </c>
      <c r="C121" s="26"/>
      <c r="D121" s="26"/>
      <c r="E121" s="26"/>
      <c r="F121" s="26"/>
      <c r="G121" s="26"/>
      <c r="H121" s="26">
        <f>IFERROR(IF(OR(C120&lt;=0,H120&lt;0),"n/m",H120/C120-1),"n/m")</f>
        <v>0.34097421203438394</v>
      </c>
      <c r="I121" s="26">
        <f>IFERROR(IF(OR(D120&lt;=0,I120&lt;0),"n/m",I120/D120-1),"n/m")</f>
        <v>0.27857142857142847</v>
      </c>
      <c r="J121" s="47">
        <f>IFERROR(IF(OR(E120&lt;=0,J120&lt;0),"n/m",J120/E120-1),"n/m")</f>
        <v>0.29597216873459775</v>
      </c>
      <c r="K121" s="1"/>
      <c r="L121" s="1"/>
    </row>
    <row r="122">
      <c r="A122" s="1"/>
      <c r="B122" s="6" t="s">
        <v>76</v>
      </c>
      <c r="C122" s="26"/>
      <c r="D122" s="26">
        <f>IFERROR(IF(OR(C120&lt;=0,D120&lt;0),"n/m",D120/C120-1),"n/m")</f>
        <v>0.20343839541547282</v>
      </c>
      <c r="E122" s="26">
        <f>IFERROR(IF(OR(D120&lt;=0,E120&lt;0),"n/m",E120/D120-1),"n/m")</f>
        <v>0.2047619047619047</v>
      </c>
      <c r="F122" s="26">
        <f>IFERROR(IF(OR(E120&lt;=0,F120&lt;0),"n/m",F120/E120-1),"n/m")</f>
        <v>0.11660079051383399</v>
      </c>
      <c r="G122" s="26"/>
      <c r="H122" s="26">
        <f>IFERROR(IF(OR(F120&lt;=0,H120&lt;0),"n/m",H120/F120-1),"n/m")</f>
        <v>-0.1716814159292035</v>
      </c>
      <c r="I122" s="26">
        <f>IFERROR(IF(OR(H120&lt;=0,I120&lt;0),"n/m",I120/H120-1),"n/m")</f>
        <v>0.14743589743589736</v>
      </c>
      <c r="J122" s="47">
        <f>IFERROR(IF(OR(I120&lt;=0,J120&lt;0),"n/m",J120/I120-1),"n/m")</f>
        <v>0.22115813292310338</v>
      </c>
      <c r="K122" s="1"/>
      <c r="L122" s="1"/>
    </row>
    <row r="123" ht="29.25">
      <c r="A123" s="1"/>
      <c r="B123" s="191" t="s">
        <v>224</v>
      </c>
      <c r="C123" s="35">
        <v>349</v>
      </c>
      <c r="D123" s="35">
        <v>420</v>
      </c>
      <c r="E123" s="35">
        <v>506</v>
      </c>
      <c r="F123" s="35">
        <v>565</v>
      </c>
      <c r="G123" s="5">
        <f>SUM(C123:F123)</f>
        <v>1840</v>
      </c>
      <c r="H123" s="35">
        <v>468</v>
      </c>
      <c r="I123" s="35">
        <v>537</v>
      </c>
      <c r="J123" s="15"/>
      <c r="K123" s="1" t="s">
        <v>94</v>
      </c>
      <c r="L123" s="1"/>
    </row>
    <row r="124" ht="29.25">
      <c r="A124" s="1"/>
      <c r="B124" s="194" t="s">
        <v>225</v>
      </c>
      <c r="C124" s="197">
        <f>C120-C123</f>
        <v>0</v>
      </c>
      <c r="D124" s="197">
        <f>D120-D123</f>
        <v>0</v>
      </c>
      <c r="E124" s="197">
        <f>E120-E123</f>
        <v>0</v>
      </c>
      <c r="F124" s="197">
        <f>F120-F123</f>
        <v>0</v>
      </c>
      <c r="G124" s="197">
        <f>G120-G123</f>
        <v>0</v>
      </c>
      <c r="H124" s="197">
        <f>H120-H123</f>
        <v>0</v>
      </c>
      <c r="I124" s="197">
        <f>I120-I123</f>
        <v>0</v>
      </c>
      <c r="J124" s="40"/>
      <c r="K124" s="1"/>
      <c r="L124" s="1"/>
    </row>
    <row r="125">
      <c r="A125" s="1"/>
      <c r="B125" s="6" t="s">
        <v>226</v>
      </c>
      <c r="C125" s="26">
        <f>C112/C41</f>
        <v>0.8654524089306698</v>
      </c>
      <c r="D125" s="26">
        <f>D112/D41</f>
        <v>0.8333333333333334</v>
      </c>
      <c r="E125" s="26">
        <f>E112/E41</f>
        <v>0.8200870985302123</v>
      </c>
      <c r="F125" s="26">
        <f>F112/F41</f>
        <v>0.8045014394137661</v>
      </c>
      <c r="G125" s="26">
        <f>G112/G41</f>
        <v>0.8298807281858129</v>
      </c>
      <c r="H125" s="26">
        <f>H112/H41</f>
        <v>0.8418064516129032</v>
      </c>
      <c r="I125" s="26">
        <f>I112/I41</f>
        <v>0.8119218910585817</v>
      </c>
      <c r="J125" s="47">
        <f>J112/J41</f>
        <v>0.7877518664161258</v>
      </c>
      <c r="K125" s="1"/>
      <c r="L125" s="1"/>
    </row>
    <row r="126">
      <c r="A126" s="1"/>
      <c r="B126" s="1" t="s">
        <v>151</v>
      </c>
      <c r="C126" s="5"/>
      <c r="D126" s="5"/>
      <c r="E126" s="5"/>
      <c r="F126" s="5"/>
      <c r="G126" s="5"/>
      <c r="H126" s="5">
        <f>(H125-C125)*10000</f>
        <v>-236.4595731776653</v>
      </c>
      <c r="I126" s="5">
        <f>(I125-D125)*10000</f>
        <v>-214.1144227475167</v>
      </c>
      <c r="J126" s="15">
        <f>(J125-E125)*10000</f>
        <v>-323.3523211408651</v>
      </c>
      <c r="K126" s="1"/>
      <c r="L126" s="1"/>
    </row>
    <row r="127">
      <c r="A127" s="1"/>
      <c r="B127" s="1" t="s">
        <v>152</v>
      </c>
      <c r="C127" s="5"/>
      <c r="D127" s="5">
        <f>(D125-C125)*10000</f>
        <v>-321.190755973364</v>
      </c>
      <c r="E127" s="5">
        <f>(E125-D125)*10000</f>
        <v>-132.46234803121038</v>
      </c>
      <c r="F127" s="5">
        <f>(F125-E125)*10000</f>
        <v>-155.8565911644627</v>
      </c>
      <c r="G127" s="5"/>
      <c r="H127" s="5">
        <f>(H125-F125)*10000</f>
        <v>373.0501219913718</v>
      </c>
      <c r="I127" s="5">
        <f>(I125-H125)*10000</f>
        <v>-298.84560554321536</v>
      </c>
      <c r="J127" s="15">
        <f>(J125-I125)*10000</f>
        <v>-241.70024642455877</v>
      </c>
      <c r="K127" s="1"/>
      <c r="L127" s="1"/>
    </row>
    <row r="128" ht="29.25">
      <c r="A128" s="1"/>
      <c r="B128" s="194" t="s">
        <v>229</v>
      </c>
      <c r="C128" s="65">
        <v>0.209</v>
      </c>
      <c r="D128" s="65">
        <v>0.25</v>
      </c>
      <c r="E128" s="65">
        <v>0.299</v>
      </c>
      <c r="F128" s="65">
        <v>0.336</v>
      </c>
      <c r="G128" s="26"/>
      <c r="H128" s="65">
        <v>0.284</v>
      </c>
      <c r="I128" s="65">
        <v>0.324</v>
      </c>
      <c r="J128" s="47"/>
      <c r="K128" s="1" t="s">
        <v>94</v>
      </c>
      <c r="L128" s="1"/>
    </row>
    <row r="129">
      <c r="A129" s="1"/>
      <c r="B129" s="1" t="s">
        <v>151</v>
      </c>
      <c r="C129" s="5"/>
      <c r="D129" s="5"/>
      <c r="E129" s="5"/>
      <c r="F129" s="5"/>
      <c r="G129" s="5"/>
      <c r="H129" s="5">
        <f>(H128-C128)*10000</f>
        <v>749.9999999999999</v>
      </c>
      <c r="I129" s="5">
        <f>(I128-D128)*10000</f>
        <v>740.0000000000001</v>
      </c>
      <c r="J129" s="15"/>
      <c r="K129" s="1"/>
      <c r="L129" s="1"/>
    </row>
    <row r="130">
      <c r="A130" s="1"/>
      <c r="B130" s="1" t="s">
        <v>152</v>
      </c>
      <c r="C130" s="5"/>
      <c r="D130" s="5">
        <f>(D128-C128)*10000</f>
        <v>410.0000000000001</v>
      </c>
      <c r="E130" s="5">
        <f>(E128-D128)*10000</f>
        <v>489.9999999999999</v>
      </c>
      <c r="F130" s="5">
        <f>(F128-E128)*10000</f>
        <v>370.00000000000034</v>
      </c>
      <c r="G130" s="5"/>
      <c r="H130" s="5">
        <f>(H128-F128)*10000</f>
        <v>-520.0000000000005</v>
      </c>
      <c r="I130" s="5">
        <f>(I128-H128)*10000</f>
        <v>400.00000000000034</v>
      </c>
      <c r="J130" s="15"/>
      <c r="K130" s="1"/>
      <c r="L130" s="1"/>
    </row>
    <row r="131">
      <c r="A131" s="1"/>
      <c r="B131" s="1"/>
      <c r="C131" s="13"/>
      <c r="D131" s="13"/>
      <c r="E131" s="13"/>
      <c r="F131" s="13"/>
      <c r="G131" s="13"/>
      <c r="H131" s="13"/>
      <c r="I131" s="13"/>
      <c r="J131" s="27"/>
      <c r="K131" s="1"/>
      <c r="L131" s="1"/>
    </row>
    <row r="132">
      <c r="A132" s="1"/>
      <c r="B132" s="9" t="s">
        <v>230</v>
      </c>
      <c r="C132" s="25"/>
      <c r="D132" s="25"/>
      <c r="E132" s="25"/>
      <c r="F132" s="25"/>
      <c r="G132" s="25"/>
      <c r="H132" s="25"/>
      <c r="I132" s="25"/>
      <c r="J132" s="37"/>
      <c r="K132" s="1"/>
      <c r="L132" s="1"/>
    </row>
    <row r="133" ht="29.25">
      <c r="A133" s="1"/>
      <c r="B133" s="191" t="s">
        <v>231</v>
      </c>
      <c r="C133" s="5" t="s">
        <v>81</v>
      </c>
      <c r="D133" s="5">
        <f>C97</f>
        <v>80955</v>
      </c>
      <c r="E133" s="5">
        <f>D97</f>
        <v>81327</v>
      </c>
      <c r="F133" s="5">
        <f>E97</f>
        <v>83786</v>
      </c>
      <c r="G133" s="5" t="s">
        <v>81</v>
      </c>
      <c r="H133" s="5">
        <f>F97</f>
        <v>87106</v>
      </c>
      <c r="I133" s="5">
        <f>H97</f>
        <v>89537</v>
      </c>
      <c r="J133" s="15">
        <f>I97</f>
        <v>93804</v>
      </c>
      <c r="K133" s="1"/>
      <c r="L133" s="1"/>
    </row>
    <row r="134">
      <c r="A134" s="1"/>
      <c r="B134" s="1" t="s">
        <v>232</v>
      </c>
      <c r="C134" s="5"/>
      <c r="D134" s="5">
        <f>D135-D133</f>
        <v>372</v>
      </c>
      <c r="E134" s="5">
        <f>E135-E133</f>
        <v>2459</v>
      </c>
      <c r="F134" s="5">
        <f>F135-F133</f>
        <v>3320</v>
      </c>
      <c r="G134" s="5"/>
      <c r="H134" s="5">
        <f>H135-H133</f>
        <v>2431</v>
      </c>
      <c r="I134" s="5">
        <f>I135-I133</f>
        <v>4267</v>
      </c>
      <c r="J134" s="15">
        <f>J135-J133</f>
        <v>2345.0999999999913</v>
      </c>
      <c r="K134" s="1"/>
      <c r="L134" s="1"/>
    </row>
    <row r="135">
      <c r="A135" s="1"/>
      <c r="B135" s="9" t="s">
        <v>233</v>
      </c>
      <c r="C135" s="17">
        <f>C97</f>
        <v>80955</v>
      </c>
      <c r="D135" s="17">
        <f>D97</f>
        <v>81327</v>
      </c>
      <c r="E135" s="17">
        <f>E97</f>
        <v>83786</v>
      </c>
      <c r="F135" s="17">
        <f>F97</f>
        <v>87106</v>
      </c>
      <c r="G135" s="17">
        <f>G97</f>
        <v>87106</v>
      </c>
      <c r="H135" s="17">
        <f>H97</f>
        <v>89537</v>
      </c>
      <c r="I135" s="17">
        <f>I97</f>
        <v>93804</v>
      </c>
      <c r="J135" s="42">
        <f>J133*J83/I83</f>
        <v>96149.09999999999</v>
      </c>
      <c r="K135" s="1"/>
      <c r="L135" s="1"/>
    </row>
    <row r="136">
      <c r="A136" s="1"/>
      <c r="B136" s="1" t="s">
        <v>139</v>
      </c>
      <c r="C136" s="5"/>
      <c r="D136" s="5"/>
      <c r="E136" s="5"/>
      <c r="F136" s="5"/>
      <c r="G136" s="5"/>
      <c r="H136" s="5">
        <f>H135-C135</f>
        <v>8582</v>
      </c>
      <c r="I136" s="5">
        <f>I135-D135</f>
        <v>12477</v>
      </c>
      <c r="J136" s="15">
        <f>J135-E135</f>
        <v>12363.099999999991</v>
      </c>
      <c r="K136" s="1"/>
      <c r="L136" s="1"/>
    </row>
    <row r="137">
      <c r="A137" s="1"/>
      <c r="B137" s="1" t="s">
        <v>140</v>
      </c>
      <c r="C137" s="5"/>
      <c r="D137" s="5">
        <f>D135-C135</f>
        <v>372</v>
      </c>
      <c r="E137" s="5">
        <f>E135-D135</f>
        <v>2459</v>
      </c>
      <c r="F137" s="5">
        <f>F135-E135</f>
        <v>3320</v>
      </c>
      <c r="G137" s="5"/>
      <c r="H137" s="5">
        <f>H135-F135</f>
        <v>2431</v>
      </c>
      <c r="I137" s="5">
        <f>I135-H135</f>
        <v>4267</v>
      </c>
      <c r="J137" s="15">
        <f>J135-I135</f>
        <v>2345.0999999999913</v>
      </c>
      <c r="K137" s="1"/>
      <c r="L137" s="1"/>
    </row>
    <row r="138">
      <c r="A138" s="1"/>
      <c r="B138" s="1" t="s">
        <v>234</v>
      </c>
      <c r="C138" s="5">
        <f>C83</f>
        <v>80930</v>
      </c>
      <c r="D138" s="5">
        <f>D83</f>
        <v>81271</v>
      </c>
      <c r="E138" s="5">
        <f>E83</f>
        <v>82330</v>
      </c>
      <c r="F138" s="5">
        <f>F83</f>
        <v>84949</v>
      </c>
      <c r="G138" s="5">
        <f>G83</f>
        <v>82380.90136986302</v>
      </c>
      <c r="H138" s="5">
        <f>H83</f>
        <v>88386</v>
      </c>
      <c r="I138" s="5">
        <f>I83</f>
        <v>91143</v>
      </c>
      <c r="J138" s="15">
        <f>J83</f>
        <v>93421.575</v>
      </c>
      <c r="K138" s="1"/>
      <c r="L138" s="1"/>
    </row>
    <row r="139">
      <c r="A139" s="1"/>
      <c r="B139" s="1" t="s">
        <v>235</v>
      </c>
      <c r="C139" s="5">
        <f>C135-C138</f>
        <v>25</v>
      </c>
      <c r="D139" s="5">
        <f>D135-D138</f>
        <v>56</v>
      </c>
      <c r="E139" s="5">
        <f>E135-E138</f>
        <v>1456</v>
      </c>
      <c r="F139" s="5">
        <f>F135-F138</f>
        <v>2157</v>
      </c>
      <c r="G139" s="5">
        <f>G135-G138</f>
        <v>4725.098630136985</v>
      </c>
      <c r="H139" s="5">
        <f>H135-H138</f>
        <v>1151</v>
      </c>
      <c r="I139" s="5">
        <f>I135-I138</f>
        <v>2661</v>
      </c>
      <c r="J139" s="15">
        <f>J135-J138</f>
        <v>2727.524999999994</v>
      </c>
      <c r="K139" s="1"/>
      <c r="L139" s="1"/>
    </row>
    <row r="140">
      <c r="A140" s="1"/>
      <c r="B140" s="9" t="s">
        <v>236</v>
      </c>
      <c r="C140" s="25"/>
      <c r="D140" s="25"/>
      <c r="E140" s="25"/>
      <c r="F140" s="25"/>
      <c r="G140" s="25"/>
      <c r="H140" s="25"/>
      <c r="I140" s="25"/>
      <c r="J140" s="37"/>
      <c r="K140" s="1"/>
      <c r="L140" s="1"/>
    </row>
    <row r="141" ht="29.25">
      <c r="A141" s="1"/>
      <c r="B141" s="191" t="s">
        <v>237</v>
      </c>
      <c r="C141" s="5" t="s">
        <v>81</v>
      </c>
      <c r="D141" s="5">
        <f>C100</f>
        <v>102162</v>
      </c>
      <c r="E141" s="5">
        <f>D100</f>
        <v>97318</v>
      </c>
      <c r="F141" s="5">
        <f>E100</f>
        <v>103957</v>
      </c>
      <c r="G141" s="5" t="s">
        <v>81</v>
      </c>
      <c r="H141" s="5">
        <f>F100</f>
        <v>117478</v>
      </c>
      <c r="I141" s="5">
        <f>H100</f>
        <v>113659</v>
      </c>
      <c r="J141" s="15">
        <f>I100</f>
        <v>110599</v>
      </c>
      <c r="K141" s="1"/>
      <c r="L141" s="1"/>
    </row>
    <row r="142">
      <c r="A142" s="1"/>
      <c r="B142" s="1" t="s">
        <v>232</v>
      </c>
      <c r="C142" s="5"/>
      <c r="D142" s="5">
        <f>D143-D141</f>
        <v>-4844</v>
      </c>
      <c r="E142" s="5">
        <f>E143-E141</f>
        <v>6639</v>
      </c>
      <c r="F142" s="5">
        <f>F143-F141</f>
        <v>13521</v>
      </c>
      <c r="G142" s="5"/>
      <c r="H142" s="5">
        <f>H143-H141</f>
        <v>-3819</v>
      </c>
      <c r="I142" s="5">
        <f>I143-I141</f>
        <v>-3060</v>
      </c>
      <c r="J142" s="15">
        <f>J143-J141</f>
        <v>0</v>
      </c>
      <c r="K142" s="1"/>
      <c r="L142" s="1"/>
    </row>
    <row r="143">
      <c r="A143" s="1"/>
      <c r="B143" s="9" t="s">
        <v>238</v>
      </c>
      <c r="C143" s="17">
        <f>C100</f>
        <v>102162</v>
      </c>
      <c r="D143" s="17">
        <f>D100</f>
        <v>97318</v>
      </c>
      <c r="E143" s="17">
        <f>E100</f>
        <v>103957</v>
      </c>
      <c r="F143" s="17">
        <f>F100</f>
        <v>117478</v>
      </c>
      <c r="G143" s="17">
        <f>G100</f>
        <v>117478</v>
      </c>
      <c r="H143" s="17">
        <f>H100</f>
        <v>113659</v>
      </c>
      <c r="I143" s="17">
        <f>I100</f>
        <v>110599</v>
      </c>
      <c r="J143" s="42">
        <f>J141*J87/I87</f>
        <v>110599</v>
      </c>
      <c r="K143" s="1"/>
      <c r="L143" s="1"/>
    </row>
    <row r="144">
      <c r="A144" s="1"/>
      <c r="B144" s="1" t="s">
        <v>139</v>
      </c>
      <c r="C144" s="5"/>
      <c r="D144" s="5"/>
      <c r="E144" s="5"/>
      <c r="F144" s="5"/>
      <c r="G144" s="5"/>
      <c r="H144" s="5">
        <f>H143-C143</f>
        <v>11497</v>
      </c>
      <c r="I144" s="5">
        <f>I143-D143</f>
        <v>13281</v>
      </c>
      <c r="J144" s="15">
        <f>J143-E143</f>
        <v>6642</v>
      </c>
      <c r="K144" s="1"/>
      <c r="L144" s="1"/>
    </row>
    <row r="145">
      <c r="A145" s="1"/>
      <c r="B145" s="1" t="s">
        <v>140</v>
      </c>
      <c r="C145" s="5"/>
      <c r="D145" s="5">
        <f>D143-C143</f>
        <v>-4844</v>
      </c>
      <c r="E145" s="5">
        <f>E143-D143</f>
        <v>6639</v>
      </c>
      <c r="F145" s="5">
        <f>F143-E143</f>
        <v>13521</v>
      </c>
      <c r="G145" s="5"/>
      <c r="H145" s="5">
        <f>H143-F143</f>
        <v>-3819</v>
      </c>
      <c r="I145" s="5">
        <f>I143-H143</f>
        <v>-3060</v>
      </c>
      <c r="J145" s="15">
        <f>J143-I143</f>
        <v>0</v>
      </c>
      <c r="K145" s="1"/>
      <c r="L145" s="1"/>
    </row>
    <row r="146">
      <c r="A146" s="1"/>
      <c r="B146" s="1" t="s">
        <v>148</v>
      </c>
      <c r="C146" s="5">
        <f>C87</f>
        <v>102097</v>
      </c>
      <c r="D146" s="5">
        <f>D87</f>
        <v>99458</v>
      </c>
      <c r="E146" s="5">
        <f>E87</f>
        <v>99764</v>
      </c>
      <c r="F146" s="5">
        <f>F87</f>
        <v>105542</v>
      </c>
      <c r="G146" s="5">
        <f>G87</f>
        <v>101719.34246575342</v>
      </c>
      <c r="H146" s="5">
        <f>H87</f>
        <v>112098</v>
      </c>
      <c r="I146" s="5">
        <f>I87</f>
        <v>109788</v>
      </c>
      <c r="J146" s="15">
        <f>J87</f>
        <v>109788</v>
      </c>
      <c r="K146" s="1"/>
      <c r="L146" s="1"/>
    </row>
    <row r="147">
      <c r="A147" s="1"/>
      <c r="B147" s="1" t="s">
        <v>235</v>
      </c>
      <c r="C147" s="5">
        <f>C143-C146</f>
        <v>65</v>
      </c>
      <c r="D147" s="5">
        <f>D143-D146</f>
        <v>-2140</v>
      </c>
      <c r="E147" s="5">
        <f>E143-E146</f>
        <v>4193</v>
      </c>
      <c r="F147" s="5">
        <f>F143-F146</f>
        <v>11936</v>
      </c>
      <c r="G147" s="5">
        <f>G143-G146</f>
        <v>15758.65753424658</v>
      </c>
      <c r="H147" s="5">
        <f>H143-H146</f>
        <v>1561</v>
      </c>
      <c r="I147" s="5">
        <f>I143-I146</f>
        <v>811</v>
      </c>
      <c r="J147" s="15">
        <f>J143-J146</f>
        <v>811</v>
      </c>
      <c r="K147" s="1"/>
      <c r="L147" s="1"/>
    </row>
    <row r="148">
      <c r="A148" s="1"/>
      <c r="B148" s="1"/>
      <c r="C148" s="13"/>
      <c r="D148" s="13"/>
      <c r="E148" s="13"/>
      <c r="F148" s="13"/>
      <c r="G148" s="13"/>
      <c r="H148" s="13"/>
      <c r="I148" s="13"/>
      <c r="J148" s="27"/>
      <c r="K148" s="1"/>
      <c r="L148" s="1"/>
    </row>
    <row r="149">
      <c r="A149" s="1"/>
      <c r="B149" s="1"/>
      <c r="C149" s="13"/>
      <c r="D149" s="13"/>
      <c r="E149" s="13"/>
      <c r="F149" s="13"/>
      <c r="G149" s="13"/>
      <c r="H149" s="13"/>
      <c r="I149" s="13"/>
      <c r="J149" s="27"/>
      <c r="K149" s="1"/>
      <c r="L149" s="1"/>
    </row>
  </sheetData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L267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14" customWidth="1"/>
  </cols>
  <sheetData>
    <row r="1">
      <c r="A1" s="1"/>
      <c r="B1" s="3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9" t="s">
        <v>315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64" t="s">
        <v>62</v>
      </c>
      <c r="C4" s="29" t="s">
        <v>63</v>
      </c>
      <c r="D4" s="29" t="s">
        <v>64</v>
      </c>
      <c r="E4" s="29" t="s">
        <v>65</v>
      </c>
      <c r="F4" s="29" t="s">
        <v>66</v>
      </c>
      <c r="G4" s="29" t="s">
        <v>67</v>
      </c>
      <c r="H4" s="29" t="s">
        <v>68</v>
      </c>
      <c r="I4" s="29" t="s">
        <v>69</v>
      </c>
      <c r="J4" s="39" t="s">
        <v>70</v>
      </c>
      <c r="K4" s="131" t="s">
        <v>3</v>
      </c>
      <c r="L4" s="1"/>
    </row>
    <row r="5">
      <c r="A5" s="1"/>
      <c r="B5" s="67" t="s">
        <v>71</v>
      </c>
      <c r="C5" s="32">
        <v>45747</v>
      </c>
      <c r="D5" s="32">
        <v>45838</v>
      </c>
      <c r="E5" s="32">
        <v>45930</v>
      </c>
      <c r="F5" s="32">
        <v>46022</v>
      </c>
      <c r="G5" s="32">
        <v>46022</v>
      </c>
      <c r="H5" s="32">
        <v>46112</v>
      </c>
      <c r="I5" s="32">
        <v>46203</v>
      </c>
      <c r="J5" s="66">
        <v>46295</v>
      </c>
      <c r="K5" s="71"/>
      <c r="L5" s="1"/>
    </row>
    <row r="6">
      <c r="A6" s="1"/>
      <c r="B6" s="8" t="s">
        <v>72</v>
      </c>
      <c r="C6" s="20">
        <f>C5-EOMONTH(C5,-3)</f>
        <v>90</v>
      </c>
      <c r="D6" s="20">
        <f>D5-EOMONTH(D5,-3)</f>
        <v>91</v>
      </c>
      <c r="E6" s="20">
        <f>E5-EOMONTH(E5,-3)</f>
        <v>92</v>
      </c>
      <c r="F6" s="20">
        <f>F5-EOMONTH(F5,-3)</f>
        <v>92</v>
      </c>
      <c r="G6" s="20">
        <f>G5-DATE(YEAR(G5)-1,12,31)</f>
        <v>365</v>
      </c>
      <c r="H6" s="20">
        <f>H5-EOMONTH(H5,-3)</f>
        <v>90</v>
      </c>
      <c r="I6" s="20">
        <f>I5-EOMONTH(I5,-3)</f>
        <v>91</v>
      </c>
      <c r="J6" s="50">
        <f>J5-EOMONTH(J5,-3)</f>
        <v>92</v>
      </c>
      <c r="K6" s="7"/>
      <c r="L6" s="1"/>
    </row>
    <row r="7">
      <c r="A7" s="1"/>
      <c r="B7" s="1"/>
      <c r="C7" s="13"/>
      <c r="D7" s="13"/>
      <c r="E7" s="13"/>
      <c r="F7" s="13"/>
      <c r="G7" s="13"/>
      <c r="H7" s="13"/>
      <c r="I7" s="13"/>
      <c r="J7" s="27"/>
      <c r="K7" s="1"/>
      <c r="L7" s="1"/>
    </row>
    <row r="8">
      <c r="A8" s="1"/>
      <c r="B8" s="9" t="s">
        <v>316</v>
      </c>
      <c r="C8" s="25"/>
      <c r="D8" s="25"/>
      <c r="E8" s="25"/>
      <c r="F8" s="25"/>
      <c r="G8" s="25"/>
      <c r="H8" s="25"/>
      <c r="I8" s="25"/>
      <c r="J8" s="37"/>
      <c r="K8" s="1"/>
      <c r="L8" s="1"/>
    </row>
    <row r="9">
      <c r="A9" s="1"/>
      <c r="B9" s="1" t="s">
        <v>317</v>
      </c>
      <c r="C9" s="35">
        <v>1752317</v>
      </c>
      <c r="D9" s="35">
        <v>1762160</v>
      </c>
      <c r="E9" s="35">
        <v>1832510</v>
      </c>
      <c r="F9" s="35">
        <v>1899295</v>
      </c>
      <c r="G9" s="35">
        <v>1812031</v>
      </c>
      <c r="H9" s="35">
        <v>1987317</v>
      </c>
      <c r="I9" s="35">
        <v>2044613</v>
      </c>
      <c r="J9" s="15">
        <f>I9*(1+J10)</f>
        <v>2090616.7925</v>
      </c>
      <c r="K9" s="1" t="s">
        <v>318</v>
      </c>
      <c r="L9" s="1"/>
    </row>
    <row r="10" ht="29.25">
      <c r="A10" s="1"/>
      <c r="B10" s="194" t="s">
        <v>319</v>
      </c>
      <c r="C10" s="200"/>
      <c r="D10" s="200">
        <f>D9/C9-1</f>
        <v>0.005617134342701613</v>
      </c>
      <c r="E10" s="200">
        <f>E9/D9-1</f>
        <v>0.03992259499704898</v>
      </c>
      <c r="F10" s="200">
        <f>F9/E9-1</f>
        <v>0.03644454873370395</v>
      </c>
      <c r="G10" s="200"/>
      <c r="H10" s="200">
        <f>H9/F9-1</f>
        <v>0.04634456469374171</v>
      </c>
      <c r="I10" s="200">
        <f>I9/H9-1</f>
        <v>0.028830830712966327</v>
      </c>
      <c r="J10" s="204">
        <v>0.0225</v>
      </c>
      <c r="K10" s="1" t="s">
        <v>320</v>
      </c>
      <c r="L10" s="1"/>
    </row>
    <row r="11">
      <c r="A11" s="1"/>
      <c r="B11" s="1" t="s">
        <v>139</v>
      </c>
      <c r="C11" s="5"/>
      <c r="D11" s="5"/>
      <c r="E11" s="5"/>
      <c r="F11" s="5"/>
      <c r="G11" s="5"/>
      <c r="H11" s="5">
        <f>H9-C9</f>
        <v>235000</v>
      </c>
      <c r="I11" s="5">
        <f>I9-D9</f>
        <v>282453</v>
      </c>
      <c r="J11" s="15">
        <f>J9-E9</f>
        <v>258106.79249999998</v>
      </c>
      <c r="K11" s="1"/>
      <c r="L11" s="1"/>
    </row>
    <row r="12">
      <c r="A12" s="1"/>
      <c r="B12" s="1" t="s">
        <v>140</v>
      </c>
      <c r="C12" s="5"/>
      <c r="D12" s="5">
        <f>D9-C9</f>
        <v>9843</v>
      </c>
      <c r="E12" s="5">
        <f>E9-D9</f>
        <v>70350</v>
      </c>
      <c r="F12" s="5">
        <f>F9-E9</f>
        <v>66785</v>
      </c>
      <c r="G12" s="5"/>
      <c r="H12" s="5">
        <f>H9-F9</f>
        <v>88022</v>
      </c>
      <c r="I12" s="5">
        <f>I9-H9</f>
        <v>57296</v>
      </c>
      <c r="J12" s="15">
        <f>J9-I9</f>
        <v>46003.79249999998</v>
      </c>
      <c r="K12" s="1"/>
      <c r="L12" s="1"/>
    </row>
    <row r="13" ht="29.25">
      <c r="A13" s="1"/>
      <c r="B13" s="194" t="s">
        <v>321</v>
      </c>
      <c r="C13" s="199">
        <v>0.0267</v>
      </c>
      <c r="D13" s="199">
        <v>0.0268</v>
      </c>
      <c r="E13" s="199">
        <v>0.0261</v>
      </c>
      <c r="F13" s="199">
        <v>0.026</v>
      </c>
      <c r="G13" s="199">
        <v>0.0264</v>
      </c>
      <c r="H13" s="199">
        <v>0.0247</v>
      </c>
      <c r="I13" s="199">
        <v>0.0243</v>
      </c>
      <c r="J13" s="201">
        <f>I13+J14/10000</f>
        <v>0.024249999999999997</v>
      </c>
      <c r="K13" s="1" t="s">
        <v>318</v>
      </c>
      <c r="L13" s="1"/>
    </row>
    <row r="14" ht="29.25">
      <c r="A14" s="1"/>
      <c r="B14" s="191" t="s">
        <v>322</v>
      </c>
      <c r="C14" s="5"/>
      <c r="D14" s="5">
        <f>(D13-C13)*10000</f>
        <v>0.999999999999994</v>
      </c>
      <c r="E14" s="5">
        <f>(E13-D13)*10000</f>
        <v>-6.999999999999992</v>
      </c>
      <c r="F14" s="5">
        <f>(F13-E13)*10000</f>
        <v>-1.0000000000000286</v>
      </c>
      <c r="G14" s="5"/>
      <c r="H14" s="5">
        <f>(H13-F13)*10000</f>
        <v>-12.999999999999991</v>
      </c>
      <c r="I14" s="5">
        <f>(I13-H13)*10000</f>
        <v>-4.000000000000011</v>
      </c>
      <c r="J14" s="46">
        <f>Guidance!H18</f>
        <v>-0.5</v>
      </c>
      <c r="K14" s="1" t="s">
        <v>320</v>
      </c>
      <c r="L14" s="1"/>
    </row>
    <row r="15">
      <c r="A15" s="1"/>
      <c r="B15" s="1" t="s">
        <v>151</v>
      </c>
      <c r="C15" s="5"/>
      <c r="D15" s="5"/>
      <c r="E15" s="5"/>
      <c r="F15" s="5"/>
      <c r="G15" s="5"/>
      <c r="H15" s="5">
        <f>(H13-C13)*10000</f>
        <v>-20.000000000000018</v>
      </c>
      <c r="I15" s="5">
        <f>(I13-D13)*10000</f>
        <v>-25.00000000000002</v>
      </c>
      <c r="J15" s="15">
        <f>(J13-E13)*10000</f>
        <v>-18.500000000000043</v>
      </c>
      <c r="K15" s="1"/>
      <c r="L15" s="1"/>
    </row>
    <row r="16">
      <c r="A16" s="1"/>
      <c r="B16" s="1" t="s">
        <v>120</v>
      </c>
      <c r="C16" s="107">
        <f>C6</f>
        <v>90</v>
      </c>
      <c r="D16" s="107">
        <f>D6</f>
        <v>91</v>
      </c>
      <c r="E16" s="107">
        <f>E6</f>
        <v>92</v>
      </c>
      <c r="F16" s="107">
        <f>F6</f>
        <v>92</v>
      </c>
      <c r="G16" s="107">
        <f>G6</f>
        <v>365</v>
      </c>
      <c r="H16" s="107">
        <f>H6</f>
        <v>90</v>
      </c>
      <c r="I16" s="107">
        <f>I6</f>
        <v>91</v>
      </c>
      <c r="J16" s="113">
        <f>J6</f>
        <v>92</v>
      </c>
      <c r="K16" s="1"/>
      <c r="L16" s="1"/>
    </row>
    <row r="17">
      <c r="A17" s="1"/>
      <c r="B17" s="1" t="s">
        <v>323</v>
      </c>
      <c r="C17" s="35">
        <v>77</v>
      </c>
      <c r="D17" s="35">
        <v>77</v>
      </c>
      <c r="E17" s="35">
        <v>75</v>
      </c>
      <c r="F17" s="35">
        <v>74</v>
      </c>
      <c r="G17" s="5">
        <f>SUM(C17:F17)</f>
        <v>303</v>
      </c>
      <c r="H17" s="35">
        <v>72</v>
      </c>
      <c r="I17" s="35">
        <v>75</v>
      </c>
      <c r="J17" s="38">
        <v>75</v>
      </c>
      <c r="K17" s="1" t="s">
        <v>318</v>
      </c>
      <c r="L17" s="1"/>
    </row>
    <row r="18">
      <c r="A18" s="1"/>
      <c r="B18" s="1" t="s">
        <v>139</v>
      </c>
      <c r="C18" s="5"/>
      <c r="D18" s="5"/>
      <c r="E18" s="5"/>
      <c r="F18" s="5"/>
      <c r="G18" s="5"/>
      <c r="H18" s="5">
        <f>H17-C17</f>
        <v>-5</v>
      </c>
      <c r="I18" s="5">
        <f>I17-D17</f>
        <v>-2</v>
      </c>
      <c r="J18" s="15">
        <f>J17-E17</f>
        <v>0</v>
      </c>
      <c r="K18" s="1"/>
      <c r="L18" s="1"/>
    </row>
    <row r="19">
      <c r="A19" s="1"/>
      <c r="B19" s="1" t="s">
        <v>140</v>
      </c>
      <c r="C19" s="5"/>
      <c r="D19" s="5">
        <f>D17-C17</f>
        <v>0</v>
      </c>
      <c r="E19" s="5">
        <f>E17-D17</f>
        <v>-2</v>
      </c>
      <c r="F19" s="5">
        <f>F17-E17</f>
        <v>-1</v>
      </c>
      <c r="G19" s="5"/>
      <c r="H19" s="5">
        <f>H17-F17</f>
        <v>-2</v>
      </c>
      <c r="I19" s="5">
        <f>I17-H17</f>
        <v>3</v>
      </c>
      <c r="J19" s="15">
        <f>J17-I17</f>
        <v>0</v>
      </c>
      <c r="K19" s="1"/>
      <c r="L19" s="1"/>
    </row>
    <row r="20" ht="29.25">
      <c r="A20" s="1"/>
      <c r="B20" s="191" t="s">
        <v>324</v>
      </c>
      <c r="C20" s="5">
        <f>C42+C17</f>
        <v>11572</v>
      </c>
      <c r="D20" s="5">
        <f>D42+D17</f>
        <v>11785</v>
      </c>
      <c r="E20" s="5">
        <f>E42+E17</f>
        <v>12025</v>
      </c>
      <c r="F20" s="5">
        <f>F42+F17</f>
        <v>12405</v>
      </c>
      <c r="G20" s="5">
        <f>SUM(C20:F20)</f>
        <v>47787</v>
      </c>
      <c r="H20" s="5">
        <f>H42+H17</f>
        <v>12168</v>
      </c>
      <c r="I20" s="5">
        <f>I42+I17</f>
        <v>12392</v>
      </c>
      <c r="J20" s="15">
        <f>J13*J9*J16/365</f>
        <v>12778.537161828766</v>
      </c>
      <c r="K20" s="1"/>
      <c r="L20" s="1"/>
    </row>
    <row r="21">
      <c r="A21" s="1"/>
      <c r="B21" s="1" t="s">
        <v>139</v>
      </c>
      <c r="C21" s="5"/>
      <c r="D21" s="5"/>
      <c r="E21" s="5"/>
      <c r="F21" s="5"/>
      <c r="G21" s="5"/>
      <c r="H21" s="5">
        <f>H20-C20</f>
        <v>596</v>
      </c>
      <c r="I21" s="5">
        <f>I20-D20</f>
        <v>607</v>
      </c>
      <c r="J21" s="15">
        <f>J20-E20</f>
        <v>753.5371618287663</v>
      </c>
      <c r="K21" s="1"/>
      <c r="L21" s="1"/>
    </row>
    <row r="22">
      <c r="A22" s="1"/>
      <c r="B22" s="1" t="s">
        <v>140</v>
      </c>
      <c r="C22" s="5"/>
      <c r="D22" s="5">
        <f>D20-C20</f>
        <v>213</v>
      </c>
      <c r="E22" s="5">
        <f>E20-D20</f>
        <v>240</v>
      </c>
      <c r="F22" s="5">
        <f>F20-E20</f>
        <v>380</v>
      </c>
      <c r="G22" s="5"/>
      <c r="H22" s="5">
        <f>H20-F20</f>
        <v>-237</v>
      </c>
      <c r="I22" s="5">
        <f>I20-H20</f>
        <v>224</v>
      </c>
      <c r="J22" s="15">
        <f>J20-I20</f>
        <v>386.53716182876633</v>
      </c>
      <c r="K22" s="1"/>
      <c r="L22" s="1"/>
    </row>
    <row r="23" ht="29.25">
      <c r="A23" s="1"/>
      <c r="B23" s="194" t="s">
        <v>325</v>
      </c>
      <c r="C23" s="200">
        <f>C20/C9*365/C16</f>
        <v>0.026782191172538352</v>
      </c>
      <c r="D23" s="200">
        <f>D20/D9*365/D16</f>
        <v>0.026824752289522795</v>
      </c>
      <c r="E23" s="200">
        <f>E20/E9*365/E16</f>
        <v>0.026034171947101302</v>
      </c>
      <c r="F23" s="200">
        <f>F20/F9*365/F16</f>
        <v>0.025912503918788174</v>
      </c>
      <c r="G23" s="200">
        <f>G20/G9*365/G16</f>
        <v>0.02637206537857244</v>
      </c>
      <c r="H23" s="200">
        <f>H20/H9*365/H16</f>
        <v>0.02483146875913606</v>
      </c>
      <c r="I23" s="200">
        <f>I20/I9*365/I16</f>
        <v>0.024309820892352646</v>
      </c>
      <c r="J23" s="201">
        <f>J20/J9*365/J16</f>
        <v>0.024249999999999997</v>
      </c>
      <c r="K23" s="1"/>
      <c r="L23" s="1"/>
    </row>
    <row r="24" ht="29.25">
      <c r="A24" s="1"/>
      <c r="B24" s="194" t="s">
        <v>326</v>
      </c>
      <c r="C24" s="199">
        <v>0.0485</v>
      </c>
      <c r="D24" s="199">
        <v>0.0487</v>
      </c>
      <c r="E24" s="199">
        <v>0.0488</v>
      </c>
      <c r="F24" s="199">
        <v>0.0475</v>
      </c>
      <c r="G24" s="199">
        <v>0.0484</v>
      </c>
      <c r="H24" s="199">
        <v>0.0458</v>
      </c>
      <c r="I24" s="199">
        <v>0.0458</v>
      </c>
      <c r="J24" s="201">
        <f>I24</f>
        <v>0.0458</v>
      </c>
      <c r="K24" s="1" t="s">
        <v>318</v>
      </c>
      <c r="L24" s="1"/>
    </row>
    <row r="25">
      <c r="A25" s="1"/>
      <c r="B25" s="1" t="s">
        <v>151</v>
      </c>
      <c r="C25" s="5"/>
      <c r="D25" s="5"/>
      <c r="E25" s="5"/>
      <c r="F25" s="5"/>
      <c r="G25" s="5"/>
      <c r="H25" s="5">
        <f>(H24-C24)*10000</f>
        <v>-27.00000000000001</v>
      </c>
      <c r="I25" s="5">
        <f>(I24-D24)*10000</f>
        <v>-28.999999999999996</v>
      </c>
      <c r="J25" s="15">
        <f>(J24-E24)*10000</f>
        <v>-30.00000000000003</v>
      </c>
      <c r="K25" s="1"/>
      <c r="L25" s="1"/>
    </row>
    <row r="26">
      <c r="A26" s="1"/>
      <c r="B26" s="1" t="s">
        <v>152</v>
      </c>
      <c r="C26" s="5"/>
      <c r="D26" s="5">
        <f>(D24-C24)*10000</f>
        <v>1.999999999999988</v>
      </c>
      <c r="E26" s="5">
        <f>(E24-D24)*10000</f>
        <v>1.0000000000000286</v>
      </c>
      <c r="F26" s="5">
        <f>(F24-E24)*10000</f>
        <v>-13.000000000000025</v>
      </c>
      <c r="G26" s="5"/>
      <c r="H26" s="5">
        <f>(H24-F24)*10000</f>
        <v>-17</v>
      </c>
      <c r="I26" s="5">
        <f>(I24-H24)*10000</f>
        <v>0</v>
      </c>
      <c r="J26" s="15">
        <f>(J24-I24)*10000</f>
        <v>0</v>
      </c>
      <c r="K26" s="1"/>
      <c r="L26" s="1"/>
    </row>
    <row r="27">
      <c r="A27" s="1"/>
      <c r="B27" s="1" t="s">
        <v>327</v>
      </c>
      <c r="C27" s="35">
        <v>20973</v>
      </c>
      <c r="D27" s="35">
        <v>21320</v>
      </c>
      <c r="E27" s="35">
        <v>22419</v>
      </c>
      <c r="F27" s="35">
        <v>22602</v>
      </c>
      <c r="G27" s="5">
        <f>SUM(C27:F27)</f>
        <v>87314</v>
      </c>
      <c r="H27" s="35">
        <v>22445</v>
      </c>
      <c r="I27" s="35">
        <v>23284</v>
      </c>
      <c r="J27" s="15">
        <f>J9*J24*J16/365-J17</f>
        <v>24059.309361309588</v>
      </c>
      <c r="K27" s="1" t="s">
        <v>318</v>
      </c>
      <c r="L27" s="1"/>
    </row>
    <row r="28">
      <c r="A28" s="1"/>
      <c r="B28" s="6" t="s">
        <v>84</v>
      </c>
      <c r="C28" s="26"/>
      <c r="D28" s="26"/>
      <c r="E28" s="26"/>
      <c r="F28" s="26"/>
      <c r="G28" s="26"/>
      <c r="H28" s="26">
        <f>IFERROR(IF(OR(C27&lt;=0,H27&lt;0),"n/m",H27/C27-1),"n/m")</f>
        <v>0.07018547656510754</v>
      </c>
      <c r="I28" s="26">
        <f>IFERROR(IF(OR(D27&lt;=0,I27&lt;0),"n/m",I27/D27-1),"n/m")</f>
        <v>0.09212007504690423</v>
      </c>
      <c r="J28" s="47">
        <f>IFERROR(IF(OR(E27&lt;=0,J27&lt;0),"n/m",J27/E27-1),"n/m")</f>
        <v>0.07316603601006233</v>
      </c>
      <c r="K28" s="1"/>
      <c r="L28" s="1"/>
    </row>
    <row r="29">
      <c r="A29" s="1"/>
      <c r="B29" s="6" t="s">
        <v>85</v>
      </c>
      <c r="C29" s="26"/>
      <c r="D29" s="26">
        <f>IFERROR(IF(OR(C27&lt;=0,D27&lt;0),"n/m",D27/C27-1),"n/m")</f>
        <v>0.016545081771801806</v>
      </c>
      <c r="E29" s="26">
        <f>IFERROR(IF(OR(D27&lt;=0,E27&lt;0),"n/m",E27/D27-1),"n/m")</f>
        <v>0.05154784240150101</v>
      </c>
      <c r="F29" s="26">
        <f>IFERROR(IF(OR(E27&lt;=0,F27&lt;0),"n/m",F27/E27-1),"n/m")</f>
        <v>0.008162719122173145</v>
      </c>
      <c r="G29" s="26"/>
      <c r="H29" s="26">
        <f>IFERROR(IF(OR(F27&lt;=0,H27&lt;0),"n/m",H27/F27-1),"n/m")</f>
        <v>-0.0069462879391204435</v>
      </c>
      <c r="I29" s="26">
        <f>IFERROR(IF(OR(H27&lt;=0,I27&lt;0),"n/m",I27/H27-1),"n/m")</f>
        <v>0.03738026286478058</v>
      </c>
      <c r="J29" s="47">
        <f>IFERROR(IF(OR(I27&lt;=0,J27&lt;0),"n/m",J27/I27-1),"n/m")</f>
        <v>0.03329794542645548</v>
      </c>
      <c r="K29" s="1"/>
      <c r="L29" s="1"/>
    </row>
    <row r="30">
      <c r="A30" s="1"/>
      <c r="B30" s="6" t="s">
        <v>86</v>
      </c>
      <c r="C30" s="26"/>
      <c r="D30" s="26"/>
      <c r="E30" s="26"/>
      <c r="F30" s="26"/>
      <c r="G30" s="26"/>
      <c r="H30" s="26" t="s">
        <v>78</v>
      </c>
      <c r="I30" s="26" t="s">
        <v>78</v>
      </c>
      <c r="J30" s="47" t="s">
        <v>78</v>
      </c>
      <c r="K30" s="1"/>
      <c r="L30" s="1"/>
    </row>
    <row r="31">
      <c r="A31" s="1"/>
      <c r="B31" s="6" t="s">
        <v>87</v>
      </c>
      <c r="C31" s="26"/>
      <c r="D31" s="26"/>
      <c r="E31" s="26"/>
      <c r="F31" s="26"/>
      <c r="G31" s="26"/>
      <c r="H31" s="26" t="s">
        <v>78</v>
      </c>
      <c r="I31" s="26" t="s">
        <v>78</v>
      </c>
      <c r="J31" s="47" t="s">
        <v>78</v>
      </c>
      <c r="K31" s="1"/>
      <c r="L31" s="1"/>
    </row>
    <row r="32">
      <c r="A32" s="1"/>
      <c r="B32" s="6" t="s">
        <v>88</v>
      </c>
      <c r="C32" s="26"/>
      <c r="D32" s="26"/>
      <c r="E32" s="26"/>
      <c r="F32" s="26"/>
      <c r="G32" s="26"/>
      <c r="H32" s="26" t="s">
        <v>81</v>
      </c>
      <c r="I32" s="26" t="s">
        <v>81</v>
      </c>
      <c r="J32" s="47" t="s">
        <v>81</v>
      </c>
      <c r="K32" s="1"/>
      <c r="L32" s="1"/>
    </row>
    <row r="33" ht="29.25">
      <c r="A33" s="1"/>
      <c r="B33" s="191" t="s">
        <v>328</v>
      </c>
      <c r="C33" s="35">
        <v>1313120</v>
      </c>
      <c r="D33" s="35">
        <v>1334659</v>
      </c>
      <c r="E33" s="35">
        <v>1414181</v>
      </c>
      <c r="F33" s="35">
        <v>1479685</v>
      </c>
      <c r="G33" s="35">
        <v>1385805</v>
      </c>
      <c r="H33" s="35">
        <v>1574063</v>
      </c>
      <c r="I33" s="35">
        <v>1630210</v>
      </c>
      <c r="J33" s="15">
        <f>I33*(1+J10)</f>
        <v>1666889.7249999999</v>
      </c>
      <c r="K33" s="1" t="s">
        <v>318</v>
      </c>
      <c r="L33" s="1"/>
    </row>
    <row r="34">
      <c r="A34" s="1"/>
      <c r="B34" s="1" t="s">
        <v>139</v>
      </c>
      <c r="C34" s="5"/>
      <c r="D34" s="5"/>
      <c r="E34" s="5"/>
      <c r="F34" s="5"/>
      <c r="G34" s="5"/>
      <c r="H34" s="5">
        <f>H33-C33</f>
        <v>260943</v>
      </c>
      <c r="I34" s="5">
        <f>I33-D33</f>
        <v>295551</v>
      </c>
      <c r="J34" s="15">
        <f>J33-E33</f>
        <v>252708.72499999986</v>
      </c>
      <c r="K34" s="1"/>
      <c r="L34" s="1"/>
    </row>
    <row r="35">
      <c r="A35" s="1"/>
      <c r="B35" s="1" t="s">
        <v>140</v>
      </c>
      <c r="C35" s="5"/>
      <c r="D35" s="5">
        <f>D33-C33</f>
        <v>21539</v>
      </c>
      <c r="E35" s="5">
        <f>E33-D33</f>
        <v>79522</v>
      </c>
      <c r="F35" s="5">
        <f>F33-E33</f>
        <v>65504</v>
      </c>
      <c r="G35" s="5"/>
      <c r="H35" s="5">
        <f>H33-F33</f>
        <v>94378</v>
      </c>
      <c r="I35" s="5">
        <f>I33-H33</f>
        <v>56147</v>
      </c>
      <c r="J35" s="15">
        <f>J33-I33</f>
        <v>36679.72499999986</v>
      </c>
      <c r="K35" s="1"/>
      <c r="L35" s="1"/>
    </row>
    <row r="36" ht="42">
      <c r="A36" s="1"/>
      <c r="B36" s="194" t="s">
        <v>329</v>
      </c>
      <c r="C36" s="199">
        <v>0.0292</v>
      </c>
      <c r="D36" s="199">
        <v>0.0289</v>
      </c>
      <c r="E36" s="199">
        <v>0.0294</v>
      </c>
      <c r="F36" s="199">
        <v>0.0276</v>
      </c>
      <c r="G36" s="199">
        <v>0.0287</v>
      </c>
      <c r="H36" s="199">
        <v>0.0266</v>
      </c>
      <c r="I36" s="199">
        <v>0.027</v>
      </c>
      <c r="J36" s="201">
        <f>J39/J33*365/J16</f>
        <v>0.027028057826905736</v>
      </c>
      <c r="K36" s="1" t="s">
        <v>318</v>
      </c>
      <c r="L36" s="1"/>
    </row>
    <row r="37">
      <c r="A37" s="1"/>
      <c r="B37" s="1" t="s">
        <v>151</v>
      </c>
      <c r="C37" s="5"/>
      <c r="D37" s="5"/>
      <c r="E37" s="5"/>
      <c r="F37" s="5"/>
      <c r="G37" s="5"/>
      <c r="H37" s="5">
        <f>(H36-C36)*10000</f>
        <v>-26.000000000000018</v>
      </c>
      <c r="I37" s="5">
        <f>(I36-D36)*10000</f>
        <v>-18.99999999999999</v>
      </c>
      <c r="J37" s="15">
        <f>(J36-E36)*10000</f>
        <v>-23.71942173094263</v>
      </c>
      <c r="K37" s="1"/>
      <c r="L37" s="1"/>
    </row>
    <row r="38">
      <c r="A38" s="1"/>
      <c r="B38" s="1" t="s">
        <v>152</v>
      </c>
      <c r="C38" s="5"/>
      <c r="D38" s="5">
        <f>(D36-C36)*10000</f>
        <v>-3.0000000000000164</v>
      </c>
      <c r="E38" s="5">
        <f>(E36-D36)*10000</f>
        <v>5.000000000000004</v>
      </c>
      <c r="F38" s="5">
        <f>(F36-E36)*10000</f>
        <v>-17.999999999999996</v>
      </c>
      <c r="G38" s="5"/>
      <c r="H38" s="5">
        <f>(H36-F36)*10000</f>
        <v>-10.000000000000009</v>
      </c>
      <c r="I38" s="5">
        <f>(I36-H36)*10000</f>
        <v>4.000000000000011</v>
      </c>
      <c r="J38" s="15">
        <f>(J36-I36)*10000</f>
        <v>0.28057826905736327</v>
      </c>
      <c r="K38" s="1"/>
      <c r="L38" s="1"/>
    </row>
    <row r="39">
      <c r="A39" s="1"/>
      <c r="B39" s="1" t="s">
        <v>330</v>
      </c>
      <c r="C39" s="35">
        <v>9478</v>
      </c>
      <c r="D39" s="35">
        <v>9612</v>
      </c>
      <c r="E39" s="35">
        <v>10469</v>
      </c>
      <c r="F39" s="35">
        <v>10271</v>
      </c>
      <c r="G39" s="5">
        <f>SUM(C39:F39)</f>
        <v>39830</v>
      </c>
      <c r="H39" s="35">
        <v>10349</v>
      </c>
      <c r="I39" s="35">
        <v>10967</v>
      </c>
      <c r="J39" s="15">
        <f>J27-J42</f>
        <v>11355.772199480822</v>
      </c>
      <c r="K39" s="1" t="s">
        <v>318</v>
      </c>
      <c r="L39" s="1"/>
    </row>
    <row r="40">
      <c r="A40" s="1"/>
      <c r="B40" s="1" t="s">
        <v>139</v>
      </c>
      <c r="C40" s="5"/>
      <c r="D40" s="5"/>
      <c r="E40" s="5"/>
      <c r="F40" s="5"/>
      <c r="G40" s="5"/>
      <c r="H40" s="5">
        <f>H39-C39</f>
        <v>871</v>
      </c>
      <c r="I40" s="5">
        <f>I39-D39</f>
        <v>1355</v>
      </c>
      <c r="J40" s="15">
        <f>J39-E39</f>
        <v>886.7721994808217</v>
      </c>
      <c r="K40" s="1"/>
      <c r="L40" s="1"/>
    </row>
    <row r="41">
      <c r="A41" s="1"/>
      <c r="B41" s="1" t="s">
        <v>140</v>
      </c>
      <c r="C41" s="5"/>
      <c r="D41" s="5">
        <f>D39-C39</f>
        <v>134</v>
      </c>
      <c r="E41" s="5">
        <f>E39-D39</f>
        <v>857</v>
      </c>
      <c r="F41" s="5">
        <f>F39-E39</f>
        <v>-198</v>
      </c>
      <c r="G41" s="5"/>
      <c r="H41" s="5">
        <f>H39-F39</f>
        <v>78</v>
      </c>
      <c r="I41" s="5">
        <f>I39-H39</f>
        <v>618</v>
      </c>
      <c r="J41" s="15">
        <f>J39-I39</f>
        <v>388.77219948082166</v>
      </c>
      <c r="K41" s="1"/>
      <c r="L41" s="1"/>
    </row>
    <row r="42">
      <c r="A42" s="1"/>
      <c r="B42" s="9" t="s">
        <v>331</v>
      </c>
      <c r="C42" s="17">
        <f>C27-C39</f>
        <v>11495</v>
      </c>
      <c r="D42" s="17">
        <f>D27-D39</f>
        <v>11708</v>
      </c>
      <c r="E42" s="17">
        <f>E27-E39</f>
        <v>11950</v>
      </c>
      <c r="F42" s="17">
        <f>F27-F39</f>
        <v>12331</v>
      </c>
      <c r="G42" s="17">
        <f>SUM(C42:F42)</f>
        <v>47484</v>
      </c>
      <c r="H42" s="17">
        <f>H27-H39</f>
        <v>12096</v>
      </c>
      <c r="I42" s="17">
        <f>I27-I39</f>
        <v>12317</v>
      </c>
      <c r="J42" s="42">
        <f>J20-J17</f>
        <v>12703.537161828766</v>
      </c>
      <c r="K42" s="1" t="s">
        <v>318</v>
      </c>
      <c r="L42" s="1"/>
    </row>
    <row r="43">
      <c r="A43" s="1"/>
      <c r="B43" s="6" t="s">
        <v>75</v>
      </c>
      <c r="C43" s="26"/>
      <c r="D43" s="26"/>
      <c r="E43" s="26"/>
      <c r="F43" s="26"/>
      <c r="G43" s="26"/>
      <c r="H43" s="26">
        <f>IFERROR(IF(OR(C42&lt;=0,H42&lt;0),"n/m",H42/C42-1),"n/m")</f>
        <v>0.052283601565898286</v>
      </c>
      <c r="I43" s="26">
        <f>IFERROR(IF(OR(D42&lt;=0,I42&lt;0),"n/m",I42/D42-1),"n/m")</f>
        <v>0.05201571574991459</v>
      </c>
      <c r="J43" s="47">
        <f>IFERROR(IF(OR(E42&lt;=0,J42&lt;0),"n/m",J42/E42-1),"n/m")</f>
        <v>0.06305750308190516</v>
      </c>
      <c r="K43" s="1"/>
      <c r="L43" s="1"/>
    </row>
    <row r="44">
      <c r="A44" s="1"/>
      <c r="B44" s="6" t="s">
        <v>76</v>
      </c>
      <c r="C44" s="26"/>
      <c r="D44" s="26">
        <f>IFERROR(IF(OR(C42&lt;=0,D42&lt;0),"n/m",D42/C42-1),"n/m")</f>
        <v>0.018529795563288376</v>
      </c>
      <c r="E44" s="26">
        <f>IFERROR(IF(OR(D42&lt;=0,E42&lt;0),"n/m",E42/D42-1),"n/m")</f>
        <v>0.020669627605056418</v>
      </c>
      <c r="F44" s="26">
        <f>IFERROR(IF(OR(E42&lt;=0,F42&lt;0),"n/m",F42/E42-1),"n/m")</f>
        <v>0.03188284518828444</v>
      </c>
      <c r="G44" s="26"/>
      <c r="H44" s="26">
        <f>IFERROR(IF(OR(F42&lt;=0,H42&lt;0),"n/m",H42/F42-1),"n/m")</f>
        <v>-0.019057659557213502</v>
      </c>
      <c r="I44" s="26">
        <f>IFERROR(IF(OR(H42&lt;=0,I42&lt;0),"n/m",I42/H42-1),"n/m")</f>
        <v>0.018270502645502562</v>
      </c>
      <c r="J44" s="47">
        <f>IFERROR(IF(OR(I42&lt;=0,J42&lt;0),"n/m",J42/I42-1),"n/m")</f>
        <v>0.03138241144992815</v>
      </c>
      <c r="K44" s="1"/>
      <c r="L44" s="1"/>
    </row>
    <row r="45">
      <c r="A45" s="1"/>
      <c r="B45" s="6" t="s">
        <v>77</v>
      </c>
      <c r="C45" s="26"/>
      <c r="D45" s="26"/>
      <c r="E45" s="26"/>
      <c r="F45" s="26"/>
      <c r="G45" s="26"/>
      <c r="H45" s="26" t="s">
        <v>78</v>
      </c>
      <c r="I45" s="26" t="s">
        <v>78</v>
      </c>
      <c r="J45" s="47" t="s">
        <v>78</v>
      </c>
      <c r="K45" s="1"/>
      <c r="L45" s="1"/>
    </row>
    <row r="46">
      <c r="A46" s="1"/>
      <c r="B46" s="6" t="s">
        <v>79</v>
      </c>
      <c r="C46" s="26"/>
      <c r="D46" s="26"/>
      <c r="E46" s="26"/>
      <c r="F46" s="26"/>
      <c r="G46" s="26"/>
      <c r="H46" s="26" t="s">
        <v>78</v>
      </c>
      <c r="I46" s="26" t="s">
        <v>78</v>
      </c>
      <c r="J46" s="47" t="s">
        <v>78</v>
      </c>
      <c r="K46" s="1"/>
      <c r="L46" s="1"/>
    </row>
    <row r="47">
      <c r="A47" s="1"/>
      <c r="B47" s="6" t="s">
        <v>80</v>
      </c>
      <c r="C47" s="26"/>
      <c r="D47" s="26"/>
      <c r="E47" s="26"/>
      <c r="F47" s="26"/>
      <c r="G47" s="26"/>
      <c r="H47" s="26" t="s">
        <v>81</v>
      </c>
      <c r="I47" s="26" t="s">
        <v>81</v>
      </c>
      <c r="J47" s="47" t="s">
        <v>81</v>
      </c>
      <c r="K47" s="1"/>
      <c r="L47" s="1"/>
    </row>
    <row r="48" ht="29.25">
      <c r="A48" s="1"/>
      <c r="B48" s="191" t="s">
        <v>332</v>
      </c>
      <c r="C48" s="35">
        <v>131</v>
      </c>
      <c r="D48" s="35">
        <v>104</v>
      </c>
      <c r="E48" s="35">
        <v>144</v>
      </c>
      <c r="F48" s="35">
        <v>358</v>
      </c>
      <c r="G48" s="5">
        <f>SUM(C48:F48)</f>
        <v>737</v>
      </c>
      <c r="H48" s="35">
        <v>481</v>
      </c>
      <c r="I48" s="35">
        <v>501</v>
      </c>
      <c r="J48" s="46">
        <f>(Guidance!H20-H48-I48)/2</f>
        <v>509</v>
      </c>
      <c r="K48" s="1" t="s">
        <v>94</v>
      </c>
      <c r="L48" s="1"/>
    </row>
    <row r="49">
      <c r="A49" s="1"/>
      <c r="B49" s="1" t="s">
        <v>139</v>
      </c>
      <c r="C49" s="5"/>
      <c r="D49" s="5"/>
      <c r="E49" s="5"/>
      <c r="F49" s="5"/>
      <c r="G49" s="5"/>
      <c r="H49" s="5">
        <f>H48-C48</f>
        <v>350</v>
      </c>
      <c r="I49" s="5">
        <f>I48-D48</f>
        <v>397</v>
      </c>
      <c r="J49" s="15">
        <f>J48-E48</f>
        <v>365</v>
      </c>
      <c r="K49" s="1"/>
      <c r="L49" s="1"/>
    </row>
    <row r="50">
      <c r="A50" s="1"/>
      <c r="B50" s="1" t="s">
        <v>140</v>
      </c>
      <c r="C50" s="5"/>
      <c r="D50" s="5">
        <f>D48-C48</f>
        <v>-27</v>
      </c>
      <c r="E50" s="5">
        <f>E48-D48</f>
        <v>40</v>
      </c>
      <c r="F50" s="5">
        <f>F48-E48</f>
        <v>214</v>
      </c>
      <c r="G50" s="5"/>
      <c r="H50" s="5">
        <f>H48-F48</f>
        <v>123</v>
      </c>
      <c r="I50" s="5">
        <f>I48-H48</f>
        <v>20</v>
      </c>
      <c r="J50" s="15">
        <f>J48-I48</f>
        <v>8</v>
      </c>
      <c r="K50" s="1"/>
      <c r="L50" s="1"/>
    </row>
    <row r="51" ht="29.25">
      <c r="A51" s="1"/>
      <c r="B51" s="191" t="s">
        <v>333</v>
      </c>
      <c r="C51" s="5">
        <f>C42-C48</f>
        <v>11364</v>
      </c>
      <c r="D51" s="5">
        <f>D42-D48</f>
        <v>11604</v>
      </c>
      <c r="E51" s="5">
        <f>E42-E48</f>
        <v>11806</v>
      </c>
      <c r="F51" s="5">
        <f>F42-F48</f>
        <v>11973</v>
      </c>
      <c r="G51" s="5">
        <f>G42-G48</f>
        <v>46747</v>
      </c>
      <c r="H51" s="5">
        <f>H42-H48</f>
        <v>11615</v>
      </c>
      <c r="I51" s="5">
        <f>I42-I48</f>
        <v>11816</v>
      </c>
      <c r="J51" s="15">
        <f>J42-J48</f>
        <v>12194.537161828766</v>
      </c>
      <c r="K51" s="1" t="s">
        <v>334</v>
      </c>
      <c r="L51" s="1"/>
    </row>
    <row r="52">
      <c r="A52" s="1"/>
      <c r="B52" s="6" t="s">
        <v>84</v>
      </c>
      <c r="C52" s="26"/>
      <c r="D52" s="26"/>
      <c r="E52" s="26"/>
      <c r="F52" s="26"/>
      <c r="G52" s="26"/>
      <c r="H52" s="26">
        <f>IFERROR(IF(OR(C51&lt;=0,H51&lt;0),"n/m",H51/C51-1),"n/m")</f>
        <v>0.022087293206617398</v>
      </c>
      <c r="I52" s="26">
        <f>IFERROR(IF(OR(D51&lt;=0,I51&lt;0),"n/m",I51/D51-1),"n/m")</f>
        <v>0.018269562219924262</v>
      </c>
      <c r="J52" s="47">
        <f>IFERROR(IF(OR(E51&lt;=0,J51&lt;0),"n/m",J51/E51-1),"n/m")</f>
        <v>0.03291014414948057</v>
      </c>
      <c r="K52" s="1"/>
      <c r="L52" s="1"/>
    </row>
    <row r="53">
      <c r="A53" s="1"/>
      <c r="B53" s="6" t="s">
        <v>85</v>
      </c>
      <c r="C53" s="26"/>
      <c r="D53" s="26">
        <f>IFERROR(IF(OR(C51&lt;=0,D51&lt;0),"n/m",D51/C51-1),"n/m")</f>
        <v>0.021119324181626098</v>
      </c>
      <c r="E53" s="26">
        <f>IFERROR(IF(OR(D51&lt;=0,E51&lt;0),"n/m",E51/D51-1),"n/m")</f>
        <v>0.017407790417097502</v>
      </c>
      <c r="F53" s="26">
        <f>IFERROR(IF(OR(E51&lt;=0,F51&lt;0),"n/m",F51/E51-1),"n/m")</f>
        <v>0.014145349822124453</v>
      </c>
      <c r="G53" s="26"/>
      <c r="H53" s="26">
        <f>IFERROR(IF(OR(F51&lt;=0,H51&lt;0),"n/m",H51/F51-1),"n/m")</f>
        <v>-0.029900609705169945</v>
      </c>
      <c r="I53" s="26">
        <f>IFERROR(IF(OR(H51&lt;=0,I51&lt;0),"n/m",I51/H51-1),"n/m")</f>
        <v>0.017305208781747794</v>
      </c>
      <c r="J53" s="47">
        <f>IFERROR(IF(OR(I51&lt;=0,J51&lt;0),"n/m",J51/I51-1),"n/m")</f>
        <v>0.03203598187447243</v>
      </c>
      <c r="K53" s="1"/>
      <c r="L53" s="1"/>
    </row>
    <row r="54">
      <c r="A54" s="1"/>
      <c r="B54" s="1"/>
      <c r="C54" s="13"/>
      <c r="D54" s="13"/>
      <c r="E54" s="13"/>
      <c r="F54" s="13"/>
      <c r="G54" s="13"/>
      <c r="H54" s="13"/>
      <c r="I54" s="13"/>
      <c r="J54" s="27"/>
      <c r="K54" s="1"/>
      <c r="L54" s="1"/>
    </row>
    <row r="55">
      <c r="A55" s="1"/>
      <c r="B55" s="9" t="s">
        <v>335</v>
      </c>
      <c r="C55" s="25"/>
      <c r="D55" s="25"/>
      <c r="E55" s="25"/>
      <c r="F55" s="25"/>
      <c r="G55" s="25"/>
      <c r="H55" s="25"/>
      <c r="I55" s="25"/>
      <c r="J55" s="37"/>
      <c r="K55" s="1"/>
      <c r="L55" s="1"/>
    </row>
    <row r="56">
      <c r="A56" s="1"/>
      <c r="B56" s="1" t="s">
        <v>121</v>
      </c>
      <c r="C56" s="35">
        <v>1269</v>
      </c>
      <c r="D56" s="35">
        <v>1249</v>
      </c>
      <c r="E56" s="35">
        <v>1290</v>
      </c>
      <c r="F56" s="35">
        <v>1291</v>
      </c>
      <c r="G56" s="5">
        <f>SUM(C56:F56)</f>
        <v>5099</v>
      </c>
      <c r="H56" s="35">
        <v>1319</v>
      </c>
      <c r="I56" s="35">
        <v>1357</v>
      </c>
      <c r="J56" s="46">
        <f>'Segment - CBL'!J16+'Segment - Commercial Banking'!J16+'Segment - CIB'!J16+J62</f>
        <v>1382.0248351648352</v>
      </c>
      <c r="K56" s="1" t="s">
        <v>94</v>
      </c>
      <c r="L56" s="1"/>
    </row>
    <row r="57">
      <c r="A57" s="1"/>
      <c r="B57" s="6" t="s">
        <v>84</v>
      </c>
      <c r="C57" s="26"/>
      <c r="D57" s="26"/>
      <c r="E57" s="26"/>
      <c r="F57" s="26"/>
      <c r="G57" s="26"/>
      <c r="H57" s="26">
        <f>IFERROR(IF(OR(C56&lt;=0,H56&lt;0),"n/m",H56/C56-1),"n/m")</f>
        <v>0.03940110323089052</v>
      </c>
      <c r="I57" s="26">
        <f>IFERROR(IF(OR(D56&lt;=0,I56&lt;0),"n/m",I56/D56-1),"n/m")</f>
        <v>0.08646917534027221</v>
      </c>
      <c r="J57" s="47">
        <f>IFERROR(IF(OR(E56&lt;=0,J56&lt;0),"n/m",J56/E56-1),"n/m")</f>
        <v>0.07133708152312801</v>
      </c>
      <c r="K57" s="1"/>
      <c r="L57" s="1"/>
    </row>
    <row r="58">
      <c r="A58" s="1"/>
      <c r="B58" s="6" t="s">
        <v>85</v>
      </c>
      <c r="C58" s="26"/>
      <c r="D58" s="26">
        <f>IFERROR(IF(OR(C56&lt;=0,D56&lt;0),"n/m",D56/C56-1),"n/m")</f>
        <v>-0.01576044129235621</v>
      </c>
      <c r="E58" s="26">
        <f>IFERROR(IF(OR(D56&lt;=0,E56&lt;0),"n/m",E56/D56-1),"n/m")</f>
        <v>0.032826261008807034</v>
      </c>
      <c r="F58" s="26">
        <f>IFERROR(IF(OR(E56&lt;=0,F56&lt;0),"n/m",F56/E56-1),"n/m")</f>
        <v>0.0007751937984497026</v>
      </c>
      <c r="G58" s="26"/>
      <c r="H58" s="26">
        <f>IFERROR(IF(OR(F56&lt;=0,H56&lt;0),"n/m",H56/F56-1),"n/m")</f>
        <v>0.021688613477924168</v>
      </c>
      <c r="I58" s="26">
        <f>IFERROR(IF(OR(H56&lt;=0,I56&lt;0),"n/m",I56/H56-1),"n/m")</f>
        <v>0.028809704321455687</v>
      </c>
      <c r="J58" s="47">
        <f>IFERROR(IF(OR(I56&lt;=0,J56&lt;0),"n/m",J56/I56-1),"n/m")</f>
        <v>0.01844129341550116</v>
      </c>
      <c r="K58" s="1"/>
      <c r="L58" s="1"/>
    </row>
    <row r="59">
      <c r="A59" s="1"/>
      <c r="B59" s="6" t="s">
        <v>86</v>
      </c>
      <c r="C59" s="26"/>
      <c r="D59" s="26"/>
      <c r="E59" s="26"/>
      <c r="F59" s="26"/>
      <c r="G59" s="26"/>
      <c r="H59" s="26" t="s">
        <v>78</v>
      </c>
      <c r="I59" s="26" t="s">
        <v>78</v>
      </c>
      <c r="J59" s="47" t="s">
        <v>78</v>
      </c>
      <c r="K59" s="1"/>
      <c r="L59" s="1"/>
    </row>
    <row r="60">
      <c r="A60" s="1"/>
      <c r="B60" s="6" t="s">
        <v>87</v>
      </c>
      <c r="C60" s="26"/>
      <c r="D60" s="26"/>
      <c r="E60" s="26"/>
      <c r="F60" s="26"/>
      <c r="G60" s="26"/>
      <c r="H60" s="26" t="s">
        <v>78</v>
      </c>
      <c r="I60" s="26" t="s">
        <v>78</v>
      </c>
      <c r="J60" s="47" t="s">
        <v>78</v>
      </c>
      <c r="K60" s="1"/>
      <c r="L60" s="1"/>
    </row>
    <row r="61">
      <c r="A61" s="1"/>
      <c r="B61" s="6" t="s">
        <v>88</v>
      </c>
      <c r="C61" s="26"/>
      <c r="D61" s="26"/>
      <c r="E61" s="26"/>
      <c r="F61" s="26"/>
      <c r="G61" s="26"/>
      <c r="H61" s="26" t="s">
        <v>81</v>
      </c>
      <c r="I61" s="26" t="s">
        <v>81</v>
      </c>
      <c r="J61" s="47" t="s">
        <v>81</v>
      </c>
      <c r="K61" s="1"/>
      <c r="L61" s="1"/>
    </row>
    <row r="62" ht="29.25">
      <c r="A62" s="1"/>
      <c r="B62" s="191" t="s">
        <v>336</v>
      </c>
      <c r="C62" s="14">
        <f>C56-'Segment - CBL'!C16-'Segment - Commercial Banking'!C16-'Segment - CIB'!C16</f>
        <v>8</v>
      </c>
      <c r="D62" s="14">
        <f>D56-'Segment - CBL'!D16-'Segment - Commercial Banking'!D16-'Segment - CIB'!D16</f>
        <v>6</v>
      </c>
      <c r="E62" s="14">
        <f>E56-'Segment - CBL'!E16-'Segment - Commercial Banking'!E16-'Segment - CIB'!E16</f>
        <v>8</v>
      </c>
      <c r="F62" s="14">
        <f>F56-'Segment - CBL'!F16-'Segment - Commercial Banking'!F16-'Segment - CIB'!F16</f>
        <v>6</v>
      </c>
      <c r="G62" s="190">
        <f>G56-'Segment - CBL'!G16-'Segment - Commercial Banking'!G16-'Segment - CIB'!G16</f>
        <v>28</v>
      </c>
      <c r="H62" s="14">
        <f>H56-'Segment - CBL'!H16-'Segment - Commercial Banking'!H16-'Segment - CIB'!H16</f>
        <v>6</v>
      </c>
      <c r="I62" s="14">
        <f>I56-'Segment - CBL'!I16-'Segment - Commercial Banking'!I16-'Segment - CIB'!I16</f>
        <v>8</v>
      </c>
      <c r="J62" s="38">
        <v>7</v>
      </c>
      <c r="K62" s="1"/>
      <c r="L62" s="1"/>
    </row>
    <row r="63">
      <c r="A63" s="1"/>
      <c r="B63" s="1" t="s">
        <v>241</v>
      </c>
      <c r="C63" s="35">
        <v>364</v>
      </c>
      <c r="D63" s="35">
        <v>373</v>
      </c>
      <c r="E63" s="35">
        <v>384</v>
      </c>
      <c r="F63" s="35">
        <v>393</v>
      </c>
      <c r="G63" s="5">
        <f>SUM(C63:F63)</f>
        <v>1514</v>
      </c>
      <c r="H63" s="35">
        <v>393</v>
      </c>
      <c r="I63" s="35">
        <v>405</v>
      </c>
      <c r="J63" s="46">
        <f>'Segment - Commercial Banking'!J22+'Segment - CIB'!J22+J69</f>
        <v>413.2509906297048</v>
      </c>
      <c r="K63" s="1" t="s">
        <v>94</v>
      </c>
      <c r="L63" s="1"/>
    </row>
    <row r="64">
      <c r="A64" s="1"/>
      <c r="B64" s="6" t="s">
        <v>84</v>
      </c>
      <c r="C64" s="26"/>
      <c r="D64" s="26"/>
      <c r="E64" s="26"/>
      <c r="F64" s="26"/>
      <c r="G64" s="26"/>
      <c r="H64" s="26">
        <f>IFERROR(IF(OR(C63&lt;=0,H63&lt;0),"n/m",H63/C63-1),"n/m")</f>
        <v>0.07967032967032961</v>
      </c>
      <c r="I64" s="26">
        <f>IFERROR(IF(OR(D63&lt;=0,I63&lt;0),"n/m",I63/D63-1),"n/m")</f>
        <v>0.08579088471849872</v>
      </c>
      <c r="J64" s="47">
        <f>IFERROR(IF(OR(E63&lt;=0,J63&lt;0),"n/m",J63/E63-1),"n/m")</f>
        <v>0.07617445476485618</v>
      </c>
      <c r="K64" s="1"/>
      <c r="L64" s="1"/>
    </row>
    <row r="65">
      <c r="A65" s="1"/>
      <c r="B65" s="6" t="s">
        <v>85</v>
      </c>
      <c r="C65" s="26"/>
      <c r="D65" s="26">
        <f>IFERROR(IF(OR(C63&lt;=0,D63&lt;0),"n/m",D63/C63-1),"n/m")</f>
        <v>0.024725274725274637</v>
      </c>
      <c r="E65" s="26">
        <f>IFERROR(IF(OR(D63&lt;=0,E63&lt;0),"n/m",E63/D63-1),"n/m")</f>
        <v>0.029490616621983934</v>
      </c>
      <c r="F65" s="26">
        <f>IFERROR(IF(OR(E63&lt;=0,F63&lt;0),"n/m",F63/E63-1),"n/m")</f>
        <v>0.0234375</v>
      </c>
      <c r="G65" s="26"/>
      <c r="H65" s="26">
        <f>IFERROR(IF(OR(F63&lt;=0,H63&lt;0),"n/m",H63/F63-1),"n/m")</f>
        <v>0</v>
      </c>
      <c r="I65" s="26">
        <f>IFERROR(IF(OR(H63&lt;=0,I63&lt;0),"n/m",I63/H63-1),"n/m")</f>
        <v>0.03053435114503822</v>
      </c>
      <c r="J65" s="47">
        <f>IFERROR(IF(OR(I63&lt;=0,J63&lt;0),"n/m",J63/I63-1),"n/m")</f>
        <v>0.0203728163696415</v>
      </c>
      <c r="K65" s="1"/>
      <c r="L65" s="1"/>
    </row>
    <row r="66">
      <c r="A66" s="1"/>
      <c r="B66" s="6" t="s">
        <v>86</v>
      </c>
      <c r="C66" s="26"/>
      <c r="D66" s="26"/>
      <c r="E66" s="26"/>
      <c r="F66" s="26"/>
      <c r="G66" s="26"/>
      <c r="H66" s="26" t="s">
        <v>78</v>
      </c>
      <c r="I66" s="26" t="s">
        <v>78</v>
      </c>
      <c r="J66" s="47" t="s">
        <v>78</v>
      </c>
      <c r="K66" s="1"/>
      <c r="L66" s="1"/>
    </row>
    <row r="67">
      <c r="A67" s="1"/>
      <c r="B67" s="6" t="s">
        <v>87</v>
      </c>
      <c r="C67" s="26"/>
      <c r="D67" s="26"/>
      <c r="E67" s="26"/>
      <c r="F67" s="26"/>
      <c r="G67" s="26"/>
      <c r="H67" s="26" t="s">
        <v>78</v>
      </c>
      <c r="I67" s="26" t="s">
        <v>78</v>
      </c>
      <c r="J67" s="47" t="s">
        <v>78</v>
      </c>
      <c r="K67" s="1"/>
      <c r="L67" s="1"/>
    </row>
    <row r="68">
      <c r="A68" s="1"/>
      <c r="B68" s="6" t="s">
        <v>88</v>
      </c>
      <c r="C68" s="26"/>
      <c r="D68" s="26"/>
      <c r="E68" s="26"/>
      <c r="F68" s="26"/>
      <c r="G68" s="26"/>
      <c r="H68" s="26" t="s">
        <v>81</v>
      </c>
      <c r="I68" s="26" t="s">
        <v>81</v>
      </c>
      <c r="J68" s="47" t="s">
        <v>81</v>
      </c>
      <c r="K68" s="1"/>
      <c r="L68" s="1"/>
    </row>
    <row r="69" ht="29.25">
      <c r="A69" s="1"/>
      <c r="B69" s="191" t="s">
        <v>337</v>
      </c>
      <c r="C69" s="14">
        <f>C63-'Segment - Commercial Banking'!C22-'Segment - CIB'!C22</f>
        <v>27</v>
      </c>
      <c r="D69" s="14">
        <f>D63-'Segment - Commercial Banking'!D22-'Segment - CIB'!D22</f>
        <v>26</v>
      </c>
      <c r="E69" s="14">
        <f>E63-'Segment - Commercial Banking'!E22-'Segment - CIB'!E22</f>
        <v>26</v>
      </c>
      <c r="F69" s="14">
        <f>F63-'Segment - Commercial Banking'!F22-'Segment - CIB'!F22</f>
        <v>26</v>
      </c>
      <c r="G69" s="190">
        <f>G63-'Segment - Commercial Banking'!G22-'Segment - CIB'!G22</f>
        <v>105</v>
      </c>
      <c r="H69" s="14">
        <f>H63-'Segment - Commercial Banking'!H22-'Segment - CIB'!H22</f>
        <v>26</v>
      </c>
      <c r="I69" s="14">
        <f>I63-'Segment - Commercial Banking'!I22-'Segment - CIB'!I22</f>
        <v>28</v>
      </c>
      <c r="J69" s="38">
        <v>27</v>
      </c>
      <c r="K69" s="1"/>
      <c r="L69" s="1"/>
    </row>
    <row r="70" ht="29.25">
      <c r="A70" s="1"/>
      <c r="B70" s="191" t="s">
        <v>122</v>
      </c>
      <c r="C70" s="35">
        <v>2536</v>
      </c>
      <c r="D70" s="35">
        <v>2499</v>
      </c>
      <c r="E70" s="35">
        <v>2660</v>
      </c>
      <c r="F70" s="35">
        <v>2803</v>
      </c>
      <c r="G70" s="5">
        <f>SUM(C70:F70)</f>
        <v>10498</v>
      </c>
      <c r="H70" s="35">
        <v>2824</v>
      </c>
      <c r="I70" s="35">
        <v>2821</v>
      </c>
      <c r="J70" s="46">
        <f>'Segment - CBL'!J22+'Segment - WIM'!J16+J76</f>
        <v>3069.2609425850073</v>
      </c>
      <c r="K70" s="1" t="s">
        <v>94</v>
      </c>
      <c r="L70" s="1"/>
    </row>
    <row r="71">
      <c r="A71" s="1"/>
      <c r="B71" s="6" t="s">
        <v>84</v>
      </c>
      <c r="C71" s="26"/>
      <c r="D71" s="26"/>
      <c r="E71" s="26"/>
      <c r="F71" s="26"/>
      <c r="G71" s="26"/>
      <c r="H71" s="26">
        <f>IFERROR(IF(OR(C70&lt;=0,H70&lt;0),"n/m",H70/C70-1),"n/m")</f>
        <v>0.11356466876971605</v>
      </c>
      <c r="I71" s="26">
        <f>IFERROR(IF(OR(D70&lt;=0,I70&lt;0),"n/m",I70/D70-1),"n/m")</f>
        <v>0.12885154061624648</v>
      </c>
      <c r="J71" s="47">
        <f>IFERROR(IF(OR(E70&lt;=0,J70&lt;0),"n/m",J70/E70-1),"n/m")</f>
        <v>0.1538574972124087</v>
      </c>
      <c r="K71" s="1"/>
      <c r="L71" s="1"/>
    </row>
    <row r="72">
      <c r="A72" s="1"/>
      <c r="B72" s="6" t="s">
        <v>85</v>
      </c>
      <c r="C72" s="26"/>
      <c r="D72" s="26">
        <f>IFERROR(IF(OR(C70&lt;=0,D70&lt;0),"n/m",D70/C70-1),"n/m")</f>
        <v>-0.014589905362776046</v>
      </c>
      <c r="E72" s="26">
        <f>IFERROR(IF(OR(D70&lt;=0,E70&lt;0),"n/m",E70/D70-1),"n/m")</f>
        <v>0.06442577030812324</v>
      </c>
      <c r="F72" s="26">
        <f>IFERROR(IF(OR(E70&lt;=0,F70&lt;0),"n/m",F70/E70-1),"n/m")</f>
        <v>0.05375939849624056</v>
      </c>
      <c r="G72" s="26"/>
      <c r="H72" s="26">
        <f>IFERROR(IF(OR(F70&lt;=0,H70&lt;0),"n/m",H70/F70-1),"n/m")</f>
        <v>0.007491972886193299</v>
      </c>
      <c r="I72" s="26">
        <f>IFERROR(IF(OR(H70&lt;=0,I70&lt;0),"n/m",I70/H70-1),"n/m")</f>
        <v>-0.0010623229461755868</v>
      </c>
      <c r="J72" s="47">
        <f>IFERROR(IF(OR(I70&lt;=0,J70&lt;0),"n/m",J70/I70-1),"n/m")</f>
        <v>0.08800458794222177</v>
      </c>
      <c r="K72" s="1"/>
      <c r="L72" s="1"/>
    </row>
    <row r="73">
      <c r="A73" s="1"/>
      <c r="B73" s="6" t="s">
        <v>86</v>
      </c>
      <c r="C73" s="26"/>
      <c r="D73" s="26"/>
      <c r="E73" s="26"/>
      <c r="F73" s="26"/>
      <c r="G73" s="26"/>
      <c r="H73" s="26" t="s">
        <v>78</v>
      </c>
      <c r="I73" s="26" t="s">
        <v>78</v>
      </c>
      <c r="J73" s="47" t="s">
        <v>78</v>
      </c>
      <c r="K73" s="1"/>
      <c r="L73" s="1"/>
    </row>
    <row r="74">
      <c r="A74" s="1"/>
      <c r="B74" s="6" t="s">
        <v>87</v>
      </c>
      <c r="C74" s="26"/>
      <c r="D74" s="26"/>
      <c r="E74" s="26"/>
      <c r="F74" s="26"/>
      <c r="G74" s="26"/>
      <c r="H74" s="26" t="s">
        <v>78</v>
      </c>
      <c r="I74" s="26" t="s">
        <v>78</v>
      </c>
      <c r="J74" s="47" t="s">
        <v>78</v>
      </c>
      <c r="K74" s="1"/>
      <c r="L74" s="1"/>
    </row>
    <row r="75">
      <c r="A75" s="1"/>
      <c r="B75" s="6" t="s">
        <v>88</v>
      </c>
      <c r="C75" s="26"/>
      <c r="D75" s="26"/>
      <c r="E75" s="26"/>
      <c r="F75" s="26"/>
      <c r="G75" s="26"/>
      <c r="H75" s="26" t="s">
        <v>81</v>
      </c>
      <c r="I75" s="26" t="s">
        <v>81</v>
      </c>
      <c r="J75" s="47" t="s">
        <v>81</v>
      </c>
      <c r="K75" s="1"/>
      <c r="L75" s="1"/>
    </row>
    <row r="76" ht="29.25">
      <c r="A76" s="1"/>
      <c r="B76" s="191" t="s">
        <v>338</v>
      </c>
      <c r="C76" s="14">
        <f>C70-'Segment - CBL'!C22-'Segment - WIM'!C16</f>
        <v>62</v>
      </c>
      <c r="D76" s="14">
        <f>D70-'Segment - CBL'!D22-'Segment - WIM'!D16</f>
        <v>59</v>
      </c>
      <c r="E76" s="14">
        <f>E70-'Segment - CBL'!E22-'Segment - WIM'!E16</f>
        <v>58</v>
      </c>
      <c r="F76" s="14">
        <f>F70-'Segment - CBL'!F22-'Segment - WIM'!F16</f>
        <v>58</v>
      </c>
      <c r="G76" s="190">
        <f>G70-'Segment - CBL'!G22-'Segment - WIM'!G16</f>
        <v>237</v>
      </c>
      <c r="H76" s="14">
        <f>H70-'Segment - CBL'!H22-'Segment - WIM'!H16</f>
        <v>57</v>
      </c>
      <c r="I76" s="14">
        <f>I70-'Segment - CBL'!I22-'Segment - WIM'!I16</f>
        <v>51</v>
      </c>
      <c r="J76" s="38">
        <v>52</v>
      </c>
      <c r="K76" s="1"/>
      <c r="L76" s="1"/>
    </row>
    <row r="77" ht="29.25">
      <c r="A77" s="1"/>
      <c r="B77" s="191" t="s">
        <v>123</v>
      </c>
      <c r="C77" s="35">
        <v>638</v>
      </c>
      <c r="D77" s="35">
        <v>610</v>
      </c>
      <c r="E77" s="35">
        <v>651</v>
      </c>
      <c r="F77" s="35">
        <v>657</v>
      </c>
      <c r="G77" s="5">
        <f>SUM(C77:F77)</f>
        <v>2556</v>
      </c>
      <c r="H77" s="35">
        <v>667</v>
      </c>
      <c r="I77" s="35">
        <v>687</v>
      </c>
      <c r="J77" s="46">
        <f>'Segment - CBL'!J28+'Segment - WIM'!J22+J83</f>
        <v>683.37</v>
      </c>
      <c r="K77" s="1" t="s">
        <v>94</v>
      </c>
      <c r="L77" s="1"/>
    </row>
    <row r="78">
      <c r="A78" s="1"/>
      <c r="B78" s="6" t="s">
        <v>84</v>
      </c>
      <c r="C78" s="26"/>
      <c r="D78" s="26"/>
      <c r="E78" s="26"/>
      <c r="F78" s="26"/>
      <c r="G78" s="26"/>
      <c r="H78" s="26">
        <f>IFERROR(IF(OR(C77&lt;=0,H77&lt;0),"n/m",H77/C77-1),"n/m")</f>
        <v>0.045454545454545414</v>
      </c>
      <c r="I78" s="26">
        <f>IFERROR(IF(OR(D77&lt;=0,I77&lt;0),"n/m",I77/D77-1),"n/m")</f>
        <v>0.1262295081967213</v>
      </c>
      <c r="J78" s="47">
        <f>IFERROR(IF(OR(E77&lt;=0,J77&lt;0),"n/m",J77/E77-1),"n/m")</f>
        <v>0.04972350230414757</v>
      </c>
      <c r="K78" s="1"/>
      <c r="L78" s="1"/>
    </row>
    <row r="79">
      <c r="A79" s="1"/>
      <c r="B79" s="6" t="s">
        <v>85</v>
      </c>
      <c r="C79" s="26"/>
      <c r="D79" s="26">
        <f>IFERROR(IF(OR(C77&lt;=0,D77&lt;0),"n/m",D77/C77-1),"n/m")</f>
        <v>-0.043887147335423204</v>
      </c>
      <c r="E79" s="26">
        <f>IFERROR(IF(OR(D77&lt;=0,E77&lt;0),"n/m",E77/D77-1),"n/m")</f>
        <v>0.06721311475409841</v>
      </c>
      <c r="F79" s="26">
        <f>IFERROR(IF(OR(E77&lt;=0,F77&lt;0),"n/m",F77/E77-1),"n/m")</f>
        <v>0.009216589861751112</v>
      </c>
      <c r="G79" s="26"/>
      <c r="H79" s="26">
        <f>IFERROR(IF(OR(F77&lt;=0,H77&lt;0),"n/m",H77/F77-1),"n/m")</f>
        <v>0.015220700152207112</v>
      </c>
      <c r="I79" s="26">
        <f>IFERROR(IF(OR(H77&lt;=0,I77&lt;0),"n/m",I77/H77-1),"n/m")</f>
        <v>0.02998500749625177</v>
      </c>
      <c r="J79" s="47">
        <f>IFERROR(IF(OR(I77&lt;=0,J77&lt;0),"n/m",J77/I77-1),"n/m")</f>
        <v>-0.005283842794759797</v>
      </c>
      <c r="K79" s="1"/>
      <c r="L79" s="1"/>
    </row>
    <row r="80">
      <c r="A80" s="1"/>
      <c r="B80" s="6" t="s">
        <v>86</v>
      </c>
      <c r="C80" s="26"/>
      <c r="D80" s="26"/>
      <c r="E80" s="26"/>
      <c r="F80" s="26"/>
      <c r="G80" s="26"/>
      <c r="H80" s="26" t="s">
        <v>78</v>
      </c>
      <c r="I80" s="26" t="s">
        <v>78</v>
      </c>
      <c r="J80" s="47" t="s">
        <v>78</v>
      </c>
      <c r="K80" s="1"/>
      <c r="L80" s="1"/>
    </row>
    <row r="81">
      <c r="A81" s="1"/>
      <c r="B81" s="6" t="s">
        <v>87</v>
      </c>
      <c r="C81" s="26"/>
      <c r="D81" s="26"/>
      <c r="E81" s="26"/>
      <c r="F81" s="26"/>
      <c r="G81" s="26"/>
      <c r="H81" s="26" t="s">
        <v>78</v>
      </c>
      <c r="I81" s="26" t="s">
        <v>78</v>
      </c>
      <c r="J81" s="47" t="s">
        <v>78</v>
      </c>
      <c r="K81" s="1"/>
      <c r="L81" s="1"/>
    </row>
    <row r="82">
      <c r="A82" s="1"/>
      <c r="B82" s="6" t="s">
        <v>88</v>
      </c>
      <c r="C82" s="26"/>
      <c r="D82" s="26"/>
      <c r="E82" s="26"/>
      <c r="F82" s="26"/>
      <c r="G82" s="26"/>
      <c r="H82" s="26" t="s">
        <v>81</v>
      </c>
      <c r="I82" s="26" t="s">
        <v>81</v>
      </c>
      <c r="J82" s="47" t="s">
        <v>81</v>
      </c>
      <c r="K82" s="1"/>
      <c r="L82" s="1"/>
    </row>
    <row r="83" ht="29.25">
      <c r="A83" s="1"/>
      <c r="B83" s="191" t="s">
        <v>339</v>
      </c>
      <c r="C83" s="14">
        <f>C77-'Segment - CBL'!C28-'Segment - WIM'!C22</f>
        <v>104</v>
      </c>
      <c r="D83" s="14">
        <f>D77-'Segment - CBL'!D28-'Segment - WIM'!D22</f>
        <v>99</v>
      </c>
      <c r="E83" s="14">
        <f>E77-'Segment - CBL'!E28-'Segment - WIM'!E22</f>
        <v>94</v>
      </c>
      <c r="F83" s="14">
        <f>F77-'Segment - CBL'!F28-'Segment - WIM'!F22</f>
        <v>97</v>
      </c>
      <c r="G83" s="190">
        <f>G77-'Segment - CBL'!G28-'Segment - WIM'!G22</f>
        <v>394</v>
      </c>
      <c r="H83" s="14">
        <f>H77-'Segment - CBL'!H28-'Segment - WIM'!H22</f>
        <v>114</v>
      </c>
      <c r="I83" s="14">
        <f>I77-'Segment - CBL'!I28-'Segment - WIM'!I22</f>
        <v>123</v>
      </c>
      <c r="J83" s="38">
        <v>115</v>
      </c>
      <c r="K83" s="1"/>
      <c r="L83" s="1"/>
    </row>
    <row r="84">
      <c r="A84" s="1"/>
      <c r="B84" s="1" t="s">
        <v>263</v>
      </c>
      <c r="C84" s="35">
        <v>775</v>
      </c>
      <c r="D84" s="35">
        <v>696</v>
      </c>
      <c r="E84" s="35">
        <v>840</v>
      </c>
      <c r="F84" s="35">
        <v>716</v>
      </c>
      <c r="G84" s="5">
        <f>SUM(C84:F84)</f>
        <v>3027</v>
      </c>
      <c r="H84" s="35">
        <v>796</v>
      </c>
      <c r="I84" s="35">
        <v>939</v>
      </c>
      <c r="J84" s="46">
        <f>'Segment - CIB'!J28+J90</f>
        <v>881.3000000000001</v>
      </c>
      <c r="K84" s="1" t="s">
        <v>94</v>
      </c>
      <c r="L84" s="1"/>
    </row>
    <row r="85">
      <c r="A85" s="1"/>
      <c r="B85" s="6" t="s">
        <v>84</v>
      </c>
      <c r="C85" s="26"/>
      <c r="D85" s="26"/>
      <c r="E85" s="26"/>
      <c r="F85" s="26"/>
      <c r="G85" s="26"/>
      <c r="H85" s="26">
        <f>IFERROR(IF(OR(C84&lt;=0,H84&lt;0),"n/m",H84/C84-1),"n/m")</f>
        <v>0.02709677419354839</v>
      </c>
      <c r="I85" s="26">
        <f>IFERROR(IF(OR(D84&lt;=0,I84&lt;0),"n/m",I84/D84-1),"n/m")</f>
        <v>0.34913793103448265</v>
      </c>
      <c r="J85" s="47">
        <f>IFERROR(IF(OR(E84&lt;=0,J84&lt;0),"n/m",J84/E84-1),"n/m")</f>
        <v>0.0491666666666668</v>
      </c>
      <c r="K85" s="1"/>
      <c r="L85" s="1"/>
    </row>
    <row r="86">
      <c r="A86" s="1"/>
      <c r="B86" s="6" t="s">
        <v>85</v>
      </c>
      <c r="C86" s="26"/>
      <c r="D86" s="26">
        <f>IFERROR(IF(OR(C84&lt;=0,D84&lt;0),"n/m",D84/C84-1),"n/m")</f>
        <v>-0.10193548387096774</v>
      </c>
      <c r="E86" s="26">
        <f>IFERROR(IF(OR(D84&lt;=0,E84&lt;0),"n/m",E84/D84-1),"n/m")</f>
        <v>0.2068965517241379</v>
      </c>
      <c r="F86" s="26">
        <f>IFERROR(IF(OR(E84&lt;=0,F84&lt;0),"n/m",F84/E84-1),"n/m")</f>
        <v>-0.14761904761904765</v>
      </c>
      <c r="G86" s="26"/>
      <c r="H86" s="26">
        <f>IFERROR(IF(OR(F84&lt;=0,H84&lt;0),"n/m",H84/F84-1),"n/m")</f>
        <v>0.1117318435754191</v>
      </c>
      <c r="I86" s="26">
        <f>IFERROR(IF(OR(H84&lt;=0,I84&lt;0),"n/m",I84/H84-1),"n/m")</f>
        <v>0.17964824120603007</v>
      </c>
      <c r="J86" s="47">
        <f>IFERROR(IF(OR(I84&lt;=0,J84&lt;0),"n/m",J84/I84-1),"n/m")</f>
        <v>-0.06144834930777421</v>
      </c>
      <c r="K86" s="1"/>
      <c r="L86" s="1"/>
    </row>
    <row r="87">
      <c r="A87" s="1"/>
      <c r="B87" s="6" t="s">
        <v>86</v>
      </c>
      <c r="C87" s="26"/>
      <c r="D87" s="26"/>
      <c r="E87" s="26"/>
      <c r="F87" s="26"/>
      <c r="G87" s="26"/>
      <c r="H87" s="26" t="s">
        <v>78</v>
      </c>
      <c r="I87" s="26" t="s">
        <v>78</v>
      </c>
      <c r="J87" s="47" t="s">
        <v>78</v>
      </c>
      <c r="K87" s="1"/>
      <c r="L87" s="1"/>
    </row>
    <row r="88">
      <c r="A88" s="1"/>
      <c r="B88" s="6" t="s">
        <v>87</v>
      </c>
      <c r="C88" s="26"/>
      <c r="D88" s="26"/>
      <c r="E88" s="26"/>
      <c r="F88" s="26"/>
      <c r="G88" s="26"/>
      <c r="H88" s="26" t="s">
        <v>78</v>
      </c>
      <c r="I88" s="26" t="s">
        <v>78</v>
      </c>
      <c r="J88" s="47" t="s">
        <v>78</v>
      </c>
      <c r="K88" s="1"/>
      <c r="L88" s="1"/>
    </row>
    <row r="89">
      <c r="A89" s="1"/>
      <c r="B89" s="6" t="s">
        <v>88</v>
      </c>
      <c r="C89" s="26"/>
      <c r="D89" s="26"/>
      <c r="E89" s="26"/>
      <c r="F89" s="26"/>
      <c r="G89" s="26"/>
      <c r="H89" s="26" t="s">
        <v>81</v>
      </c>
      <c r="I89" s="26" t="s">
        <v>81</v>
      </c>
      <c r="J89" s="47" t="s">
        <v>81</v>
      </c>
      <c r="K89" s="1"/>
      <c r="L89" s="1"/>
    </row>
    <row r="90" ht="29.25">
      <c r="A90" s="1"/>
      <c r="B90" s="191" t="s">
        <v>340</v>
      </c>
      <c r="C90" s="14">
        <f>C84-'Segment - CIB'!C28</f>
        <v>10</v>
      </c>
      <c r="D90" s="14">
        <f>D84-'Segment - CIB'!D28</f>
        <v>-4</v>
      </c>
      <c r="E90" s="14">
        <f>E84-'Segment - CIB'!E28</f>
        <v>14</v>
      </c>
      <c r="F90" s="14">
        <f>F84-'Segment - CIB'!F28</f>
        <v>22</v>
      </c>
      <c r="G90" s="190">
        <f>G84-'Segment - CIB'!G28</f>
        <v>42</v>
      </c>
      <c r="H90" s="14">
        <f>H84-'Segment - CIB'!H28</f>
        <v>-48</v>
      </c>
      <c r="I90" s="14">
        <f>I84-'Segment - CIB'!I28</f>
        <v>-9</v>
      </c>
      <c r="J90" s="15">
        <f>E90</f>
        <v>14</v>
      </c>
      <c r="K90" s="1"/>
      <c r="L90" s="1"/>
    </row>
    <row r="91">
      <c r="A91" s="1"/>
      <c r="B91" s="1" t="s">
        <v>125</v>
      </c>
      <c r="C91" s="35">
        <v>1044</v>
      </c>
      <c r="D91" s="35">
        <v>1173</v>
      </c>
      <c r="E91" s="35">
        <v>1223</v>
      </c>
      <c r="F91" s="35">
        <v>1149</v>
      </c>
      <c r="G91" s="5">
        <f>SUM(C91:F91)</f>
        <v>4589</v>
      </c>
      <c r="H91" s="35">
        <v>1138</v>
      </c>
      <c r="I91" s="35">
        <v>1222</v>
      </c>
      <c r="J91" s="46">
        <f>'Segment - CBL'!J35+J97</f>
        <v>1236.3992312400965</v>
      </c>
      <c r="K91" s="1" t="s">
        <v>94</v>
      </c>
      <c r="L91" s="1"/>
    </row>
    <row r="92">
      <c r="A92" s="1"/>
      <c r="B92" s="6" t="s">
        <v>84</v>
      </c>
      <c r="C92" s="26"/>
      <c r="D92" s="26"/>
      <c r="E92" s="26"/>
      <c r="F92" s="26"/>
      <c r="G92" s="26"/>
      <c r="H92" s="26">
        <f>IFERROR(IF(OR(C91&lt;=0,H91&lt;0),"n/m",H91/C91-1),"n/m")</f>
        <v>0.0900383141762453</v>
      </c>
      <c r="I92" s="26">
        <f>IFERROR(IF(OR(D91&lt;=0,I91&lt;0),"n/m",I91/D91-1),"n/m")</f>
        <v>0.04177323103154307</v>
      </c>
      <c r="J92" s="47">
        <f>IFERROR(IF(OR(E91&lt;=0,J91&lt;0),"n/m",J91/E91-1),"n/m")</f>
        <v>0.010956035355761617</v>
      </c>
      <c r="K92" s="1"/>
      <c r="L92" s="1"/>
    </row>
    <row r="93">
      <c r="A93" s="1"/>
      <c r="B93" s="6" t="s">
        <v>85</v>
      </c>
      <c r="C93" s="26"/>
      <c r="D93" s="26">
        <f>IFERROR(IF(OR(C91&lt;=0,D91&lt;0),"n/m",D91/C91-1),"n/m")</f>
        <v>0.12356321839080464</v>
      </c>
      <c r="E93" s="26">
        <f>IFERROR(IF(OR(D91&lt;=0,E91&lt;0),"n/m",E91/D91-1),"n/m")</f>
        <v>0.04262574595055413</v>
      </c>
      <c r="F93" s="26">
        <f>IFERROR(IF(OR(E91&lt;=0,F91&lt;0),"n/m",F91/E91-1),"n/m")</f>
        <v>-0.06050695012264917</v>
      </c>
      <c r="G93" s="26"/>
      <c r="H93" s="26">
        <f>IFERROR(IF(OR(F91&lt;=0,H91&lt;0),"n/m",H91/F91-1),"n/m")</f>
        <v>-0.009573542210617902</v>
      </c>
      <c r="I93" s="26">
        <f>IFERROR(IF(OR(H91&lt;=0,I91&lt;0),"n/m",I91/H91-1),"n/m")</f>
        <v>0.07381370826010536</v>
      </c>
      <c r="J93" s="47">
        <f>IFERROR(IF(OR(I91&lt;=0,J91&lt;0),"n/m",J91/I91-1),"n/m")</f>
        <v>0.011783331620373483</v>
      </c>
      <c r="K93" s="1"/>
      <c r="L93" s="1"/>
    </row>
    <row r="94">
      <c r="A94" s="1"/>
      <c r="B94" s="6" t="s">
        <v>86</v>
      </c>
      <c r="C94" s="26"/>
      <c r="D94" s="26"/>
      <c r="E94" s="26"/>
      <c r="F94" s="26"/>
      <c r="G94" s="26"/>
      <c r="H94" s="26" t="s">
        <v>78</v>
      </c>
      <c r="I94" s="26" t="s">
        <v>78</v>
      </c>
      <c r="J94" s="47" t="s">
        <v>78</v>
      </c>
      <c r="K94" s="1"/>
      <c r="L94" s="1"/>
    </row>
    <row r="95">
      <c r="A95" s="1"/>
      <c r="B95" s="6" t="s">
        <v>87</v>
      </c>
      <c r="C95" s="26"/>
      <c r="D95" s="26"/>
      <c r="E95" s="26"/>
      <c r="F95" s="26"/>
      <c r="G95" s="26"/>
      <c r="H95" s="26" t="s">
        <v>78</v>
      </c>
      <c r="I95" s="26" t="s">
        <v>78</v>
      </c>
      <c r="J95" s="47" t="s">
        <v>78</v>
      </c>
      <c r="K95" s="1"/>
      <c r="L95" s="1"/>
    </row>
    <row r="96">
      <c r="A96" s="1"/>
      <c r="B96" s="6" t="s">
        <v>88</v>
      </c>
      <c r="C96" s="26"/>
      <c r="D96" s="26"/>
      <c r="E96" s="26"/>
      <c r="F96" s="26"/>
      <c r="G96" s="26"/>
      <c r="H96" s="26" t="s">
        <v>81</v>
      </c>
      <c r="I96" s="26" t="s">
        <v>81</v>
      </c>
      <c r="J96" s="47" t="s">
        <v>81</v>
      </c>
      <c r="K96" s="1"/>
      <c r="L96" s="1"/>
    </row>
    <row r="97" ht="29.25">
      <c r="A97" s="1"/>
      <c r="B97" s="191" t="s">
        <v>341</v>
      </c>
      <c r="C97" s="14">
        <f>C91-'Segment - CBL'!C35</f>
        <v>66</v>
      </c>
      <c r="D97" s="14">
        <f>D91-'Segment - CBL'!D35</f>
        <v>64</v>
      </c>
      <c r="E97" s="14">
        <f>E91-'Segment - CBL'!E35</f>
        <v>61</v>
      </c>
      <c r="F97" s="14">
        <f>F91-'Segment - CBL'!F35</f>
        <v>61</v>
      </c>
      <c r="G97" s="190">
        <f>G91-'Segment - CBL'!G35</f>
        <v>252</v>
      </c>
      <c r="H97" s="14">
        <f>H91-'Segment - CBL'!H35</f>
        <v>74</v>
      </c>
      <c r="I97" s="14">
        <f>I91-'Segment - CBL'!I35</f>
        <v>74</v>
      </c>
      <c r="J97" s="38">
        <v>70</v>
      </c>
      <c r="K97" s="1"/>
      <c r="L97" s="1"/>
    </row>
    <row r="98">
      <c r="A98" s="1"/>
      <c r="B98" s="1" t="s">
        <v>126</v>
      </c>
      <c r="C98" s="35">
        <v>332</v>
      </c>
      <c r="D98" s="35">
        <v>230</v>
      </c>
      <c r="E98" s="35">
        <v>268</v>
      </c>
      <c r="F98" s="35">
        <v>322</v>
      </c>
      <c r="G98" s="5">
        <f>SUM(C98:F98)</f>
        <v>1152</v>
      </c>
      <c r="H98" s="35">
        <v>201</v>
      </c>
      <c r="I98" s="35">
        <v>256</v>
      </c>
      <c r="J98" s="46">
        <f>'Segment - CBL'!J41+J104</f>
        <v>239.38</v>
      </c>
      <c r="K98" s="1" t="s">
        <v>94</v>
      </c>
      <c r="L98" s="1"/>
    </row>
    <row r="99">
      <c r="A99" s="1"/>
      <c r="B99" s="6" t="s">
        <v>84</v>
      </c>
      <c r="C99" s="26"/>
      <c r="D99" s="26"/>
      <c r="E99" s="26"/>
      <c r="F99" s="26"/>
      <c r="G99" s="26"/>
      <c r="H99" s="26">
        <f>IFERROR(IF(OR(C98&lt;=0,H98&lt;0),"n/m",H98/C98-1),"n/m")</f>
        <v>-0.39457831325301207</v>
      </c>
      <c r="I99" s="26">
        <f>IFERROR(IF(OR(D98&lt;=0,I98&lt;0),"n/m",I98/D98-1),"n/m")</f>
        <v>0.11304347826086958</v>
      </c>
      <c r="J99" s="47">
        <f>IFERROR(IF(OR(E98&lt;=0,J98&lt;0),"n/m",J98/E98-1),"n/m")</f>
        <v>-0.10679104477611945</v>
      </c>
      <c r="K99" s="1"/>
      <c r="L99" s="1"/>
    </row>
    <row r="100">
      <c r="A100" s="1"/>
      <c r="B100" s="6" t="s">
        <v>85</v>
      </c>
      <c r="C100" s="26"/>
      <c r="D100" s="26">
        <f>IFERROR(IF(OR(C98&lt;=0,D98&lt;0),"n/m",D98/C98-1),"n/m")</f>
        <v>-0.30722891566265065</v>
      </c>
      <c r="E100" s="26">
        <f>IFERROR(IF(OR(D98&lt;=0,E98&lt;0),"n/m",E98/D98-1),"n/m")</f>
        <v>0.16521739130434776</v>
      </c>
      <c r="F100" s="26">
        <f>IFERROR(IF(OR(E98&lt;=0,F98&lt;0),"n/m",F98/E98-1),"n/m")</f>
        <v>0.20149253731343286</v>
      </c>
      <c r="G100" s="26"/>
      <c r="H100" s="26">
        <f>IFERROR(IF(OR(F98&lt;=0,H98&lt;0),"n/m",H98/F98-1),"n/m")</f>
        <v>-0.37577639751552794</v>
      </c>
      <c r="I100" s="26">
        <f>IFERROR(IF(OR(H98&lt;=0,I98&lt;0),"n/m",I98/H98-1),"n/m")</f>
        <v>0.2736318407960199</v>
      </c>
      <c r="J100" s="47">
        <f>IFERROR(IF(OR(I98&lt;=0,J98&lt;0),"n/m",J98/I98-1),"n/m")</f>
        <v>-0.06492187500000002</v>
      </c>
      <c r="K100" s="1"/>
      <c r="L100" s="1"/>
    </row>
    <row r="101">
      <c r="A101" s="1"/>
      <c r="B101" s="6" t="s">
        <v>86</v>
      </c>
      <c r="C101" s="26"/>
      <c r="D101" s="26"/>
      <c r="E101" s="26"/>
      <c r="F101" s="26"/>
      <c r="G101" s="26"/>
      <c r="H101" s="26" t="s">
        <v>78</v>
      </c>
      <c r="I101" s="26" t="s">
        <v>78</v>
      </c>
      <c r="J101" s="47" t="s">
        <v>78</v>
      </c>
      <c r="K101" s="1"/>
      <c r="L101" s="1"/>
    </row>
    <row r="102">
      <c r="A102" s="1"/>
      <c r="B102" s="6" t="s">
        <v>87</v>
      </c>
      <c r="C102" s="26"/>
      <c r="D102" s="26"/>
      <c r="E102" s="26"/>
      <c r="F102" s="26"/>
      <c r="G102" s="26"/>
      <c r="H102" s="26" t="s">
        <v>78</v>
      </c>
      <c r="I102" s="26" t="s">
        <v>78</v>
      </c>
      <c r="J102" s="47" t="s">
        <v>78</v>
      </c>
      <c r="K102" s="1"/>
      <c r="L102" s="1"/>
    </row>
    <row r="103">
      <c r="A103" s="1"/>
      <c r="B103" s="6" t="s">
        <v>88</v>
      </c>
      <c r="C103" s="26"/>
      <c r="D103" s="26"/>
      <c r="E103" s="26"/>
      <c r="F103" s="26"/>
      <c r="G103" s="26"/>
      <c r="H103" s="26" t="s">
        <v>81</v>
      </c>
      <c r="I103" s="26" t="s">
        <v>81</v>
      </c>
      <c r="J103" s="47" t="s">
        <v>81</v>
      </c>
      <c r="K103" s="1"/>
      <c r="L103" s="1"/>
    </row>
    <row r="104" ht="29.25">
      <c r="A104" s="1"/>
      <c r="B104" s="191" t="s">
        <v>342</v>
      </c>
      <c r="C104" s="14">
        <f>C98-'Segment - CBL'!C41</f>
        <v>110</v>
      </c>
      <c r="D104" s="14">
        <f>D98-'Segment - CBL'!D41</f>
        <v>61</v>
      </c>
      <c r="E104" s="14">
        <f>E98-'Segment - CBL'!E41</f>
        <v>69</v>
      </c>
      <c r="F104" s="14">
        <f>F98-'Segment - CBL'!F41</f>
        <v>143</v>
      </c>
      <c r="G104" s="190">
        <f>G98-'Segment - CBL'!G41</f>
        <v>383</v>
      </c>
      <c r="H104" s="14">
        <f>H98-'Segment - CBL'!H41</f>
        <v>38</v>
      </c>
      <c r="I104" s="14">
        <f>I98-'Segment - CBL'!I41</f>
        <v>102</v>
      </c>
      <c r="J104" s="38">
        <v>90</v>
      </c>
      <c r="K104" s="1"/>
      <c r="L104" s="1"/>
    </row>
    <row r="105" ht="29.25">
      <c r="A105" s="1"/>
      <c r="B105" s="191" t="s">
        <v>264</v>
      </c>
      <c r="C105" s="35">
        <v>1384</v>
      </c>
      <c r="D105" s="35">
        <v>1376</v>
      </c>
      <c r="E105" s="35">
        <v>1408</v>
      </c>
      <c r="F105" s="35">
        <v>979</v>
      </c>
      <c r="G105" s="5">
        <f>SUM(C105:F105)</f>
        <v>5147</v>
      </c>
      <c r="H105" s="35">
        <v>1351</v>
      </c>
      <c r="I105" s="35">
        <v>1393</v>
      </c>
      <c r="J105" s="46">
        <f>'Segment - CIB'!J34+J111</f>
        <v>1132.9</v>
      </c>
      <c r="K105" s="1" t="s">
        <v>94</v>
      </c>
      <c r="L105" s="1"/>
    </row>
    <row r="106">
      <c r="A106" s="1"/>
      <c r="B106" s="6" t="s">
        <v>84</v>
      </c>
      <c r="C106" s="26"/>
      <c r="D106" s="26"/>
      <c r="E106" s="26"/>
      <c r="F106" s="26"/>
      <c r="G106" s="26"/>
      <c r="H106" s="26">
        <f>IFERROR(IF(OR(C105&lt;=0,H105&lt;0),"n/m",H105/C105-1),"n/m")</f>
        <v>-0.023843930635838118</v>
      </c>
      <c r="I106" s="26">
        <f>IFERROR(IF(OR(D105&lt;=0,I105&lt;0),"n/m",I105/D105-1),"n/m")</f>
        <v>0.012354651162790775</v>
      </c>
      <c r="J106" s="47">
        <f>IFERROR(IF(OR(E105&lt;=0,J105&lt;0),"n/m",J105/E105-1),"n/m")</f>
        <v>-0.19538352272727266</v>
      </c>
      <c r="K106" s="1"/>
      <c r="L106" s="1"/>
    </row>
    <row r="107">
      <c r="A107" s="1"/>
      <c r="B107" s="6" t="s">
        <v>85</v>
      </c>
      <c r="C107" s="26"/>
      <c r="D107" s="26">
        <f>IFERROR(IF(OR(C105&lt;=0,D105&lt;0),"n/m",D105/C105-1),"n/m")</f>
        <v>-0.005780346820809301</v>
      </c>
      <c r="E107" s="26">
        <f>IFERROR(IF(OR(D105&lt;=0,E105&lt;0),"n/m",E105/D105-1),"n/m")</f>
        <v>0.023255813953488413</v>
      </c>
      <c r="F107" s="26">
        <f>IFERROR(IF(OR(E105&lt;=0,F105&lt;0),"n/m",F105/E105-1),"n/m")</f>
        <v>-0.3046875</v>
      </c>
      <c r="G107" s="26"/>
      <c r="H107" s="26">
        <f>IFERROR(IF(OR(F105&lt;=0,H105&lt;0),"n/m",H105/F105-1),"n/m")</f>
        <v>0.3799795709908069</v>
      </c>
      <c r="I107" s="26">
        <f>IFERROR(IF(OR(H105&lt;=0,I105&lt;0),"n/m",I105/H105-1),"n/m")</f>
        <v>0.031088082901554515</v>
      </c>
      <c r="J107" s="47">
        <f>IFERROR(IF(OR(I105&lt;=0,J105&lt;0),"n/m",J105/I105-1),"n/m")</f>
        <v>-0.18671931083991378</v>
      </c>
      <c r="K107" s="1"/>
      <c r="L107" s="1"/>
    </row>
    <row r="108">
      <c r="A108" s="1"/>
      <c r="B108" s="6" t="s">
        <v>86</v>
      </c>
      <c r="C108" s="26"/>
      <c r="D108" s="26"/>
      <c r="E108" s="26"/>
      <c r="F108" s="26"/>
      <c r="G108" s="26"/>
      <c r="H108" s="26" t="s">
        <v>78</v>
      </c>
      <c r="I108" s="26" t="s">
        <v>78</v>
      </c>
      <c r="J108" s="47" t="s">
        <v>78</v>
      </c>
      <c r="K108" s="1"/>
      <c r="L108" s="1"/>
    </row>
    <row r="109">
      <c r="A109" s="1"/>
      <c r="B109" s="6" t="s">
        <v>87</v>
      </c>
      <c r="C109" s="26"/>
      <c r="D109" s="26"/>
      <c r="E109" s="26"/>
      <c r="F109" s="26"/>
      <c r="G109" s="26"/>
      <c r="H109" s="26" t="s">
        <v>78</v>
      </c>
      <c r="I109" s="26" t="s">
        <v>78</v>
      </c>
      <c r="J109" s="47" t="s">
        <v>78</v>
      </c>
      <c r="K109" s="1"/>
      <c r="L109" s="1"/>
    </row>
    <row r="110">
      <c r="A110" s="1"/>
      <c r="B110" s="6" t="s">
        <v>88</v>
      </c>
      <c r="C110" s="26"/>
      <c r="D110" s="26"/>
      <c r="E110" s="26"/>
      <c r="F110" s="26"/>
      <c r="G110" s="26"/>
      <c r="H110" s="26" t="s">
        <v>81</v>
      </c>
      <c r="I110" s="26" t="s">
        <v>81</v>
      </c>
      <c r="J110" s="47" t="s">
        <v>81</v>
      </c>
      <c r="K110" s="1"/>
      <c r="L110" s="1"/>
    </row>
    <row r="111" ht="29.25">
      <c r="A111" s="1"/>
      <c r="B111" s="191" t="s">
        <v>343</v>
      </c>
      <c r="C111" s="14">
        <f>C105-'Segment - CIB'!C34</f>
        <v>26</v>
      </c>
      <c r="D111" s="14">
        <f>D105-'Segment - CIB'!D34</f>
        <v>41</v>
      </c>
      <c r="E111" s="14">
        <f>E105-'Segment - CIB'!E34</f>
        <v>41</v>
      </c>
      <c r="F111" s="14">
        <f>F105-'Segment - CIB'!F34</f>
        <v>52</v>
      </c>
      <c r="G111" s="190">
        <f>G105-'Segment - CIB'!G34</f>
        <v>160</v>
      </c>
      <c r="H111" s="14">
        <f>H105-'Segment - CIB'!H34</f>
        <v>-31</v>
      </c>
      <c r="I111" s="14">
        <f>I105-'Segment - CIB'!I34</f>
        <v>84</v>
      </c>
      <c r="J111" s="38">
        <v>40</v>
      </c>
      <c r="K111" s="1"/>
      <c r="L111" s="1"/>
    </row>
    <row r="112" ht="29.25">
      <c r="A112" s="1"/>
      <c r="B112" s="191" t="s">
        <v>344</v>
      </c>
      <c r="C112" s="35">
        <v>-147</v>
      </c>
      <c r="D112" s="198">
        <v>0</v>
      </c>
      <c r="E112" s="198">
        <v>0</v>
      </c>
      <c r="F112" s="35">
        <v>3</v>
      </c>
      <c r="G112" s="5">
        <f>SUM(C112:F112)</f>
        <v>-144</v>
      </c>
      <c r="H112" s="198">
        <v>0</v>
      </c>
      <c r="I112" s="35">
        <v>1</v>
      </c>
      <c r="J112" s="203">
        <v>0</v>
      </c>
      <c r="K112" s="1" t="s">
        <v>318</v>
      </c>
      <c r="L112" s="1"/>
    </row>
    <row r="113">
      <c r="A113" s="1"/>
      <c r="B113" s="6" t="s">
        <v>84</v>
      </c>
      <c r="C113" s="26"/>
      <c r="D113" s="26"/>
      <c r="E113" s="26"/>
      <c r="F113" s="26"/>
      <c r="G113" s="26"/>
      <c r="H113" s="26" t="str">
        <f>IFERROR(IF(OR(C112&lt;=0,H112&lt;0),"n/m",H112/C112-1),"n/m")</f>
        <v>n/m</v>
      </c>
      <c r="I113" s="26" t="str">
        <f>IFERROR(IF(OR(D112&lt;=0,I112&lt;0),"n/m",I112/D112-1),"n/m")</f>
        <v>n/m</v>
      </c>
      <c r="J113" s="47" t="str">
        <f>IFERROR(IF(OR(E112&lt;=0,J112&lt;0),"n/m",J112/E112-1),"n/m")</f>
        <v>n/m</v>
      </c>
      <c r="K113" s="1"/>
      <c r="L113" s="1"/>
    </row>
    <row r="114">
      <c r="A114" s="1"/>
      <c r="B114" s="6" t="s">
        <v>85</v>
      </c>
      <c r="C114" s="26"/>
      <c r="D114" s="26" t="str">
        <f>IFERROR(IF(OR(C112&lt;=0,D112&lt;0),"n/m",D112/C112-1),"n/m")</f>
        <v>n/m</v>
      </c>
      <c r="E114" s="26" t="str">
        <f>IFERROR(IF(OR(D112&lt;=0,E112&lt;0),"n/m",E112/D112-1),"n/m")</f>
        <v>n/m</v>
      </c>
      <c r="F114" s="26" t="str">
        <f>IFERROR(IF(OR(E112&lt;=0,F112&lt;0),"n/m",F112/E112-1),"n/m")</f>
        <v>n/m</v>
      </c>
      <c r="G114" s="26"/>
      <c r="H114" s="26">
        <f>IFERROR(IF(OR(F112&lt;=0,H112&lt;0),"n/m",H112/F112-1),"n/m")</f>
        <v>-1</v>
      </c>
      <c r="I114" s="26" t="str">
        <f>IFERROR(IF(OR(H112&lt;=0,I112&lt;0),"n/m",I112/H112-1),"n/m")</f>
        <v>n/m</v>
      </c>
      <c r="J114" s="47">
        <f>IFERROR(IF(OR(I112&lt;=0,J112&lt;0),"n/m",J112/I112-1),"n/m")</f>
        <v>-1</v>
      </c>
      <c r="K114" s="1"/>
      <c r="L114" s="1"/>
    </row>
    <row r="115">
      <c r="A115" s="1"/>
      <c r="B115" s="6" t="s">
        <v>86</v>
      </c>
      <c r="C115" s="26"/>
      <c r="D115" s="26"/>
      <c r="E115" s="26"/>
      <c r="F115" s="26"/>
      <c r="G115" s="26"/>
      <c r="H115" s="26" t="s">
        <v>78</v>
      </c>
      <c r="I115" s="26" t="s">
        <v>78</v>
      </c>
      <c r="J115" s="47" t="s">
        <v>78</v>
      </c>
      <c r="K115" s="1"/>
      <c r="L115" s="1"/>
    </row>
    <row r="116">
      <c r="A116" s="1"/>
      <c r="B116" s="6" t="s">
        <v>87</v>
      </c>
      <c r="C116" s="26"/>
      <c r="D116" s="26"/>
      <c r="E116" s="26"/>
      <c r="F116" s="26"/>
      <c r="G116" s="26"/>
      <c r="H116" s="26" t="s">
        <v>78</v>
      </c>
      <c r="I116" s="26" t="s">
        <v>78</v>
      </c>
      <c r="J116" s="47" t="s">
        <v>78</v>
      </c>
      <c r="K116" s="1"/>
      <c r="L116" s="1"/>
    </row>
    <row r="117">
      <c r="A117" s="1"/>
      <c r="B117" s="6" t="s">
        <v>88</v>
      </c>
      <c r="C117" s="26"/>
      <c r="D117" s="26"/>
      <c r="E117" s="26"/>
      <c r="F117" s="26"/>
      <c r="G117" s="26"/>
      <c r="H117" s="26" t="s">
        <v>81</v>
      </c>
      <c r="I117" s="26" t="s">
        <v>81</v>
      </c>
      <c r="J117" s="47" t="s">
        <v>81</v>
      </c>
      <c r="K117" s="1"/>
      <c r="L117" s="1"/>
    </row>
    <row r="118" ht="29.25">
      <c r="A118" s="1"/>
      <c r="B118" s="191" t="s">
        <v>345</v>
      </c>
      <c r="C118" s="35">
        <v>-343</v>
      </c>
      <c r="D118" s="35">
        <v>119</v>
      </c>
      <c r="E118" s="35">
        <v>149</v>
      </c>
      <c r="F118" s="35">
        <v>319</v>
      </c>
      <c r="G118" s="5">
        <f>SUM(C118:F118)</f>
        <v>244</v>
      </c>
      <c r="H118" s="35">
        <v>172</v>
      </c>
      <c r="I118" s="35">
        <v>847</v>
      </c>
      <c r="J118" s="38">
        <v>100</v>
      </c>
      <c r="K118" s="1" t="s">
        <v>318</v>
      </c>
      <c r="L118" s="1"/>
    </row>
    <row r="119">
      <c r="A119" s="1"/>
      <c r="B119" s="6" t="s">
        <v>84</v>
      </c>
      <c r="C119" s="26"/>
      <c r="D119" s="26"/>
      <c r="E119" s="26"/>
      <c r="F119" s="26"/>
      <c r="G119" s="26"/>
      <c r="H119" s="26" t="str">
        <f>IFERROR(IF(OR(C118&lt;=0,H118&lt;0),"n/m",H118/C118-1),"n/m")</f>
        <v>n/m</v>
      </c>
      <c r="I119" s="26">
        <f>IFERROR(IF(OR(D118&lt;=0,I118&lt;0),"n/m",I118/D118-1),"n/m")</f>
        <v>6.117647058823529</v>
      </c>
      <c r="J119" s="47">
        <f>IFERROR(IF(OR(E118&lt;=0,J118&lt;0),"n/m",J118/E118-1),"n/m")</f>
        <v>-0.32885906040268453</v>
      </c>
      <c r="K119" s="1"/>
      <c r="L119" s="1"/>
    </row>
    <row r="120">
      <c r="A120" s="1"/>
      <c r="B120" s="6" t="s">
        <v>85</v>
      </c>
      <c r="C120" s="26"/>
      <c r="D120" s="26" t="str">
        <f>IFERROR(IF(OR(C118&lt;=0,D118&lt;0),"n/m",D118/C118-1),"n/m")</f>
        <v>n/m</v>
      </c>
      <c r="E120" s="26">
        <f>IFERROR(IF(OR(D118&lt;=0,E118&lt;0),"n/m",E118/D118-1),"n/m")</f>
        <v>0.25210084033613445</v>
      </c>
      <c r="F120" s="26">
        <f>IFERROR(IF(OR(E118&lt;=0,F118&lt;0),"n/m",F118/E118-1),"n/m")</f>
        <v>1.1409395973154361</v>
      </c>
      <c r="G120" s="26"/>
      <c r="H120" s="26">
        <f>IFERROR(IF(OR(F118&lt;=0,H118&lt;0),"n/m",H118/F118-1),"n/m")</f>
        <v>-0.46081504702194354</v>
      </c>
      <c r="I120" s="26">
        <f>IFERROR(IF(OR(H118&lt;=0,I118&lt;0),"n/m",I118/H118-1),"n/m")</f>
        <v>3.924418604651163</v>
      </c>
      <c r="J120" s="47">
        <f>IFERROR(IF(OR(I118&lt;=0,J118&lt;0),"n/m",J118/I118-1),"n/m")</f>
        <v>-0.8819362455726092</v>
      </c>
      <c r="K120" s="1"/>
      <c r="L120" s="1"/>
    </row>
    <row r="121">
      <c r="A121" s="1"/>
      <c r="B121" s="6" t="s">
        <v>86</v>
      </c>
      <c r="C121" s="26"/>
      <c r="D121" s="26"/>
      <c r="E121" s="26"/>
      <c r="F121" s="26"/>
      <c r="G121" s="26"/>
      <c r="H121" s="26" t="s">
        <v>78</v>
      </c>
      <c r="I121" s="26" t="s">
        <v>78</v>
      </c>
      <c r="J121" s="47" t="s">
        <v>78</v>
      </c>
      <c r="K121" s="1"/>
      <c r="L121" s="1"/>
    </row>
    <row r="122">
      <c r="A122" s="1"/>
      <c r="B122" s="6" t="s">
        <v>87</v>
      </c>
      <c r="C122" s="26"/>
      <c r="D122" s="26"/>
      <c r="E122" s="26"/>
      <c r="F122" s="26"/>
      <c r="G122" s="26"/>
      <c r="H122" s="26" t="s">
        <v>78</v>
      </c>
      <c r="I122" s="26" t="s">
        <v>78</v>
      </c>
      <c r="J122" s="47" t="s">
        <v>78</v>
      </c>
      <c r="K122" s="1"/>
      <c r="L122" s="1"/>
    </row>
    <row r="123">
      <c r="A123" s="1"/>
      <c r="B123" s="6" t="s">
        <v>88</v>
      </c>
      <c r="C123" s="26"/>
      <c r="D123" s="26"/>
      <c r="E123" s="26"/>
      <c r="F123" s="26"/>
      <c r="G123" s="26"/>
      <c r="H123" s="26" t="s">
        <v>81</v>
      </c>
      <c r="I123" s="26" t="s">
        <v>81</v>
      </c>
      <c r="J123" s="47" t="s">
        <v>81</v>
      </c>
      <c r="K123" s="1"/>
      <c r="L123" s="1"/>
    </row>
    <row r="124">
      <c r="A124" s="1"/>
      <c r="B124" s="1" t="s">
        <v>127</v>
      </c>
      <c r="C124" s="35">
        <v>802</v>
      </c>
      <c r="D124" s="35">
        <v>789</v>
      </c>
      <c r="E124" s="35">
        <v>613</v>
      </c>
      <c r="F124" s="35">
        <v>329</v>
      </c>
      <c r="G124" s="5">
        <f>SUM(C124:F124)</f>
        <v>2533</v>
      </c>
      <c r="H124" s="35">
        <v>489</v>
      </c>
      <c r="I124" s="35">
        <v>377</v>
      </c>
      <c r="J124" s="38">
        <v>400</v>
      </c>
      <c r="K124" s="1" t="s">
        <v>318</v>
      </c>
      <c r="L124" s="1"/>
    </row>
    <row r="125">
      <c r="A125" s="1"/>
      <c r="B125" s="6" t="s">
        <v>84</v>
      </c>
      <c r="C125" s="26"/>
      <c r="D125" s="26"/>
      <c r="E125" s="26"/>
      <c r="F125" s="26"/>
      <c r="G125" s="26"/>
      <c r="H125" s="26">
        <f>IFERROR(IF(OR(C124&lt;=0,H124&lt;0),"n/m",H124/C124-1),"n/m")</f>
        <v>-0.3902743142144638</v>
      </c>
      <c r="I125" s="26">
        <f>IFERROR(IF(OR(D124&lt;=0,I124&lt;0),"n/m",I124/D124-1),"n/m")</f>
        <v>-0.5221799746514575</v>
      </c>
      <c r="J125" s="47">
        <f>IFERROR(IF(OR(E124&lt;=0,J124&lt;0),"n/m",J124/E124-1),"n/m")</f>
        <v>-0.3474714518760196</v>
      </c>
      <c r="K125" s="1"/>
      <c r="L125" s="1"/>
    </row>
    <row r="126">
      <c r="A126" s="1"/>
      <c r="B126" s="6" t="s">
        <v>85</v>
      </c>
      <c r="C126" s="26"/>
      <c r="D126" s="26">
        <f>IFERROR(IF(OR(C124&lt;=0,D124&lt;0),"n/m",D124/C124-1),"n/m")</f>
        <v>-0.016209476309226978</v>
      </c>
      <c r="E126" s="26">
        <f>IFERROR(IF(OR(D124&lt;=0,E124&lt;0),"n/m",E124/D124-1),"n/m")</f>
        <v>-0.22306717363751583</v>
      </c>
      <c r="F126" s="26">
        <f>IFERROR(IF(OR(E124&lt;=0,F124&lt;0),"n/m",F124/E124-1),"n/m")</f>
        <v>-0.4632952691680261</v>
      </c>
      <c r="G126" s="26"/>
      <c r="H126" s="26">
        <f>IFERROR(IF(OR(F124&lt;=0,H124&lt;0),"n/m",H124/F124-1),"n/m")</f>
        <v>0.4863221884498481</v>
      </c>
      <c r="I126" s="26">
        <f>IFERROR(IF(OR(H124&lt;=0,I124&lt;0),"n/m",I124/H124-1),"n/m")</f>
        <v>-0.22903885480572594</v>
      </c>
      <c r="J126" s="47">
        <f>IFERROR(IF(OR(I124&lt;=0,J124&lt;0),"n/m",J124/I124-1),"n/m")</f>
        <v>0.0610079575596818</v>
      </c>
      <c r="K126" s="1"/>
      <c r="L126" s="1"/>
    </row>
    <row r="127">
      <c r="A127" s="1"/>
      <c r="B127" s="6" t="s">
        <v>86</v>
      </c>
      <c r="C127" s="26"/>
      <c r="D127" s="26"/>
      <c r="E127" s="26"/>
      <c r="F127" s="26"/>
      <c r="G127" s="26"/>
      <c r="H127" s="26" t="s">
        <v>78</v>
      </c>
      <c r="I127" s="26" t="s">
        <v>78</v>
      </c>
      <c r="J127" s="47" t="s">
        <v>78</v>
      </c>
      <c r="K127" s="1"/>
      <c r="L127" s="1"/>
    </row>
    <row r="128">
      <c r="A128" s="1"/>
      <c r="B128" s="6" t="s">
        <v>87</v>
      </c>
      <c r="C128" s="26"/>
      <c r="D128" s="26"/>
      <c r="E128" s="26"/>
      <c r="F128" s="26"/>
      <c r="G128" s="26"/>
      <c r="H128" s="26" t="s">
        <v>78</v>
      </c>
      <c r="I128" s="26" t="s">
        <v>78</v>
      </c>
      <c r="J128" s="47" t="s">
        <v>78</v>
      </c>
      <c r="K128" s="1"/>
      <c r="L128" s="1"/>
    </row>
    <row r="129">
      <c r="A129" s="1"/>
      <c r="B129" s="6" t="s">
        <v>88</v>
      </c>
      <c r="C129" s="26"/>
      <c r="D129" s="26"/>
      <c r="E129" s="26"/>
      <c r="F129" s="26"/>
      <c r="G129" s="26"/>
      <c r="H129" s="26" t="s">
        <v>81</v>
      </c>
      <c r="I129" s="26" t="s">
        <v>81</v>
      </c>
      <c r="J129" s="47" t="s">
        <v>81</v>
      </c>
      <c r="K129" s="1"/>
      <c r="L129" s="1"/>
    </row>
    <row r="130">
      <c r="A130" s="1"/>
      <c r="B130" s="9" t="s">
        <v>128</v>
      </c>
      <c r="C130" s="17">
        <f>C56+C63+C70+C77+C84+C91+C98+C105+C112+C118+C124</f>
        <v>8654</v>
      </c>
      <c r="D130" s="17">
        <f>D56+D63+D70+D77+D84+D91+D98+D105+D112+D118+D124</f>
        <v>9114</v>
      </c>
      <c r="E130" s="17">
        <f>E56+E63+E70+E77+E84+E91+E98+E105+E112+E118+E124</f>
        <v>9486</v>
      </c>
      <c r="F130" s="17">
        <f>F56+F63+F70+F77+F84+F91+F98+F105+F112+F118+F124</f>
        <v>8961</v>
      </c>
      <c r="G130" s="17">
        <f>G56+G63+G70+G77+G84+G91+G98+G105+G112+G118+G124</f>
        <v>36215</v>
      </c>
      <c r="H130" s="17">
        <f>H56+H63+H70+H77+H84+H91+H98+H105+H112+H118+H124</f>
        <v>9350</v>
      </c>
      <c r="I130" s="17">
        <f>I56+I63+I70+I77+I84+I91+I98+I105+I112+I118+I124</f>
        <v>10305</v>
      </c>
      <c r="J130" s="42">
        <f>J56+J63+J70+J77+J84+J91+J98+J105+J112+J118+J124</f>
        <v>9537.885999619644</v>
      </c>
      <c r="K130" s="1"/>
      <c r="L130" s="1"/>
    </row>
    <row r="131">
      <c r="A131" s="1"/>
      <c r="B131" s="6" t="s">
        <v>75</v>
      </c>
      <c r="C131" s="26"/>
      <c r="D131" s="26"/>
      <c r="E131" s="26"/>
      <c r="F131" s="26"/>
      <c r="G131" s="26"/>
      <c r="H131" s="26">
        <f>IFERROR(IF(OR(C130&lt;=0,H130&lt;0),"n/m",H130/C130-1),"n/m")</f>
        <v>0.08042523688467762</v>
      </c>
      <c r="I131" s="26">
        <f>IFERROR(IF(OR(D130&lt;=0,I130&lt;0),"n/m",I130/D130-1),"n/m")</f>
        <v>0.1306780776826859</v>
      </c>
      <c r="J131" s="47">
        <f>IFERROR(IF(OR(E130&lt;=0,J130&lt;0),"n/m",J130/E130-1),"n/m")</f>
        <v>0.0054697448471057175</v>
      </c>
      <c r="K131" s="1"/>
      <c r="L131" s="1"/>
    </row>
    <row r="132">
      <c r="A132" s="1"/>
      <c r="B132" s="6" t="s">
        <v>76</v>
      </c>
      <c r="C132" s="26"/>
      <c r="D132" s="26">
        <f>IFERROR(IF(OR(C130&lt;=0,D130&lt;0),"n/m",D130/C130-1),"n/m")</f>
        <v>0.05315461058470072</v>
      </c>
      <c r="E132" s="26">
        <f>IFERROR(IF(OR(D130&lt;=0,E130&lt;0),"n/m",E130/D130-1),"n/m")</f>
        <v>0.04081632653061229</v>
      </c>
      <c r="F132" s="26">
        <f>IFERROR(IF(OR(E130&lt;=0,F130&lt;0),"n/m",F130/E130-1),"n/m")</f>
        <v>-0.05534471853257428</v>
      </c>
      <c r="G132" s="26"/>
      <c r="H132" s="26">
        <f>IFERROR(IF(OR(F130&lt;=0,H130&lt;0),"n/m",H130/F130-1),"n/m")</f>
        <v>0.04341033366811731</v>
      </c>
      <c r="I132" s="26">
        <f>IFERROR(IF(OR(H130&lt;=0,I130&lt;0),"n/m",I130/H130-1),"n/m")</f>
        <v>0.102139037433155</v>
      </c>
      <c r="J132" s="47">
        <f>IFERROR(IF(OR(I130&lt;=0,J130&lt;0),"n/m",J130/I130-1),"n/m")</f>
        <v>-0.07444095103157256</v>
      </c>
      <c r="K132" s="1"/>
      <c r="L132" s="1"/>
    </row>
    <row r="133">
      <c r="A133" s="1"/>
      <c r="B133" s="6" t="s">
        <v>77</v>
      </c>
      <c r="C133" s="26"/>
      <c r="D133" s="26"/>
      <c r="E133" s="26"/>
      <c r="F133" s="26"/>
      <c r="G133" s="26"/>
      <c r="H133" s="26" t="s">
        <v>78</v>
      </c>
      <c r="I133" s="26" t="s">
        <v>78</v>
      </c>
      <c r="J133" s="47" t="s">
        <v>78</v>
      </c>
      <c r="K133" s="1"/>
      <c r="L133" s="1"/>
    </row>
    <row r="134">
      <c r="A134" s="1"/>
      <c r="B134" s="6" t="s">
        <v>79</v>
      </c>
      <c r="C134" s="26"/>
      <c r="D134" s="26"/>
      <c r="E134" s="26"/>
      <c r="F134" s="26"/>
      <c r="G134" s="26"/>
      <c r="H134" s="26" t="s">
        <v>78</v>
      </c>
      <c r="I134" s="26" t="s">
        <v>78</v>
      </c>
      <c r="J134" s="47" t="s">
        <v>78</v>
      </c>
      <c r="K134" s="1"/>
      <c r="L134" s="1"/>
    </row>
    <row r="135">
      <c r="A135" s="1"/>
      <c r="B135" s="6" t="s">
        <v>80</v>
      </c>
      <c r="C135" s="26"/>
      <c r="D135" s="26"/>
      <c r="E135" s="26"/>
      <c r="F135" s="26"/>
      <c r="G135" s="26"/>
      <c r="H135" s="26" t="s">
        <v>81</v>
      </c>
      <c r="I135" s="26" t="s">
        <v>81</v>
      </c>
      <c r="J135" s="47" t="s">
        <v>81</v>
      </c>
      <c r="K135" s="1"/>
      <c r="L135" s="1"/>
    </row>
    <row r="136">
      <c r="A136" s="1"/>
      <c r="B136" s="9" t="s">
        <v>74</v>
      </c>
      <c r="C136" s="17">
        <f>C42+C130</f>
        <v>20149</v>
      </c>
      <c r="D136" s="17">
        <f>D42+D130</f>
        <v>20822</v>
      </c>
      <c r="E136" s="17">
        <f>E42+E130</f>
        <v>21436</v>
      </c>
      <c r="F136" s="17">
        <f>F42+F130</f>
        <v>21292</v>
      </c>
      <c r="G136" s="17">
        <f>G42+G130</f>
        <v>83699</v>
      </c>
      <c r="H136" s="17">
        <f>H42+H130</f>
        <v>21446</v>
      </c>
      <c r="I136" s="17">
        <f>I42+I130</f>
        <v>22622</v>
      </c>
      <c r="J136" s="42">
        <f>J42+J130</f>
        <v>22241.42316144841</v>
      </c>
      <c r="K136" s="1"/>
      <c r="L136" s="1"/>
    </row>
    <row r="137">
      <c r="A137" s="1"/>
      <c r="B137" s="6" t="s">
        <v>75</v>
      </c>
      <c r="C137" s="26"/>
      <c r="D137" s="26"/>
      <c r="E137" s="26"/>
      <c r="F137" s="26"/>
      <c r="G137" s="26"/>
      <c r="H137" s="26">
        <f>IFERROR(IF(OR(C136&lt;=0,H136&lt;0),"n/m",H136/C136-1),"n/m")</f>
        <v>0.06437044022035843</v>
      </c>
      <c r="I137" s="26">
        <f>IFERROR(IF(OR(D136&lt;=0,I136&lt;0),"n/m",I136/D136-1),"n/m")</f>
        <v>0.08644702718278752</v>
      </c>
      <c r="J137" s="47">
        <f>IFERROR(IF(OR(E136&lt;=0,J136&lt;0),"n/m",J136/E136-1),"n/m")</f>
        <v>0.037573388759489124</v>
      </c>
      <c r="K137" s="1"/>
      <c r="L137" s="1"/>
    </row>
    <row r="138">
      <c r="A138" s="1"/>
      <c r="B138" s="6" t="s">
        <v>76</v>
      </c>
      <c r="C138" s="26"/>
      <c r="D138" s="26">
        <f>IFERROR(IF(OR(C136&lt;=0,D136&lt;0),"n/m",D136/C136-1),"n/m")</f>
        <v>0.033401161347957675</v>
      </c>
      <c r="E138" s="26">
        <f>IFERROR(IF(OR(D136&lt;=0,E136&lt;0),"n/m",E136/D136-1),"n/m")</f>
        <v>0.02948804149457307</v>
      </c>
      <c r="F138" s="26">
        <f>IFERROR(IF(OR(E136&lt;=0,F136&lt;0),"n/m",F136/E136-1),"n/m")</f>
        <v>-0.006717671207314813</v>
      </c>
      <c r="G138" s="26"/>
      <c r="H138" s="26">
        <f>IFERROR(IF(OR(F136&lt;=0,H136&lt;0),"n/m",H136/F136-1),"n/m")</f>
        <v>0.007232763479241067</v>
      </c>
      <c r="I138" s="26">
        <f>IFERROR(IF(OR(H136&lt;=0,I136&lt;0),"n/m",I136/H136-1),"n/m")</f>
        <v>0.05483540054089331</v>
      </c>
      <c r="J138" s="47">
        <f>IFERROR(IF(OR(I136&lt;=0,J136&lt;0),"n/m",J136/I136-1),"n/m")</f>
        <v>-0.01682330645175456</v>
      </c>
      <c r="K138" s="1"/>
      <c r="L138" s="1"/>
    </row>
    <row r="139">
      <c r="A139" s="1"/>
      <c r="B139" s="6" t="s">
        <v>77</v>
      </c>
      <c r="C139" s="26"/>
      <c r="D139" s="26"/>
      <c r="E139" s="26"/>
      <c r="F139" s="26"/>
      <c r="G139" s="26"/>
      <c r="H139" s="26" t="s">
        <v>78</v>
      </c>
      <c r="I139" s="26" t="s">
        <v>78</v>
      </c>
      <c r="J139" s="47" t="s">
        <v>78</v>
      </c>
      <c r="K139" s="1"/>
      <c r="L139" s="1"/>
    </row>
    <row r="140">
      <c r="A140" s="1"/>
      <c r="B140" s="6" t="s">
        <v>79</v>
      </c>
      <c r="C140" s="26"/>
      <c r="D140" s="26"/>
      <c r="E140" s="26"/>
      <c r="F140" s="26"/>
      <c r="G140" s="26"/>
      <c r="H140" s="26" t="s">
        <v>78</v>
      </c>
      <c r="I140" s="26" t="s">
        <v>78</v>
      </c>
      <c r="J140" s="47" t="s">
        <v>78</v>
      </c>
      <c r="K140" s="1"/>
      <c r="L140" s="1"/>
    </row>
    <row r="141">
      <c r="A141" s="1"/>
      <c r="B141" s="6" t="s">
        <v>80</v>
      </c>
      <c r="C141" s="26"/>
      <c r="D141" s="26"/>
      <c r="E141" s="26"/>
      <c r="F141" s="26"/>
      <c r="G141" s="26"/>
      <c r="H141" s="26" t="s">
        <v>81</v>
      </c>
      <c r="I141" s="26" t="s">
        <v>81</v>
      </c>
      <c r="J141" s="47" t="s">
        <v>81</v>
      </c>
      <c r="K141" s="1"/>
      <c r="L141" s="1"/>
    </row>
    <row r="142" ht="29.25">
      <c r="A142" s="1"/>
      <c r="B142" s="194" t="s">
        <v>346</v>
      </c>
      <c r="C142" s="195">
        <f>C136-Inputs!J98</f>
        <v>0</v>
      </c>
      <c r="D142" s="195">
        <f>D136-Inputs!J99</f>
        <v>0</v>
      </c>
      <c r="E142" s="195">
        <f>E136-Inputs!J100</f>
        <v>0</v>
      </c>
      <c r="F142" s="195">
        <f>F136-Inputs!J101</f>
        <v>0</v>
      </c>
      <c r="G142" s="197"/>
      <c r="H142" s="195">
        <f>H136-Inputs!J102</f>
        <v>0</v>
      </c>
      <c r="I142" s="195">
        <f>I136-Inputs!J103</f>
        <v>0</v>
      </c>
      <c r="J142" s="40"/>
      <c r="K142" s="1"/>
      <c r="L142" s="1"/>
    </row>
    <row r="143">
      <c r="A143" s="1"/>
      <c r="B143" s="1"/>
      <c r="C143" s="13"/>
      <c r="D143" s="13"/>
      <c r="E143" s="13"/>
      <c r="F143" s="13"/>
      <c r="G143" s="13"/>
      <c r="H143" s="13"/>
      <c r="I143" s="13"/>
      <c r="J143" s="27"/>
      <c r="K143" s="1"/>
      <c r="L143" s="1"/>
    </row>
    <row r="144">
      <c r="A144" s="1"/>
      <c r="B144" s="9" t="s">
        <v>219</v>
      </c>
      <c r="C144" s="25"/>
      <c r="D144" s="25"/>
      <c r="E144" s="25"/>
      <c r="F144" s="25"/>
      <c r="G144" s="25"/>
      <c r="H144" s="25"/>
      <c r="I144" s="25"/>
      <c r="J144" s="37"/>
      <c r="K144" s="1"/>
      <c r="L144" s="1"/>
    </row>
    <row r="145">
      <c r="A145" s="1"/>
      <c r="B145" s="1" t="s">
        <v>234</v>
      </c>
      <c r="C145" s="35">
        <v>908182</v>
      </c>
      <c r="D145" s="35">
        <v>916719</v>
      </c>
      <c r="E145" s="35">
        <v>928677</v>
      </c>
      <c r="F145" s="35">
        <v>955849</v>
      </c>
      <c r="G145" s="35">
        <v>927491</v>
      </c>
      <c r="H145" s="35">
        <v>996025</v>
      </c>
      <c r="I145" s="35">
        <v>1026479</v>
      </c>
      <c r="J145" s="15">
        <f>I145*(1+J146)</f>
        <v>1041876.1849999999</v>
      </c>
      <c r="K145" s="1" t="s">
        <v>318</v>
      </c>
      <c r="L145" s="1"/>
    </row>
    <row r="146" ht="29.25">
      <c r="A146" s="1"/>
      <c r="B146" s="194" t="s">
        <v>347</v>
      </c>
      <c r="C146" s="26"/>
      <c r="D146" s="26">
        <f>D145/C145-1</f>
        <v>0.009400098218198538</v>
      </c>
      <c r="E146" s="26">
        <f>E145/D145-1</f>
        <v>0.013044346195508094</v>
      </c>
      <c r="F146" s="26">
        <f>F145/E145-1</f>
        <v>0.029258827342552918</v>
      </c>
      <c r="G146" s="26"/>
      <c r="H146" s="26">
        <f>H145/F145-1</f>
        <v>0.0420317435076043</v>
      </c>
      <c r="I146" s="26">
        <f>I145/H145-1</f>
        <v>0.030575537762606464</v>
      </c>
      <c r="J146" s="106">
        <v>0.015</v>
      </c>
      <c r="K146" s="1" t="s">
        <v>320</v>
      </c>
      <c r="L146" s="1"/>
    </row>
    <row r="147">
      <c r="A147" s="1"/>
      <c r="B147" s="1" t="s">
        <v>139</v>
      </c>
      <c r="C147" s="5"/>
      <c r="D147" s="5"/>
      <c r="E147" s="5"/>
      <c r="F147" s="5"/>
      <c r="G147" s="5"/>
      <c r="H147" s="5">
        <f>H145-C145</f>
        <v>87843</v>
      </c>
      <c r="I147" s="5">
        <f>I145-D145</f>
        <v>109760</v>
      </c>
      <c r="J147" s="15">
        <f>J145-E145</f>
        <v>113199.18499999994</v>
      </c>
      <c r="K147" s="1"/>
      <c r="L147" s="1"/>
    </row>
    <row r="148">
      <c r="A148" s="1"/>
      <c r="B148" s="1" t="s">
        <v>140</v>
      </c>
      <c r="C148" s="5"/>
      <c r="D148" s="5">
        <f>D145-C145</f>
        <v>8537</v>
      </c>
      <c r="E148" s="5">
        <f>E145-D145</f>
        <v>11958</v>
      </c>
      <c r="F148" s="5">
        <f>F145-E145</f>
        <v>27172</v>
      </c>
      <c r="G148" s="5"/>
      <c r="H148" s="5">
        <f>H145-F145</f>
        <v>40176</v>
      </c>
      <c r="I148" s="5">
        <f>I145-H145</f>
        <v>30454</v>
      </c>
      <c r="J148" s="15">
        <f>J145-I145</f>
        <v>15397.18499999994</v>
      </c>
      <c r="K148" s="1"/>
      <c r="L148" s="1"/>
    </row>
    <row r="149">
      <c r="A149" s="1"/>
      <c r="B149" s="1" t="s">
        <v>216</v>
      </c>
      <c r="C149" s="35">
        <v>1009</v>
      </c>
      <c r="D149" s="35">
        <v>997</v>
      </c>
      <c r="E149" s="35">
        <v>954</v>
      </c>
      <c r="F149" s="35">
        <v>1030</v>
      </c>
      <c r="G149" s="5">
        <f>SUM(C149:F149)</f>
        <v>3990</v>
      </c>
      <c r="H149" s="35">
        <v>1106</v>
      </c>
      <c r="I149" s="35">
        <v>883</v>
      </c>
      <c r="J149" s="15">
        <f>J145*J152*J16/365</f>
        <v>984.7870789726027</v>
      </c>
      <c r="K149" s="1" t="s">
        <v>318</v>
      </c>
      <c r="L149" s="1"/>
    </row>
    <row r="150">
      <c r="A150" s="1"/>
      <c r="B150" s="1" t="s">
        <v>139</v>
      </c>
      <c r="C150" s="5"/>
      <c r="D150" s="5"/>
      <c r="E150" s="5"/>
      <c r="F150" s="5"/>
      <c r="G150" s="5"/>
      <c r="H150" s="5">
        <f>H149-C149</f>
        <v>97</v>
      </c>
      <c r="I150" s="5">
        <f>I149-D149</f>
        <v>-114</v>
      </c>
      <c r="J150" s="15">
        <f>J149-E149</f>
        <v>30.78707897260267</v>
      </c>
      <c r="K150" s="1"/>
      <c r="L150" s="1"/>
    </row>
    <row r="151">
      <c r="A151" s="1"/>
      <c r="B151" s="1" t="s">
        <v>140</v>
      </c>
      <c r="C151" s="5"/>
      <c r="D151" s="5">
        <f>D149-C149</f>
        <v>-12</v>
      </c>
      <c r="E151" s="5">
        <f>E149-D149</f>
        <v>-43</v>
      </c>
      <c r="F151" s="5">
        <f>F149-E149</f>
        <v>76</v>
      </c>
      <c r="G151" s="5"/>
      <c r="H151" s="5">
        <f>H149-F149</f>
        <v>76</v>
      </c>
      <c r="I151" s="5">
        <f>I149-H149</f>
        <v>-223</v>
      </c>
      <c r="J151" s="15">
        <f>J149-I149</f>
        <v>101.78707897260267</v>
      </c>
      <c r="K151" s="1"/>
      <c r="L151" s="1"/>
    </row>
    <row r="152" ht="29.25">
      <c r="A152" s="1"/>
      <c r="B152" s="194" t="s">
        <v>348</v>
      </c>
      <c r="C152" s="200">
        <f>C149/C145*365/C16</f>
        <v>0.0045057659759338495</v>
      </c>
      <c r="D152" s="200">
        <f>D149/D145*365/D16</f>
        <v>0.004362248457767367</v>
      </c>
      <c r="E152" s="200">
        <f>E149/E145*365/E16</f>
        <v>0.0040755734279494665</v>
      </c>
      <c r="F152" s="200">
        <f>F149/F145*365/F16</f>
        <v>0.004275165892811795</v>
      </c>
      <c r="G152" s="200">
        <f>G149/G145*365/G16</f>
        <v>0.004301928536233774</v>
      </c>
      <c r="H152" s="200">
        <f>H149/H145*365/H16</f>
        <v>0.0045033452417805216</v>
      </c>
      <c r="I152" s="200">
        <f>I149/I145*365/I16</f>
        <v>0.003450341698859204</v>
      </c>
      <c r="J152" s="204">
        <v>0.00375</v>
      </c>
      <c r="K152" s="1" t="s">
        <v>49</v>
      </c>
      <c r="L152" s="1"/>
    </row>
    <row r="153">
      <c r="A153" s="1"/>
      <c r="B153" s="1" t="s">
        <v>151</v>
      </c>
      <c r="C153" s="5"/>
      <c r="D153" s="5"/>
      <c r="E153" s="5"/>
      <c r="F153" s="5"/>
      <c r="G153" s="5"/>
      <c r="H153" s="5">
        <f>(H152-C152)*10000</f>
        <v>-0.024207341533279136</v>
      </c>
      <c r="I153" s="5">
        <f>(I152-D152)*10000</f>
        <v>-9.119067589081634</v>
      </c>
      <c r="J153" s="15">
        <f>(J152-E152)*10000</f>
        <v>-3.255734279494667</v>
      </c>
      <c r="K153" s="1"/>
      <c r="L153" s="1"/>
    </row>
    <row r="154">
      <c r="A154" s="1"/>
      <c r="B154" s="1" t="s">
        <v>152</v>
      </c>
      <c r="C154" s="5"/>
      <c r="D154" s="5">
        <f>(D152-C152)*10000</f>
        <v>-1.4351751816648206</v>
      </c>
      <c r="E154" s="5">
        <f>(E152-D152)*10000</f>
        <v>-2.8667502981790087</v>
      </c>
      <c r="F154" s="5">
        <f>(F152-E152)*10000</f>
        <v>1.995924648623285</v>
      </c>
      <c r="G154" s="5"/>
      <c r="H154" s="5">
        <f>(H152-F152)*10000</f>
        <v>2.2817934896872654</v>
      </c>
      <c r="I154" s="5">
        <f>(I152-H152)*10000</f>
        <v>-10.530035429213175</v>
      </c>
      <c r="J154" s="15">
        <f>(J152-I152)*10000</f>
        <v>2.9965830114079584</v>
      </c>
      <c r="K154" s="1"/>
      <c r="L154" s="1"/>
    </row>
    <row r="155" ht="29.25">
      <c r="A155" s="1"/>
      <c r="B155" s="191" t="s">
        <v>349</v>
      </c>
      <c r="C155" s="35">
        <v>-77</v>
      </c>
      <c r="D155" s="35">
        <v>8</v>
      </c>
      <c r="E155" s="35">
        <v>-273</v>
      </c>
      <c r="F155" s="35">
        <v>10</v>
      </c>
      <c r="G155" s="5">
        <f>SUM(C155:F155)</f>
        <v>-332</v>
      </c>
      <c r="H155" s="35">
        <v>29</v>
      </c>
      <c r="I155" s="35">
        <v>31</v>
      </c>
      <c r="J155" s="38">
        <v>130</v>
      </c>
      <c r="K155" s="1" t="s">
        <v>318</v>
      </c>
      <c r="L155" s="1"/>
    </row>
    <row r="156">
      <c r="A156" s="1"/>
      <c r="B156" s="1" t="s">
        <v>139</v>
      </c>
      <c r="C156" s="5"/>
      <c r="D156" s="5"/>
      <c r="E156" s="5"/>
      <c r="F156" s="5"/>
      <c r="G156" s="5"/>
      <c r="H156" s="5">
        <f>H155-C155</f>
        <v>106</v>
      </c>
      <c r="I156" s="5">
        <f>I155-D155</f>
        <v>23</v>
      </c>
      <c r="J156" s="15">
        <f>J155-E155</f>
        <v>403</v>
      </c>
      <c r="K156" s="1"/>
      <c r="L156" s="1"/>
    </row>
    <row r="157">
      <c r="A157" s="1"/>
      <c r="B157" s="1" t="s">
        <v>140</v>
      </c>
      <c r="C157" s="5"/>
      <c r="D157" s="5">
        <f>D155-C155</f>
        <v>85</v>
      </c>
      <c r="E157" s="5">
        <f>E155-D155</f>
        <v>-281</v>
      </c>
      <c r="F157" s="5">
        <f>F155-E155</f>
        <v>283</v>
      </c>
      <c r="G157" s="5"/>
      <c r="H157" s="5">
        <f>H155-F155</f>
        <v>19</v>
      </c>
      <c r="I157" s="5">
        <f>I155-H155</f>
        <v>2</v>
      </c>
      <c r="J157" s="15">
        <f>J155-I155</f>
        <v>99</v>
      </c>
      <c r="K157" s="1"/>
      <c r="L157" s="1"/>
    </row>
    <row r="158">
      <c r="A158" s="1"/>
      <c r="B158" s="9" t="s">
        <v>219</v>
      </c>
      <c r="C158" s="17">
        <f>C149+C155</f>
        <v>932</v>
      </c>
      <c r="D158" s="17">
        <f>D149+D155</f>
        <v>1005</v>
      </c>
      <c r="E158" s="17">
        <f>E149+E155</f>
        <v>681</v>
      </c>
      <c r="F158" s="17">
        <f>F149+F155</f>
        <v>1040</v>
      </c>
      <c r="G158" s="17">
        <f>G149+G155</f>
        <v>3658</v>
      </c>
      <c r="H158" s="17">
        <f>H149+H155</f>
        <v>1135</v>
      </c>
      <c r="I158" s="17">
        <f>I149+I155</f>
        <v>914</v>
      </c>
      <c r="J158" s="42">
        <f>J149+J155</f>
        <v>1114.7870789726026</v>
      </c>
      <c r="K158" s="1"/>
      <c r="L158" s="1"/>
    </row>
    <row r="159">
      <c r="A159" s="1"/>
      <c r="B159" s="1" t="s">
        <v>146</v>
      </c>
      <c r="C159" s="5"/>
      <c r="D159" s="5"/>
      <c r="E159" s="5"/>
      <c r="F159" s="5"/>
      <c r="G159" s="5"/>
      <c r="H159" s="5">
        <f>H158-C158</f>
        <v>203</v>
      </c>
      <c r="I159" s="5">
        <f>I158-D158</f>
        <v>-91</v>
      </c>
      <c r="J159" s="15">
        <f>J158-E158</f>
        <v>433.78707897260256</v>
      </c>
      <c r="K159" s="1"/>
      <c r="L159" s="1"/>
    </row>
    <row r="160">
      <c r="A160" s="1"/>
      <c r="B160" s="1" t="s">
        <v>147</v>
      </c>
      <c r="C160" s="5"/>
      <c r="D160" s="5">
        <f>D158-C158</f>
        <v>73</v>
      </c>
      <c r="E160" s="5">
        <f>E158-D158</f>
        <v>-324</v>
      </c>
      <c r="F160" s="5">
        <f>F158-E158</f>
        <v>359</v>
      </c>
      <c r="G160" s="5"/>
      <c r="H160" s="5">
        <f>H158-F158</f>
        <v>95</v>
      </c>
      <c r="I160" s="5">
        <f>I158-H158</f>
        <v>-221</v>
      </c>
      <c r="J160" s="15">
        <f>J158-I158</f>
        <v>200.78707897260256</v>
      </c>
      <c r="K160" s="1"/>
      <c r="L160" s="1"/>
    </row>
    <row r="161">
      <c r="A161" s="1"/>
      <c r="B161" s="1"/>
      <c r="C161" s="13"/>
      <c r="D161" s="13"/>
      <c r="E161" s="13"/>
      <c r="F161" s="13"/>
      <c r="G161" s="13"/>
      <c r="H161" s="13"/>
      <c r="I161" s="13"/>
      <c r="J161" s="27"/>
      <c r="K161" s="1"/>
      <c r="L161" s="1"/>
    </row>
    <row r="162">
      <c r="A162" s="1"/>
      <c r="B162" s="9" t="s">
        <v>350</v>
      </c>
      <c r="C162" s="25"/>
      <c r="D162" s="25"/>
      <c r="E162" s="25"/>
      <c r="F162" s="25"/>
      <c r="G162" s="25"/>
      <c r="H162" s="25"/>
      <c r="I162" s="25"/>
      <c r="J162" s="37"/>
      <c r="K162" s="1"/>
      <c r="L162" s="1"/>
    </row>
    <row r="163">
      <c r="A163" s="1"/>
      <c r="B163" s="1" t="s">
        <v>351</v>
      </c>
      <c r="C163" s="35">
        <v>9474</v>
      </c>
      <c r="D163" s="35">
        <v>8709</v>
      </c>
      <c r="E163" s="35">
        <v>9021</v>
      </c>
      <c r="F163" s="35">
        <v>9077</v>
      </c>
      <c r="G163" s="5">
        <f>SUM(C163:F163)</f>
        <v>36281</v>
      </c>
      <c r="H163" s="35">
        <v>9593</v>
      </c>
      <c r="I163" s="35">
        <v>8851</v>
      </c>
      <c r="J163" s="15">
        <f>I163+J166*((J70+J77)-(I70+I77))</f>
        <v>8961.083924163253</v>
      </c>
      <c r="K163" s="1" t="s">
        <v>318</v>
      </c>
      <c r="L163" s="1"/>
    </row>
    <row r="164">
      <c r="A164" s="1"/>
      <c r="B164" s="1" t="s">
        <v>139</v>
      </c>
      <c r="C164" s="5"/>
      <c r="D164" s="5"/>
      <c r="E164" s="5"/>
      <c r="F164" s="5"/>
      <c r="G164" s="5"/>
      <c r="H164" s="5">
        <f>H163-C163</f>
        <v>119</v>
      </c>
      <c r="I164" s="5">
        <f>I163-D163</f>
        <v>142</v>
      </c>
      <c r="J164" s="15">
        <f>J163-E163</f>
        <v>-59.91607583674704</v>
      </c>
      <c r="K164" s="1"/>
      <c r="L164" s="1"/>
    </row>
    <row r="165">
      <c r="A165" s="1"/>
      <c r="B165" s="1" t="s">
        <v>140</v>
      </c>
      <c r="C165" s="5"/>
      <c r="D165" s="5">
        <f>D163-C163</f>
        <v>-765</v>
      </c>
      <c r="E165" s="5">
        <f>E163-D163</f>
        <v>312</v>
      </c>
      <c r="F165" s="5">
        <f>F163-E163</f>
        <v>56</v>
      </c>
      <c r="G165" s="5"/>
      <c r="H165" s="5">
        <f>H163-F163</f>
        <v>516</v>
      </c>
      <c r="I165" s="5">
        <f>I163-H163</f>
        <v>-742</v>
      </c>
      <c r="J165" s="15">
        <f>J163-I163</f>
        <v>110.08392416325296</v>
      </c>
      <c r="K165" s="1"/>
      <c r="L165" s="1"/>
    </row>
    <row r="166" ht="42">
      <c r="A166" s="1"/>
      <c r="B166" s="194" t="s">
        <v>352</v>
      </c>
      <c r="C166" s="26"/>
      <c r="D166" s="26"/>
      <c r="E166" s="26"/>
      <c r="F166" s="26"/>
      <c r="G166" s="26"/>
      <c r="H166" s="26"/>
      <c r="I166" s="26"/>
      <c r="J166" s="106">
        <v>0.45</v>
      </c>
      <c r="K166" s="1"/>
      <c r="L166" s="1"/>
    </row>
    <row r="167" ht="29.25">
      <c r="A167" s="1"/>
      <c r="B167" s="191" t="s">
        <v>353</v>
      </c>
      <c r="C167" s="35">
        <v>1223</v>
      </c>
      <c r="D167" s="35">
        <v>1287</v>
      </c>
      <c r="E167" s="35">
        <v>1319</v>
      </c>
      <c r="F167" s="35">
        <v>1374</v>
      </c>
      <c r="G167" s="5">
        <f>SUM(C167:F167)</f>
        <v>5203</v>
      </c>
      <c r="H167" s="35">
        <v>1397</v>
      </c>
      <c r="I167" s="35">
        <v>1457</v>
      </c>
      <c r="J167" s="15">
        <f>I167*(1+J170)</f>
        <v>1478.8549999999998</v>
      </c>
      <c r="K167" s="1" t="s">
        <v>318</v>
      </c>
      <c r="L167" s="1"/>
    </row>
    <row r="168">
      <c r="A168" s="1"/>
      <c r="B168" s="1" t="s">
        <v>139</v>
      </c>
      <c r="C168" s="5"/>
      <c r="D168" s="5"/>
      <c r="E168" s="5"/>
      <c r="F168" s="5"/>
      <c r="G168" s="5"/>
      <c r="H168" s="5">
        <f>H167-C167</f>
        <v>174</v>
      </c>
      <c r="I168" s="5">
        <f>I167-D167</f>
        <v>170</v>
      </c>
      <c r="J168" s="15">
        <f>J167-E167</f>
        <v>159.8549999999998</v>
      </c>
      <c r="K168" s="1"/>
      <c r="L168" s="1"/>
    </row>
    <row r="169">
      <c r="A169" s="1"/>
      <c r="B169" s="1" t="s">
        <v>140</v>
      </c>
      <c r="C169" s="5"/>
      <c r="D169" s="5">
        <f>D167-C167</f>
        <v>64</v>
      </c>
      <c r="E169" s="5">
        <f>E167-D167</f>
        <v>32</v>
      </c>
      <c r="F169" s="5">
        <f>F167-E167</f>
        <v>55</v>
      </c>
      <c r="G169" s="5"/>
      <c r="H169" s="5">
        <f>H167-F167</f>
        <v>23</v>
      </c>
      <c r="I169" s="5">
        <f>I167-H167</f>
        <v>60</v>
      </c>
      <c r="J169" s="15">
        <f>J167-I167</f>
        <v>21.85499999999979</v>
      </c>
      <c r="K169" s="1"/>
      <c r="L169" s="1"/>
    </row>
    <row r="170">
      <c r="A170" s="1"/>
      <c r="B170" s="6" t="s">
        <v>124</v>
      </c>
      <c r="C170" s="26"/>
      <c r="D170" s="26">
        <f>D167/C167-1</f>
        <v>0.05233033524121011</v>
      </c>
      <c r="E170" s="26">
        <f>E167/D167-1</f>
        <v>0.024864024864024836</v>
      </c>
      <c r="F170" s="26">
        <f>F167/E167-1</f>
        <v>0.04169825625473833</v>
      </c>
      <c r="G170" s="26"/>
      <c r="H170" s="26">
        <f>H167/F167-1</f>
        <v>0.016739446870451147</v>
      </c>
      <c r="I170" s="26">
        <f>I167/H167-1</f>
        <v>0.04294917680744459</v>
      </c>
      <c r="J170" s="106">
        <v>0.015</v>
      </c>
      <c r="K170" s="1"/>
      <c r="L170" s="1"/>
    </row>
    <row r="171">
      <c r="A171" s="1"/>
      <c r="B171" s="1" t="s">
        <v>354</v>
      </c>
      <c r="C171" s="35">
        <v>761</v>
      </c>
      <c r="D171" s="35">
        <v>766</v>
      </c>
      <c r="E171" s="35">
        <v>784</v>
      </c>
      <c r="F171" s="35">
        <v>840</v>
      </c>
      <c r="G171" s="5">
        <f>SUM(C171:F171)</f>
        <v>3151</v>
      </c>
      <c r="H171" s="35">
        <v>778</v>
      </c>
      <c r="I171" s="35">
        <v>803</v>
      </c>
      <c r="J171" s="15">
        <f>I171*(1+J174)</f>
        <v>811.03</v>
      </c>
      <c r="K171" s="1" t="s">
        <v>318</v>
      </c>
      <c r="L171" s="1"/>
    </row>
    <row r="172">
      <c r="A172" s="1"/>
      <c r="B172" s="1" t="s">
        <v>139</v>
      </c>
      <c r="C172" s="5"/>
      <c r="D172" s="5"/>
      <c r="E172" s="5"/>
      <c r="F172" s="5"/>
      <c r="G172" s="5"/>
      <c r="H172" s="5">
        <f>H171-C171</f>
        <v>17</v>
      </c>
      <c r="I172" s="5">
        <f>I171-D171</f>
        <v>37</v>
      </c>
      <c r="J172" s="15">
        <f>J171-E171</f>
        <v>27.029999999999973</v>
      </c>
      <c r="K172" s="1"/>
      <c r="L172" s="1"/>
    </row>
    <row r="173">
      <c r="A173" s="1"/>
      <c r="B173" s="1" t="s">
        <v>140</v>
      </c>
      <c r="C173" s="5"/>
      <c r="D173" s="5">
        <f>D171-C171</f>
        <v>5</v>
      </c>
      <c r="E173" s="5">
        <f>E171-D171</f>
        <v>18</v>
      </c>
      <c r="F173" s="5">
        <f>F171-E171</f>
        <v>56</v>
      </c>
      <c r="G173" s="5"/>
      <c r="H173" s="5">
        <f>H171-F171</f>
        <v>-62</v>
      </c>
      <c r="I173" s="5">
        <f>I171-H171</f>
        <v>25</v>
      </c>
      <c r="J173" s="15">
        <f>J171-I171</f>
        <v>8.029999999999973</v>
      </c>
      <c r="K173" s="1"/>
      <c r="L173" s="1"/>
    </row>
    <row r="174">
      <c r="A174" s="1"/>
      <c r="B174" s="6" t="s">
        <v>124</v>
      </c>
      <c r="C174" s="26"/>
      <c r="D174" s="26">
        <f>D171/C171-1</f>
        <v>0.006570302233902758</v>
      </c>
      <c r="E174" s="26">
        <f>E171/D171-1</f>
        <v>0.023498694516971286</v>
      </c>
      <c r="F174" s="26">
        <f>F171/E171-1</f>
        <v>0.0714285714285714</v>
      </c>
      <c r="G174" s="26"/>
      <c r="H174" s="26">
        <f>H171/F171-1</f>
        <v>-0.07380952380952377</v>
      </c>
      <c r="I174" s="26">
        <f>I171/H171-1</f>
        <v>0.03213367609254503</v>
      </c>
      <c r="J174" s="106">
        <v>0.01</v>
      </c>
      <c r="K174" s="1"/>
      <c r="L174" s="1"/>
    </row>
    <row r="175" ht="29.25">
      <c r="A175" s="1"/>
      <c r="B175" s="191" t="s">
        <v>355</v>
      </c>
      <c r="C175" s="35">
        <v>1038</v>
      </c>
      <c r="D175" s="35">
        <v>1089</v>
      </c>
      <c r="E175" s="35">
        <v>1177</v>
      </c>
      <c r="F175" s="35">
        <v>1236</v>
      </c>
      <c r="G175" s="5">
        <f>SUM(C175:F175)</f>
        <v>4540</v>
      </c>
      <c r="H175" s="35">
        <v>1066</v>
      </c>
      <c r="I175" s="35">
        <v>1109</v>
      </c>
      <c r="J175" s="15">
        <f>E175*(1+J178)</f>
        <v>1153.46</v>
      </c>
      <c r="K175" s="1" t="s">
        <v>318</v>
      </c>
      <c r="L175" s="1"/>
    </row>
    <row r="176">
      <c r="A176" s="1"/>
      <c r="B176" s="1" t="s">
        <v>139</v>
      </c>
      <c r="C176" s="5"/>
      <c r="D176" s="5"/>
      <c r="E176" s="5"/>
      <c r="F176" s="5"/>
      <c r="G176" s="5"/>
      <c r="H176" s="5">
        <f>H175-C175</f>
        <v>28</v>
      </c>
      <c r="I176" s="5">
        <f>I175-D175</f>
        <v>20</v>
      </c>
      <c r="J176" s="15">
        <f>J175-E175</f>
        <v>-23.539999999999964</v>
      </c>
      <c r="K176" s="1"/>
      <c r="L176" s="1"/>
    </row>
    <row r="177">
      <c r="A177" s="1"/>
      <c r="B177" s="1" t="s">
        <v>140</v>
      </c>
      <c r="C177" s="5"/>
      <c r="D177" s="5">
        <f>D175-C175</f>
        <v>51</v>
      </c>
      <c r="E177" s="5">
        <f>E175-D175</f>
        <v>88</v>
      </c>
      <c r="F177" s="5">
        <f>F175-E175</f>
        <v>59</v>
      </c>
      <c r="G177" s="5"/>
      <c r="H177" s="5">
        <f>H175-F175</f>
        <v>-170</v>
      </c>
      <c r="I177" s="5">
        <f>I175-H175</f>
        <v>43</v>
      </c>
      <c r="J177" s="15">
        <f>J175-I175</f>
        <v>44.460000000000036</v>
      </c>
      <c r="K177" s="1"/>
      <c r="L177" s="1"/>
    </row>
    <row r="178" ht="29.25">
      <c r="A178" s="1"/>
      <c r="B178" s="194" t="s">
        <v>356</v>
      </c>
      <c r="C178" s="26"/>
      <c r="D178" s="26"/>
      <c r="E178" s="26"/>
      <c r="F178" s="26"/>
      <c r="G178" s="26"/>
      <c r="H178" s="26">
        <f>H175/C175-1</f>
        <v>0.026974951830443183</v>
      </c>
      <c r="I178" s="26">
        <f>I175/D175-1</f>
        <v>0.018365472910927494</v>
      </c>
      <c r="J178" s="106">
        <v>-0.02</v>
      </c>
      <c r="K178" s="1"/>
      <c r="L178" s="1"/>
    </row>
    <row r="179">
      <c r="A179" s="1"/>
      <c r="B179" s="1" t="s">
        <v>357</v>
      </c>
      <c r="C179" s="35">
        <v>181</v>
      </c>
      <c r="D179" s="35">
        <v>266</v>
      </c>
      <c r="E179" s="35">
        <v>295</v>
      </c>
      <c r="F179" s="35">
        <v>352</v>
      </c>
      <c r="G179" s="5">
        <f>SUM(C179:F179)</f>
        <v>1094</v>
      </c>
      <c r="H179" s="35">
        <v>369</v>
      </c>
      <c r="I179" s="35">
        <v>361</v>
      </c>
      <c r="J179" s="15">
        <f>I179*(1+J182)</f>
        <v>368.22</v>
      </c>
      <c r="K179" s="1" t="s">
        <v>318</v>
      </c>
      <c r="L179" s="1"/>
    </row>
    <row r="180">
      <c r="A180" s="1"/>
      <c r="B180" s="1" t="s">
        <v>139</v>
      </c>
      <c r="C180" s="5"/>
      <c r="D180" s="5"/>
      <c r="E180" s="5"/>
      <c r="F180" s="5"/>
      <c r="G180" s="5"/>
      <c r="H180" s="5">
        <f>H179-C179</f>
        <v>188</v>
      </c>
      <c r="I180" s="5">
        <f>I179-D179</f>
        <v>95</v>
      </c>
      <c r="J180" s="15">
        <f>J179-E179</f>
        <v>73.22000000000003</v>
      </c>
      <c r="K180" s="1"/>
      <c r="L180" s="1"/>
    </row>
    <row r="181">
      <c r="A181" s="1"/>
      <c r="B181" s="1" t="s">
        <v>140</v>
      </c>
      <c r="C181" s="5"/>
      <c r="D181" s="5">
        <f>D179-C179</f>
        <v>85</v>
      </c>
      <c r="E181" s="5">
        <f>E179-D179</f>
        <v>29</v>
      </c>
      <c r="F181" s="5">
        <f>F179-E179</f>
        <v>57</v>
      </c>
      <c r="G181" s="5"/>
      <c r="H181" s="5">
        <f>H179-F179</f>
        <v>17</v>
      </c>
      <c r="I181" s="5">
        <f>I179-H179</f>
        <v>-8</v>
      </c>
      <c r="J181" s="15">
        <f>J179-I179</f>
        <v>7.220000000000027</v>
      </c>
      <c r="K181" s="1"/>
      <c r="L181" s="1"/>
    </row>
    <row r="182">
      <c r="A182" s="1"/>
      <c r="B182" s="6" t="s">
        <v>124</v>
      </c>
      <c r="C182" s="26"/>
      <c r="D182" s="26">
        <f>D179/C179-1</f>
        <v>0.4696132596685083</v>
      </c>
      <c r="E182" s="26">
        <f>E179/D179-1</f>
        <v>0.10902255639097747</v>
      </c>
      <c r="F182" s="26">
        <f>F179/E179-1</f>
        <v>0.1932203389830509</v>
      </c>
      <c r="G182" s="26"/>
      <c r="H182" s="26">
        <f>H179/F179-1</f>
        <v>0.048295454545454586</v>
      </c>
      <c r="I182" s="26">
        <f>I179/H179-1</f>
        <v>-0.02168021680216803</v>
      </c>
      <c r="J182" s="106">
        <v>0.02</v>
      </c>
      <c r="K182" s="1"/>
      <c r="L182" s="1"/>
    </row>
    <row r="183">
      <c r="A183" s="1"/>
      <c r="B183" s="1" t="s">
        <v>358</v>
      </c>
      <c r="C183" s="35">
        <v>1214</v>
      </c>
      <c r="D183" s="35">
        <v>1262</v>
      </c>
      <c r="E183" s="35">
        <v>1250</v>
      </c>
      <c r="F183" s="35">
        <v>847</v>
      </c>
      <c r="G183" s="5">
        <f>SUM(C183:F183)</f>
        <v>4573</v>
      </c>
      <c r="H183" s="35">
        <v>1127</v>
      </c>
      <c r="I183" s="35">
        <v>1080</v>
      </c>
      <c r="J183" s="15">
        <f>I183*(1+J186)</f>
        <v>1080</v>
      </c>
      <c r="K183" s="1" t="s">
        <v>318</v>
      </c>
      <c r="L183" s="1"/>
    </row>
    <row r="184">
      <c r="A184" s="1"/>
      <c r="B184" s="1" t="s">
        <v>139</v>
      </c>
      <c r="C184" s="5"/>
      <c r="D184" s="5"/>
      <c r="E184" s="5"/>
      <c r="F184" s="5"/>
      <c r="G184" s="5"/>
      <c r="H184" s="5">
        <f>H183-C183</f>
        <v>-87</v>
      </c>
      <c r="I184" s="5">
        <f>I183-D183</f>
        <v>-182</v>
      </c>
      <c r="J184" s="15">
        <f>J183-E183</f>
        <v>-170</v>
      </c>
      <c r="K184" s="1"/>
      <c r="L184" s="1"/>
    </row>
    <row r="185">
      <c r="A185" s="1"/>
      <c r="B185" s="1" t="s">
        <v>140</v>
      </c>
      <c r="C185" s="5"/>
      <c r="D185" s="5">
        <f>D183-C183</f>
        <v>48</v>
      </c>
      <c r="E185" s="5">
        <f>E183-D183</f>
        <v>-12</v>
      </c>
      <c r="F185" s="5">
        <f>F183-E183</f>
        <v>-403</v>
      </c>
      <c r="G185" s="5"/>
      <c r="H185" s="5">
        <f>H183-F183</f>
        <v>280</v>
      </c>
      <c r="I185" s="5">
        <f>I183-H183</f>
        <v>-47</v>
      </c>
      <c r="J185" s="15">
        <f>J183-I183</f>
        <v>0</v>
      </c>
      <c r="K185" s="1"/>
      <c r="L185" s="1"/>
    </row>
    <row r="186">
      <c r="A186" s="1"/>
      <c r="B186" s="6" t="s">
        <v>124</v>
      </c>
      <c r="C186" s="26"/>
      <c r="D186" s="26">
        <f>D183/C183-1</f>
        <v>0.03953871499176276</v>
      </c>
      <c r="E186" s="26">
        <f>E183/D183-1</f>
        <v>-0.009508716323296307</v>
      </c>
      <c r="F186" s="26">
        <f>F183/E183-1</f>
        <v>-0.3224</v>
      </c>
      <c r="G186" s="26"/>
      <c r="H186" s="26">
        <f>H183/F183-1</f>
        <v>0.3305785123966942</v>
      </c>
      <c r="I186" s="26">
        <f>I183/H183-1</f>
        <v>-0.041703637976929886</v>
      </c>
      <c r="J186" s="202">
        <v>0</v>
      </c>
      <c r="K186" s="1"/>
      <c r="L186" s="1"/>
    </row>
    <row r="187">
      <c r="A187" s="1"/>
      <c r="B187" s="9" t="s">
        <v>359</v>
      </c>
      <c r="C187" s="17">
        <f>C163+C167+C171+C175+C179+C183</f>
        <v>13891</v>
      </c>
      <c r="D187" s="17">
        <f>D163+D167+D171+D175+D179+D183</f>
        <v>13379</v>
      </c>
      <c r="E187" s="17">
        <f>E163+E167+E171+E175+E179+E183</f>
        <v>13846</v>
      </c>
      <c r="F187" s="17">
        <f>F163+F167+F171+F175+F179+F183</f>
        <v>13726</v>
      </c>
      <c r="G187" s="17">
        <f>G163+G167+G171+G175+G179+G183</f>
        <v>54842</v>
      </c>
      <c r="H187" s="17">
        <f>H163+H167+H171+H175+H179+H183</f>
        <v>14330</v>
      </c>
      <c r="I187" s="17">
        <f>I163+I167+I171+I175+I179+I183</f>
        <v>13661</v>
      </c>
      <c r="J187" s="42">
        <f>J163+J167+J171+J175+J179+J183</f>
        <v>13852.648924163253</v>
      </c>
      <c r="K187" s="1"/>
      <c r="L187" s="1"/>
    </row>
    <row r="188">
      <c r="A188" s="1"/>
      <c r="B188" s="1" t="s">
        <v>146</v>
      </c>
      <c r="C188" s="5"/>
      <c r="D188" s="5"/>
      <c r="E188" s="5"/>
      <c r="F188" s="5"/>
      <c r="G188" s="5"/>
      <c r="H188" s="5">
        <f>H187-C187</f>
        <v>439</v>
      </c>
      <c r="I188" s="5">
        <f>I187-D187</f>
        <v>282</v>
      </c>
      <c r="J188" s="15">
        <f>J187-E187</f>
        <v>6.648924163253469</v>
      </c>
      <c r="K188" s="1"/>
      <c r="L188" s="1"/>
    </row>
    <row r="189">
      <c r="A189" s="1"/>
      <c r="B189" s="1" t="s">
        <v>147</v>
      </c>
      <c r="C189" s="5"/>
      <c r="D189" s="5">
        <f>D187-C187</f>
        <v>-512</v>
      </c>
      <c r="E189" s="5">
        <f>E187-D187</f>
        <v>467</v>
      </c>
      <c r="F189" s="5">
        <f>F187-E187</f>
        <v>-120</v>
      </c>
      <c r="G189" s="5"/>
      <c r="H189" s="5">
        <f>H187-F187</f>
        <v>604</v>
      </c>
      <c r="I189" s="5">
        <f>I187-H187</f>
        <v>-669</v>
      </c>
      <c r="J189" s="15">
        <f>J187-I187</f>
        <v>191.64892416325347</v>
      </c>
      <c r="K189" s="1"/>
      <c r="L189" s="1"/>
    </row>
    <row r="190" ht="29.25">
      <c r="A190" s="1"/>
      <c r="B190" s="191" t="s">
        <v>360</v>
      </c>
      <c r="C190" s="198">
        <v>0</v>
      </c>
      <c r="D190" s="198">
        <v>0</v>
      </c>
      <c r="E190" s="198">
        <v>296</v>
      </c>
      <c r="F190" s="198">
        <v>612</v>
      </c>
      <c r="G190" s="206">
        <f>SUM(C190:F190)</f>
        <v>908</v>
      </c>
      <c r="H190" s="198">
        <v>0</v>
      </c>
      <c r="I190" s="198">
        <v>0</v>
      </c>
      <c r="J190" s="203">
        <v>0</v>
      </c>
      <c r="K190" s="1" t="s">
        <v>361</v>
      </c>
      <c r="L190" s="1"/>
    </row>
    <row r="191" ht="29.25">
      <c r="A191" s="1"/>
      <c r="B191" s="191" t="s">
        <v>362</v>
      </c>
      <c r="C191" s="5">
        <f>C187-C190</f>
        <v>13891</v>
      </c>
      <c r="D191" s="5">
        <f>D187-D190</f>
        <v>13379</v>
      </c>
      <c r="E191" s="5">
        <f>E187-E190</f>
        <v>13550</v>
      </c>
      <c r="F191" s="5">
        <f>F187-F190</f>
        <v>13114</v>
      </c>
      <c r="G191" s="5">
        <f>G187-G190</f>
        <v>53934</v>
      </c>
      <c r="H191" s="5">
        <f>H187-H190</f>
        <v>14330</v>
      </c>
      <c r="I191" s="5">
        <f>I187-I190</f>
        <v>13661</v>
      </c>
      <c r="J191" s="15">
        <f>J187-J190</f>
        <v>13852.648924163253</v>
      </c>
      <c r="K191" s="1"/>
      <c r="L191" s="1"/>
    </row>
    <row r="192">
      <c r="A192" s="1"/>
      <c r="B192" s="6" t="s">
        <v>226</v>
      </c>
      <c r="C192" s="26">
        <f>C187/C136</f>
        <v>0.6894138666931361</v>
      </c>
      <c r="D192" s="26">
        <f>D187/D136</f>
        <v>0.642541542599174</v>
      </c>
      <c r="E192" s="26">
        <f>E187/E136</f>
        <v>0.6459227467811158</v>
      </c>
      <c r="F192" s="26">
        <f>F187/F136</f>
        <v>0.6446552695848206</v>
      </c>
      <c r="G192" s="26">
        <f>G187/G136</f>
        <v>0.6552288557808337</v>
      </c>
      <c r="H192" s="26">
        <f>H187/H136</f>
        <v>0.668189872237247</v>
      </c>
      <c r="I192" s="26">
        <f>I187/I136</f>
        <v>0.6038811776147114</v>
      </c>
      <c r="J192" s="47">
        <f>J187/J136</f>
        <v>0.6228310492367405</v>
      </c>
      <c r="K192" s="1"/>
      <c r="L192" s="1"/>
    </row>
    <row r="193">
      <c r="A193" s="1"/>
      <c r="B193" s="1" t="s">
        <v>151</v>
      </c>
      <c r="C193" s="5"/>
      <c r="D193" s="5"/>
      <c r="E193" s="5"/>
      <c r="F193" s="5"/>
      <c r="G193" s="5"/>
      <c r="H193" s="5">
        <f>(H192-C192)*10000</f>
        <v>-212.23994455889073</v>
      </c>
      <c r="I193" s="5">
        <f>(I192-D192)*10000</f>
        <v>-386.6036498446257</v>
      </c>
      <c r="J193" s="15">
        <f>(J192-E192)*10000</f>
        <v>-230.91697544375344</v>
      </c>
      <c r="K193" s="1"/>
      <c r="L193" s="1"/>
    </row>
    <row r="194">
      <c r="A194" s="1"/>
      <c r="B194" s="1" t="s">
        <v>152</v>
      </c>
      <c r="C194" s="5"/>
      <c r="D194" s="5">
        <f>(D192-C192)*10000</f>
        <v>-468.72324093962135</v>
      </c>
      <c r="E194" s="5">
        <f>(E192-D192)*10000</f>
        <v>33.812041819418766</v>
      </c>
      <c r="F194" s="5">
        <f>(F192-E192)*10000</f>
        <v>-12.674771962952747</v>
      </c>
      <c r="G194" s="5"/>
      <c r="H194" s="5">
        <f>(H192-F192)*10000</f>
        <v>235.34602652426463</v>
      </c>
      <c r="I194" s="5">
        <f>(I192-H192)*10000</f>
        <v>-643.0869462253563</v>
      </c>
      <c r="J194" s="15">
        <f>(J192-I192)*10000</f>
        <v>189.49871622029102</v>
      </c>
      <c r="K194" s="1"/>
      <c r="L194" s="1"/>
    </row>
    <row r="195">
      <c r="A195" s="1"/>
      <c r="B195" s="1"/>
      <c r="C195" s="13"/>
      <c r="D195" s="13"/>
      <c r="E195" s="13"/>
      <c r="F195" s="13"/>
      <c r="G195" s="13"/>
      <c r="H195" s="13"/>
      <c r="I195" s="13"/>
      <c r="J195" s="27"/>
      <c r="K195" s="1"/>
      <c r="L195" s="1"/>
    </row>
    <row r="196">
      <c r="A196" s="1"/>
      <c r="B196" s="9" t="s">
        <v>363</v>
      </c>
      <c r="C196" s="25"/>
      <c r="D196" s="25"/>
      <c r="E196" s="25"/>
      <c r="F196" s="25"/>
      <c r="G196" s="25"/>
      <c r="H196" s="25"/>
      <c r="I196" s="25"/>
      <c r="J196" s="37"/>
      <c r="K196" s="1"/>
      <c r="L196" s="1"/>
    </row>
    <row r="197">
      <c r="A197" s="1"/>
      <c r="B197" s="9" t="s">
        <v>221</v>
      </c>
      <c r="C197" s="17">
        <f>C136-C158-C187</f>
        <v>5326</v>
      </c>
      <c r="D197" s="17">
        <f>D136-D158-D187</f>
        <v>6438</v>
      </c>
      <c r="E197" s="17">
        <f>E136-E158-E187</f>
        <v>6909</v>
      </c>
      <c r="F197" s="17">
        <f>F136-F158-F187</f>
        <v>6526</v>
      </c>
      <c r="G197" s="17">
        <f>G136-G158-G187</f>
        <v>25199</v>
      </c>
      <c r="H197" s="17">
        <f>H136-H158-H187</f>
        <v>5981</v>
      </c>
      <c r="I197" s="17">
        <f>I136-I158-I187</f>
        <v>8047</v>
      </c>
      <c r="J197" s="42">
        <f>J136-J158-J187</f>
        <v>7273.987158312551</v>
      </c>
      <c r="K197" s="1"/>
      <c r="L197" s="1"/>
    </row>
    <row r="198">
      <c r="A198" s="1"/>
      <c r="B198" s="6" t="s">
        <v>75</v>
      </c>
      <c r="C198" s="26"/>
      <c r="D198" s="26"/>
      <c r="E198" s="26"/>
      <c r="F198" s="26"/>
      <c r="G198" s="26"/>
      <c r="H198" s="26">
        <f>IFERROR(IF(OR(C197&lt;=0,H197&lt;0),"n/m",H197/C197-1),"n/m")</f>
        <v>0.12298159969958689</v>
      </c>
      <c r="I198" s="26">
        <f>IFERROR(IF(OR(D197&lt;=0,I197&lt;0),"n/m",I197/D197-1),"n/m")</f>
        <v>0.24992233612923265</v>
      </c>
      <c r="J198" s="47">
        <f>IFERROR(IF(OR(E197&lt;=0,J197&lt;0),"n/m",J197/E197-1),"n/m")</f>
        <v>0.052827783805550865</v>
      </c>
      <c r="K198" s="1"/>
      <c r="L198" s="1"/>
    </row>
    <row r="199">
      <c r="A199" s="1"/>
      <c r="B199" s="6" t="s">
        <v>76</v>
      </c>
      <c r="C199" s="26"/>
      <c r="D199" s="26">
        <f>IFERROR(IF(OR(C197&lt;=0,D197&lt;0),"n/m",D197/C197-1),"n/m")</f>
        <v>0.2087870822380773</v>
      </c>
      <c r="E199" s="26">
        <f>IFERROR(IF(OR(D197&lt;=0,E197&lt;0),"n/m",E197/D197-1),"n/m")</f>
        <v>0.0731593662628145</v>
      </c>
      <c r="F199" s="26">
        <f>IFERROR(IF(OR(E197&lt;=0,F197&lt;0),"n/m",F197/E197-1),"n/m")</f>
        <v>-0.05543493993342019</v>
      </c>
      <c r="G199" s="26"/>
      <c r="H199" s="26">
        <f>IFERROR(IF(OR(F197&lt;=0,H197&lt;0),"n/m",H197/F197-1),"n/m")</f>
        <v>-0.08351210542445597</v>
      </c>
      <c r="I199" s="26">
        <f>IFERROR(IF(OR(H197&lt;=0,I197&lt;0),"n/m",I197/H197-1),"n/m")</f>
        <v>0.3454271860892828</v>
      </c>
      <c r="J199" s="47">
        <f>IFERROR(IF(OR(I197&lt;=0,J197&lt;0),"n/m",J197/I197-1),"n/m")</f>
        <v>-0.09606223955355397</v>
      </c>
      <c r="K199" s="1"/>
      <c r="L199" s="1"/>
    </row>
    <row r="200">
      <c r="A200" s="1"/>
      <c r="B200" s="6" t="s">
        <v>227</v>
      </c>
      <c r="C200" s="26">
        <f>C197/C136</f>
        <v>0.2643307360166758</v>
      </c>
      <c r="D200" s="26">
        <f>D197/D136</f>
        <v>0.30919220055710306</v>
      </c>
      <c r="E200" s="26">
        <f>E197/E136</f>
        <v>0.32230826646762456</v>
      </c>
      <c r="F200" s="26">
        <f>F197/F136</f>
        <v>0.30650009393199323</v>
      </c>
      <c r="G200" s="26">
        <f>G197/G136</f>
        <v>0.30106691836222654</v>
      </c>
      <c r="H200" s="26">
        <f>H197/H136</f>
        <v>0.2788865056420778</v>
      </c>
      <c r="I200" s="26">
        <f>I197/I136</f>
        <v>0.3557156750066307</v>
      </c>
      <c r="J200" s="47">
        <f>J197/J136</f>
        <v>0.32704683983175714</v>
      </c>
      <c r="K200" s="1"/>
      <c r="L200" s="1"/>
    </row>
    <row r="201">
      <c r="A201" s="1"/>
      <c r="B201" s="1" t="s">
        <v>151</v>
      </c>
      <c r="C201" s="5"/>
      <c r="D201" s="5"/>
      <c r="E201" s="5"/>
      <c r="F201" s="5"/>
      <c r="G201" s="5"/>
      <c r="H201" s="5">
        <f>(H200-C200)*10000</f>
        <v>145.55769625402004</v>
      </c>
      <c r="I201" s="5">
        <f>(I200-D200)*10000</f>
        <v>465.23474449527646</v>
      </c>
      <c r="J201" s="15">
        <f>(J200-E200)*10000</f>
        <v>47.385733641325814</v>
      </c>
      <c r="K201" s="1"/>
      <c r="L201" s="1"/>
    </row>
    <row r="202">
      <c r="A202" s="1"/>
      <c r="B202" s="1" t="s">
        <v>152</v>
      </c>
      <c r="C202" s="5"/>
      <c r="D202" s="5">
        <f>(D200-C200)*10000</f>
        <v>448.6146454042728</v>
      </c>
      <c r="E202" s="5">
        <f>(E200-D200)*10000</f>
        <v>131.16065910521502</v>
      </c>
      <c r="F202" s="5">
        <f>(F200-E200)*10000</f>
        <v>-158.08172535631326</v>
      </c>
      <c r="G202" s="5"/>
      <c r="H202" s="5">
        <f>(H200-F200)*10000</f>
        <v>-276.13588289915447</v>
      </c>
      <c r="I202" s="5">
        <f>(I200-H200)*10000</f>
        <v>768.2916936455292</v>
      </c>
      <c r="J202" s="15">
        <f>(J200-I200)*10000</f>
        <v>-286.6883517487356</v>
      </c>
      <c r="K202" s="1"/>
      <c r="L202" s="1"/>
    </row>
    <row r="203" ht="29.25">
      <c r="A203" s="1"/>
      <c r="B203" s="191" t="s">
        <v>364</v>
      </c>
      <c r="C203" s="198">
        <v>313</v>
      </c>
      <c r="D203" s="198">
        <v>0</v>
      </c>
      <c r="E203" s="198">
        <v>0</v>
      </c>
      <c r="F203" s="198">
        <v>0</v>
      </c>
      <c r="G203" s="206">
        <f>SUM(C203:F203)</f>
        <v>313</v>
      </c>
      <c r="H203" s="198">
        <v>135</v>
      </c>
      <c r="I203" s="198">
        <v>132</v>
      </c>
      <c r="J203" s="203">
        <v>0</v>
      </c>
      <c r="K203" s="1" t="s">
        <v>365</v>
      </c>
      <c r="L203" s="1"/>
    </row>
    <row r="204">
      <c r="A204" s="1"/>
      <c r="B204" s="1" t="s">
        <v>139</v>
      </c>
      <c r="C204" s="5"/>
      <c r="D204" s="5"/>
      <c r="E204" s="5"/>
      <c r="F204" s="5"/>
      <c r="G204" s="5"/>
      <c r="H204" s="5">
        <f>H203-C203</f>
        <v>-178</v>
      </c>
      <c r="I204" s="5">
        <f>I203-D203</f>
        <v>132</v>
      </c>
      <c r="J204" s="15">
        <f>J203-E203</f>
        <v>0</v>
      </c>
      <c r="K204" s="1"/>
      <c r="L204" s="1"/>
    </row>
    <row r="205">
      <c r="A205" s="1"/>
      <c r="B205" s="1" t="s">
        <v>140</v>
      </c>
      <c r="C205" s="5"/>
      <c r="D205" s="5">
        <f>D203-C203</f>
        <v>-313</v>
      </c>
      <c r="E205" s="5">
        <f>E203-D203</f>
        <v>0</v>
      </c>
      <c r="F205" s="5">
        <f>F203-E203</f>
        <v>0</v>
      </c>
      <c r="G205" s="5"/>
      <c r="H205" s="5">
        <f>H203-F203</f>
        <v>135</v>
      </c>
      <c r="I205" s="5">
        <f>I203-H203</f>
        <v>-3</v>
      </c>
      <c r="J205" s="15">
        <f>J203-I203</f>
        <v>-132</v>
      </c>
      <c r="K205" s="1"/>
      <c r="L205" s="1"/>
    </row>
    <row r="206" ht="29.25">
      <c r="A206" s="1"/>
      <c r="B206" s="194" t="s">
        <v>366</v>
      </c>
      <c r="C206" s="26">
        <f>(C209+C203)/C197</f>
        <v>0.15677806984603831</v>
      </c>
      <c r="D206" s="26">
        <f>(D209+D203)/D197</f>
        <v>0.14228021124572848</v>
      </c>
      <c r="E206" s="26">
        <f>(E209+E203)/E197</f>
        <v>0.1881603705311912</v>
      </c>
      <c r="F206" s="26">
        <f>(F209+F203)/F197</f>
        <v>0.16901624272142202</v>
      </c>
      <c r="G206" s="26">
        <f>(G209+G203)/G197</f>
        <v>0.16484781142108815</v>
      </c>
      <c r="H206" s="26">
        <f>(H209+H203)/H197</f>
        <v>0.1381039959872931</v>
      </c>
      <c r="I206" s="26">
        <f>(I209+I203)/I197</f>
        <v>0.19063004846526657</v>
      </c>
      <c r="J206" s="106">
        <v>0.19</v>
      </c>
      <c r="K206" s="1"/>
      <c r="L206" s="1"/>
    </row>
    <row r="207">
      <c r="A207" s="1"/>
      <c r="B207" s="1" t="s">
        <v>151</v>
      </c>
      <c r="C207" s="5"/>
      <c r="D207" s="5"/>
      <c r="E207" s="5"/>
      <c r="F207" s="5"/>
      <c r="G207" s="5"/>
      <c r="H207" s="5">
        <f>(H206-C206)*10000</f>
        <v>-186.74073858745228</v>
      </c>
      <c r="I207" s="5">
        <f>(I206-D206)*10000</f>
        <v>483.4983721953809</v>
      </c>
      <c r="J207" s="15">
        <f>(J206-E206)*10000</f>
        <v>18.396294688088066</v>
      </c>
      <c r="K207" s="1"/>
      <c r="L207" s="1"/>
    </row>
    <row r="208">
      <c r="A208" s="1"/>
      <c r="B208" s="1" t="s">
        <v>152</v>
      </c>
      <c r="C208" s="5"/>
      <c r="D208" s="5">
        <f>(D206-C206)*10000</f>
        <v>-144.97858600309831</v>
      </c>
      <c r="E208" s="5">
        <f>(E206-D206)*10000</f>
        <v>458.80159285462713</v>
      </c>
      <c r="F208" s="5">
        <f>(F206-E206)*10000</f>
        <v>-191.4412780976918</v>
      </c>
      <c r="G208" s="5"/>
      <c r="H208" s="5">
        <f>(H206-F206)*10000</f>
        <v>-309.1224673412893</v>
      </c>
      <c r="I208" s="5">
        <f>(I206-H206)*10000</f>
        <v>525.2605247797349</v>
      </c>
      <c r="J208" s="15">
        <f>(J206-I206)*10000</f>
        <v>-6.300484652665695</v>
      </c>
      <c r="K208" s="1"/>
      <c r="L208" s="1"/>
    </row>
    <row r="209">
      <c r="A209" s="1"/>
      <c r="B209" s="1" t="s">
        <v>222</v>
      </c>
      <c r="C209" s="35">
        <v>522</v>
      </c>
      <c r="D209" s="35">
        <v>916</v>
      </c>
      <c r="E209" s="35">
        <v>1300</v>
      </c>
      <c r="F209" s="35">
        <v>1103</v>
      </c>
      <c r="G209" s="5">
        <f>SUM(C209:F209)</f>
        <v>3841</v>
      </c>
      <c r="H209" s="35">
        <v>691</v>
      </c>
      <c r="I209" s="35">
        <v>1402</v>
      </c>
      <c r="J209" s="15">
        <f>J197*J206-J203</f>
        <v>1382.0575600793848</v>
      </c>
      <c r="K209" s="1" t="s">
        <v>318</v>
      </c>
      <c r="L209" s="1"/>
    </row>
    <row r="210">
      <c r="A210" s="1"/>
      <c r="B210" s="6" t="s">
        <v>367</v>
      </c>
      <c r="C210" s="26">
        <f>C209/C197</f>
        <v>0.09800976342470898</v>
      </c>
      <c r="D210" s="26">
        <f>D209/D197</f>
        <v>0.14228021124572848</v>
      </c>
      <c r="E210" s="26">
        <f>E209/E197</f>
        <v>0.1881603705311912</v>
      </c>
      <c r="F210" s="26">
        <f>F209/F197</f>
        <v>0.16901624272142202</v>
      </c>
      <c r="G210" s="26">
        <f>G209/G197</f>
        <v>0.1524266835985555</v>
      </c>
      <c r="H210" s="26">
        <f>H209/H197</f>
        <v>0.11553251964554423</v>
      </c>
      <c r="I210" s="26">
        <f>I209/I197</f>
        <v>0.17422641978377035</v>
      </c>
      <c r="J210" s="47">
        <f>J209/J197</f>
        <v>0.19</v>
      </c>
      <c r="K210" s="1"/>
      <c r="L210" s="1"/>
    </row>
    <row r="211">
      <c r="A211" s="1"/>
      <c r="B211" s="1" t="s">
        <v>151</v>
      </c>
      <c r="C211" s="5"/>
      <c r="D211" s="5"/>
      <c r="E211" s="5"/>
      <c r="F211" s="5"/>
      <c r="G211" s="5"/>
      <c r="H211" s="5">
        <f>(H210-C210)*10000</f>
        <v>175.22756220835254</v>
      </c>
      <c r="I211" s="5">
        <f>(I210-D210)*10000</f>
        <v>319.46208538041867</v>
      </c>
      <c r="J211" s="15">
        <f>(J210-E210)*10000</f>
        <v>18.396294688088066</v>
      </c>
      <c r="K211" s="1"/>
      <c r="L211" s="1"/>
    </row>
    <row r="212">
      <c r="A212" s="1"/>
      <c r="B212" s="1" t="s">
        <v>152</v>
      </c>
      <c r="C212" s="5"/>
      <c r="D212" s="5">
        <f>(D210-C210)*10000</f>
        <v>442.7044782101951</v>
      </c>
      <c r="E212" s="5">
        <f>(E210-D210)*10000</f>
        <v>458.80159285462713</v>
      </c>
      <c r="F212" s="5">
        <f>(F210-E210)*10000</f>
        <v>-191.4412780976918</v>
      </c>
      <c r="G212" s="5"/>
      <c r="H212" s="5">
        <f>(H210-F210)*10000</f>
        <v>-534.8372307587779</v>
      </c>
      <c r="I212" s="5">
        <f>(I210-H210)*10000</f>
        <v>586.9390013822612</v>
      </c>
      <c r="J212" s="15">
        <f>(J210-I210)*10000</f>
        <v>157.73580216229655</v>
      </c>
      <c r="K212" s="1"/>
      <c r="L212" s="1"/>
    </row>
    <row r="213" ht="29.25">
      <c r="A213" s="1"/>
      <c r="B213" s="193" t="s">
        <v>368</v>
      </c>
      <c r="C213" s="17">
        <f>C197-C209</f>
        <v>4804</v>
      </c>
      <c r="D213" s="17">
        <f>D197-D209</f>
        <v>5522</v>
      </c>
      <c r="E213" s="17">
        <f>E197-E209</f>
        <v>5609</v>
      </c>
      <c r="F213" s="17">
        <f>F197-F209</f>
        <v>5423</v>
      </c>
      <c r="G213" s="17">
        <f>G197-G209</f>
        <v>21358</v>
      </c>
      <c r="H213" s="17">
        <f>H197-H209</f>
        <v>5290</v>
      </c>
      <c r="I213" s="17">
        <f>I197-I209</f>
        <v>6645</v>
      </c>
      <c r="J213" s="42">
        <f>J197-J209</f>
        <v>5891.929598233167</v>
      </c>
      <c r="K213" s="1"/>
      <c r="L213" s="1"/>
    </row>
    <row r="214" ht="29.25">
      <c r="A214" s="1"/>
      <c r="B214" s="191" t="s">
        <v>369</v>
      </c>
      <c r="C214" s="35">
        <v>-90</v>
      </c>
      <c r="D214" s="35">
        <v>28</v>
      </c>
      <c r="E214" s="35">
        <v>20</v>
      </c>
      <c r="F214" s="35">
        <v>62</v>
      </c>
      <c r="G214" s="5">
        <f>SUM(C214:F214)</f>
        <v>20</v>
      </c>
      <c r="H214" s="35">
        <v>37</v>
      </c>
      <c r="I214" s="35">
        <v>238</v>
      </c>
      <c r="J214" s="38">
        <v>30</v>
      </c>
      <c r="K214" s="1" t="s">
        <v>318</v>
      </c>
      <c r="L214" s="1"/>
    </row>
    <row r="215">
      <c r="A215" s="1"/>
      <c r="B215" s="1" t="s">
        <v>139</v>
      </c>
      <c r="C215" s="5"/>
      <c r="D215" s="5"/>
      <c r="E215" s="5"/>
      <c r="F215" s="5"/>
      <c r="G215" s="5"/>
      <c r="H215" s="5">
        <f>H214-C214</f>
        <v>127</v>
      </c>
      <c r="I215" s="5">
        <f>I214-D214</f>
        <v>210</v>
      </c>
      <c r="J215" s="15">
        <f>J214-E214</f>
        <v>10</v>
      </c>
      <c r="K215" s="1"/>
      <c r="L215" s="1"/>
    </row>
    <row r="216">
      <c r="A216" s="1"/>
      <c r="B216" s="1" t="s">
        <v>140</v>
      </c>
      <c r="C216" s="5"/>
      <c r="D216" s="5">
        <f>D214-C214</f>
        <v>118</v>
      </c>
      <c r="E216" s="5">
        <f>E214-D214</f>
        <v>-8</v>
      </c>
      <c r="F216" s="5">
        <f>F214-E214</f>
        <v>42</v>
      </c>
      <c r="G216" s="5"/>
      <c r="H216" s="5">
        <f>H214-F214</f>
        <v>-25</v>
      </c>
      <c r="I216" s="5">
        <f>I214-H214</f>
        <v>201</v>
      </c>
      <c r="J216" s="15">
        <f>J214-I214</f>
        <v>-208</v>
      </c>
      <c r="K216" s="1"/>
      <c r="L216" s="1"/>
    </row>
    <row r="217">
      <c r="A217" s="1"/>
      <c r="B217" s="9" t="s">
        <v>370</v>
      </c>
      <c r="C217" s="17">
        <f>C213-C214</f>
        <v>4894</v>
      </c>
      <c r="D217" s="17">
        <f>D213-D214</f>
        <v>5494</v>
      </c>
      <c r="E217" s="17">
        <f>E213-E214</f>
        <v>5589</v>
      </c>
      <c r="F217" s="17">
        <f>F213-F214</f>
        <v>5361</v>
      </c>
      <c r="G217" s="17">
        <f>G213-G214</f>
        <v>21338</v>
      </c>
      <c r="H217" s="17">
        <f>H213-H214</f>
        <v>5253</v>
      </c>
      <c r="I217" s="17">
        <f>I213-I214</f>
        <v>6407</v>
      </c>
      <c r="J217" s="42">
        <f>J213-J214</f>
        <v>5861.929598233167</v>
      </c>
      <c r="K217" s="1"/>
      <c r="L217" s="1"/>
    </row>
    <row r="218">
      <c r="A218" s="1"/>
      <c r="B218" s="6" t="s">
        <v>75</v>
      </c>
      <c r="C218" s="26"/>
      <c r="D218" s="26"/>
      <c r="E218" s="26"/>
      <c r="F218" s="26"/>
      <c r="G218" s="26"/>
      <c r="H218" s="26">
        <f>IFERROR(IF(OR(C217&lt;=0,H217&lt;0),"n/m",H217/C217-1),"n/m")</f>
        <v>0.07335512872905592</v>
      </c>
      <c r="I218" s="26">
        <f>IFERROR(IF(OR(D217&lt;=0,I217&lt;0),"n/m",I217/D217-1),"n/m")</f>
        <v>0.16618128867855853</v>
      </c>
      <c r="J218" s="47">
        <f>IFERROR(IF(OR(E217&lt;=0,J217&lt;0),"n/m",J217/E217-1),"n/m")</f>
        <v>0.04883335090949492</v>
      </c>
      <c r="K218" s="1"/>
      <c r="L218" s="1"/>
    </row>
    <row r="219">
      <c r="A219" s="1"/>
      <c r="B219" s="6" t="s">
        <v>76</v>
      </c>
      <c r="C219" s="26"/>
      <c r="D219" s="26">
        <f>IFERROR(IF(OR(C217&lt;=0,D217&lt;0),"n/m",D217/C217-1),"n/m")</f>
        <v>0.12259910093992654</v>
      </c>
      <c r="E219" s="26">
        <f>IFERROR(IF(OR(D217&lt;=0,E217&lt;0),"n/m",E217/D217-1),"n/m")</f>
        <v>0.017291590826356007</v>
      </c>
      <c r="F219" s="26">
        <f>IFERROR(IF(OR(E217&lt;=0,F217&lt;0),"n/m",F217/E217-1),"n/m")</f>
        <v>-0.04079441760601177</v>
      </c>
      <c r="G219" s="26"/>
      <c r="H219" s="26">
        <f>IFERROR(IF(OR(F217&lt;=0,H217&lt;0),"n/m",H217/F217-1),"n/m")</f>
        <v>-0.020145495243424683</v>
      </c>
      <c r="I219" s="26">
        <f>IFERROR(IF(OR(H217&lt;=0,I217&lt;0),"n/m",I217/H217-1),"n/m")</f>
        <v>0.21968399010089468</v>
      </c>
      <c r="J219" s="47">
        <f>IFERROR(IF(OR(I217&lt;=0,J217&lt;0),"n/m",J217/I217-1),"n/m")</f>
        <v>-0.0850742003694136</v>
      </c>
      <c r="K219" s="1"/>
      <c r="L219" s="1"/>
    </row>
    <row r="220" ht="29.25">
      <c r="A220" s="1"/>
      <c r="B220" s="191" t="s">
        <v>371</v>
      </c>
      <c r="C220" s="35">
        <v>4894</v>
      </c>
      <c r="D220" s="35">
        <v>5494</v>
      </c>
      <c r="E220" s="35">
        <v>5589</v>
      </c>
      <c r="F220" s="35">
        <v>5361</v>
      </c>
      <c r="G220" s="5">
        <f>SUM(C220:F220)</f>
        <v>21338</v>
      </c>
      <c r="H220" s="35">
        <v>5253</v>
      </c>
      <c r="I220" s="35">
        <v>6407</v>
      </c>
      <c r="J220" s="15"/>
      <c r="K220" s="1" t="s">
        <v>318</v>
      </c>
      <c r="L220" s="1"/>
    </row>
    <row r="221" ht="29.25">
      <c r="A221" s="1"/>
      <c r="B221" s="194" t="s">
        <v>225</v>
      </c>
      <c r="C221" s="197">
        <f>C217-C220</f>
        <v>0</v>
      </c>
      <c r="D221" s="197">
        <f>D217-D220</f>
        <v>0</v>
      </c>
      <c r="E221" s="197">
        <f>E217-E220</f>
        <v>0</v>
      </c>
      <c r="F221" s="197">
        <f>F217-F220</f>
        <v>0</v>
      </c>
      <c r="G221" s="197">
        <f>G217-G220</f>
        <v>0</v>
      </c>
      <c r="H221" s="197">
        <f>H217-H220</f>
        <v>0</v>
      </c>
      <c r="I221" s="197">
        <f>I217-I220</f>
        <v>0</v>
      </c>
      <c r="J221" s="40"/>
      <c r="K221" s="1"/>
      <c r="L221" s="1"/>
    </row>
    <row r="222" ht="29.25">
      <c r="A222" s="1"/>
      <c r="B222" s="191" t="s">
        <v>372</v>
      </c>
      <c r="C222" s="35">
        <v>278</v>
      </c>
      <c r="D222" s="35">
        <v>280</v>
      </c>
      <c r="E222" s="35">
        <v>248</v>
      </c>
      <c r="F222" s="35">
        <v>247</v>
      </c>
      <c r="G222" s="5">
        <f>SUM(C222:F222)</f>
        <v>1053</v>
      </c>
      <c r="H222" s="35">
        <v>253</v>
      </c>
      <c r="I222" s="35">
        <v>247</v>
      </c>
      <c r="J222" s="38">
        <v>247</v>
      </c>
      <c r="K222" s="1" t="s">
        <v>318</v>
      </c>
      <c r="L222" s="1"/>
    </row>
    <row r="223">
      <c r="A223" s="1"/>
      <c r="B223" s="1" t="s">
        <v>139</v>
      </c>
      <c r="C223" s="5"/>
      <c r="D223" s="5"/>
      <c r="E223" s="5"/>
      <c r="F223" s="5"/>
      <c r="G223" s="5"/>
      <c r="H223" s="5">
        <f>H222-C222</f>
        <v>-25</v>
      </c>
      <c r="I223" s="5">
        <f>I222-D222</f>
        <v>-33</v>
      </c>
      <c r="J223" s="15">
        <f>J222-E222</f>
        <v>-1</v>
      </c>
      <c r="K223" s="1"/>
      <c r="L223" s="1"/>
    </row>
    <row r="224">
      <c r="A224" s="1"/>
      <c r="B224" s="1" t="s">
        <v>140</v>
      </c>
      <c r="C224" s="5"/>
      <c r="D224" s="5">
        <f>D222-C222</f>
        <v>2</v>
      </c>
      <c r="E224" s="5">
        <f>E222-D222</f>
        <v>-32</v>
      </c>
      <c r="F224" s="5">
        <f>F222-E222</f>
        <v>-1</v>
      </c>
      <c r="G224" s="5"/>
      <c r="H224" s="5">
        <f>H222-F222</f>
        <v>6</v>
      </c>
      <c r="I224" s="5">
        <f>I222-H222</f>
        <v>-6</v>
      </c>
      <c r="J224" s="15">
        <f>J222-I222</f>
        <v>0</v>
      </c>
      <c r="K224" s="1"/>
      <c r="L224" s="1"/>
    </row>
    <row r="225" ht="29.25">
      <c r="A225" s="1"/>
      <c r="B225" s="193" t="s">
        <v>373</v>
      </c>
      <c r="C225" s="17">
        <f>C217-C222</f>
        <v>4616</v>
      </c>
      <c r="D225" s="17">
        <f>D217-D222</f>
        <v>5214</v>
      </c>
      <c r="E225" s="17">
        <f>E217-E222</f>
        <v>5341</v>
      </c>
      <c r="F225" s="17">
        <f>F217-F222</f>
        <v>5114</v>
      </c>
      <c r="G225" s="17">
        <f>G217-G222</f>
        <v>20285</v>
      </c>
      <c r="H225" s="17">
        <f>H217-H222</f>
        <v>5000</v>
      </c>
      <c r="I225" s="17">
        <f>I217-I222</f>
        <v>6160</v>
      </c>
      <c r="J225" s="42">
        <f>J217-J222</f>
        <v>5614.929598233167</v>
      </c>
      <c r="K225" s="1"/>
      <c r="L225" s="1"/>
    </row>
    <row r="226">
      <c r="A226" s="1"/>
      <c r="B226" s="6" t="s">
        <v>75</v>
      </c>
      <c r="C226" s="26"/>
      <c r="D226" s="26"/>
      <c r="E226" s="26"/>
      <c r="F226" s="26"/>
      <c r="G226" s="26"/>
      <c r="H226" s="26">
        <f>IFERROR(IF(OR(C225&lt;=0,H225&lt;0),"n/m",H225/C225-1),"n/m")</f>
        <v>0.08318890814558055</v>
      </c>
      <c r="I226" s="26">
        <f>IFERROR(IF(OR(D225&lt;=0,I225&lt;0),"n/m",I225/D225-1),"n/m")</f>
        <v>0.18143459915611815</v>
      </c>
      <c r="J226" s="47">
        <f>IFERROR(IF(OR(E225&lt;=0,J225&lt;0),"n/m",J225/E225-1),"n/m")</f>
        <v>0.051288073063689765</v>
      </c>
      <c r="K226" s="1"/>
      <c r="L226" s="1"/>
    </row>
    <row r="227">
      <c r="A227" s="1"/>
      <c r="B227" s="6" t="s">
        <v>76</v>
      </c>
      <c r="C227" s="26"/>
      <c r="D227" s="26">
        <f>IFERROR(IF(OR(C225&lt;=0,D225&lt;0),"n/m",D225/C225-1),"n/m")</f>
        <v>0.12954939341421134</v>
      </c>
      <c r="E227" s="26">
        <f>IFERROR(IF(OR(D225&lt;=0,E225&lt;0),"n/m",E225/D225-1),"n/m")</f>
        <v>0.02435749904104334</v>
      </c>
      <c r="F227" s="26">
        <f>IFERROR(IF(OR(E225&lt;=0,F225&lt;0),"n/m",F225/E225-1),"n/m")</f>
        <v>-0.04250140423141735</v>
      </c>
      <c r="G227" s="26"/>
      <c r="H227" s="26">
        <f>IFERROR(IF(OR(F225&lt;=0,H225&lt;0),"n/m",H225/F225-1),"n/m")</f>
        <v>-0.02229174814235435</v>
      </c>
      <c r="I227" s="26">
        <f>IFERROR(IF(OR(H225&lt;=0,I225&lt;0),"n/m",I225/H225-1),"n/m")</f>
        <v>0.23199999999999998</v>
      </c>
      <c r="J227" s="47">
        <f>IFERROR(IF(OR(I225&lt;=0,J225&lt;0),"n/m",J225/I225-1),"n/m")</f>
        <v>-0.0884854548322781</v>
      </c>
      <c r="K227" s="1"/>
      <c r="L227" s="1"/>
    </row>
    <row r="228" ht="29.25">
      <c r="A228" s="1"/>
      <c r="B228" s="194" t="s">
        <v>374</v>
      </c>
      <c r="C228" s="26">
        <f>C217/C136</f>
        <v>0.24289046602809072</v>
      </c>
      <c r="D228" s="26">
        <f>D217/D136</f>
        <v>0.2638555374123523</v>
      </c>
      <c r="E228" s="26">
        <f>E217/E136</f>
        <v>0.2607296137339056</v>
      </c>
      <c r="F228" s="26">
        <f>F217/F136</f>
        <v>0.25178470787150103</v>
      </c>
      <c r="G228" s="26">
        <f>G217/G136</f>
        <v>0.2549373349741335</v>
      </c>
      <c r="H228" s="26">
        <f>H217/H136</f>
        <v>0.2449407814977152</v>
      </c>
      <c r="I228" s="26">
        <f>I217/I136</f>
        <v>0.2832198744584917</v>
      </c>
      <c r="J228" s="47">
        <f>J217/J136</f>
        <v>0.26355910571378316</v>
      </c>
      <c r="K228" s="1"/>
      <c r="L228" s="1"/>
    </row>
    <row r="229">
      <c r="A229" s="1"/>
      <c r="B229" s="1" t="s">
        <v>151</v>
      </c>
      <c r="C229" s="5"/>
      <c r="D229" s="5"/>
      <c r="E229" s="5"/>
      <c r="F229" s="5"/>
      <c r="G229" s="5"/>
      <c r="H229" s="5">
        <f>(H228-C228)*10000</f>
        <v>20.503154696244753</v>
      </c>
      <c r="I229" s="5">
        <f>(I228-D228)*10000</f>
        <v>193.64337046139434</v>
      </c>
      <c r="J229" s="15">
        <f>(J228-E228)*10000</f>
        <v>28.29491979877585</v>
      </c>
      <c r="K229" s="1"/>
      <c r="L229" s="1"/>
    </row>
    <row r="230">
      <c r="A230" s="1"/>
      <c r="B230" s="1" t="s">
        <v>152</v>
      </c>
      <c r="C230" s="5"/>
      <c r="D230" s="5">
        <f>(D228-C228)*10000</f>
        <v>209.6507138426157</v>
      </c>
      <c r="E230" s="5">
        <f>(E228-D228)*10000</f>
        <v>-31.25923678446718</v>
      </c>
      <c r="F230" s="5">
        <f>(F228-E228)*10000</f>
        <v>-89.44905862404539</v>
      </c>
      <c r="G230" s="5"/>
      <c r="H230" s="5">
        <f>(H228-F228)*10000</f>
        <v>-68.43926373785835</v>
      </c>
      <c r="I230" s="5">
        <f>(I228-H228)*10000</f>
        <v>382.7909296077653</v>
      </c>
      <c r="J230" s="15">
        <f>(J228-I228)*10000</f>
        <v>-196.60768744708568</v>
      </c>
      <c r="K230" s="1"/>
      <c r="L230" s="1"/>
    </row>
    <row r="231">
      <c r="A231" s="1"/>
      <c r="B231" s="1"/>
      <c r="C231" s="13"/>
      <c r="D231" s="13"/>
      <c r="E231" s="13"/>
      <c r="F231" s="13"/>
      <c r="G231" s="13"/>
      <c r="H231" s="13"/>
      <c r="I231" s="13"/>
      <c r="J231" s="27"/>
      <c r="K231" s="1"/>
      <c r="L231" s="1"/>
    </row>
    <row r="232">
      <c r="A232" s="1"/>
      <c r="B232" s="9" t="s">
        <v>375</v>
      </c>
      <c r="C232" s="25"/>
      <c r="D232" s="25"/>
      <c r="E232" s="25"/>
      <c r="F232" s="25"/>
      <c r="G232" s="25"/>
      <c r="H232" s="25"/>
      <c r="I232" s="25"/>
      <c r="J232" s="37"/>
      <c r="K232" s="1"/>
      <c r="L232" s="1"/>
    </row>
    <row r="233" ht="29.25">
      <c r="A233" s="1"/>
      <c r="B233" s="191" t="s">
        <v>376</v>
      </c>
      <c r="C233" s="14">
        <f>'Share Count'!C33</f>
        <v>3280.4</v>
      </c>
      <c r="D233" s="14">
        <f>'Share Count'!D33</f>
        <v>3232.7</v>
      </c>
      <c r="E233" s="14">
        <f>'Share Count'!E33</f>
        <v>3182.2</v>
      </c>
      <c r="F233" s="14">
        <f>'Share Count'!F33</f>
        <v>3113.8</v>
      </c>
      <c r="G233" s="14">
        <f>'Share Count'!G33</f>
        <v>3201.8</v>
      </c>
      <c r="H233" s="14">
        <f>'Share Count'!H33</f>
        <v>3080</v>
      </c>
      <c r="I233" s="14">
        <f>'Share Count'!I33</f>
        <v>3044</v>
      </c>
      <c r="J233" s="46">
        <f>'Share Count'!J33</f>
        <v>3006.6511627906975</v>
      </c>
      <c r="K233" s="1"/>
      <c r="L233" s="1"/>
    </row>
    <row r="234" ht="29.25">
      <c r="A234" s="1"/>
      <c r="B234" s="191" t="s">
        <v>377</v>
      </c>
      <c r="C234" s="14">
        <f>'Share Count'!C42</f>
        <v>3321.6</v>
      </c>
      <c r="D234" s="14">
        <f>'Share Count'!D42</f>
        <v>3267</v>
      </c>
      <c r="E234" s="14">
        <f>'Share Count'!E42</f>
        <v>3223.5</v>
      </c>
      <c r="F234" s="14">
        <f>'Share Count'!F42</f>
        <v>3159</v>
      </c>
      <c r="G234" s="14">
        <f>'Share Count'!G42</f>
        <v>3242.3</v>
      </c>
      <c r="H234" s="14">
        <f>'Share Count'!H42</f>
        <v>3117.7</v>
      </c>
      <c r="I234" s="14">
        <f>'Share Count'!I42</f>
        <v>3074.6</v>
      </c>
      <c r="J234" s="46">
        <f>'Share Count'!J42</f>
        <v>3037.6511627906975</v>
      </c>
      <c r="K234" s="1"/>
      <c r="L234" s="1"/>
    </row>
    <row r="235">
      <c r="A235" s="1"/>
      <c r="B235" s="1" t="s">
        <v>378</v>
      </c>
      <c r="C235" s="127">
        <f>C225/C233</f>
        <v>1.4071454700646262</v>
      </c>
      <c r="D235" s="127">
        <f>D225/D233</f>
        <v>1.6128932471308814</v>
      </c>
      <c r="E235" s="127">
        <f>E225/E233</f>
        <v>1.6783985921689397</v>
      </c>
      <c r="F235" s="127">
        <f>F225/F233</f>
        <v>1.642366240606333</v>
      </c>
      <c r="G235" s="127">
        <f>G225/G233</f>
        <v>6.335498781935161</v>
      </c>
      <c r="H235" s="127">
        <f>H225/H233</f>
        <v>1.6233766233766234</v>
      </c>
      <c r="I235" s="127">
        <f>I225/I233</f>
        <v>2.02365308804205</v>
      </c>
      <c r="J235" s="142">
        <f>J225/J233</f>
        <v>1.86750284426795</v>
      </c>
      <c r="K235" s="1"/>
      <c r="L235" s="1"/>
    </row>
    <row r="236">
      <c r="A236" s="1"/>
      <c r="B236" s="9" t="s">
        <v>379</v>
      </c>
      <c r="C236" s="176">
        <f>C225/C234</f>
        <v>1.3896917148362236</v>
      </c>
      <c r="D236" s="176">
        <f>D225/D234</f>
        <v>1.595959595959596</v>
      </c>
      <c r="E236" s="176">
        <f>E225/E234</f>
        <v>1.6568946796959827</v>
      </c>
      <c r="F236" s="176">
        <f>F225/F234</f>
        <v>1.618866729977841</v>
      </c>
      <c r="G236" s="176">
        <f>G225/G234</f>
        <v>6.256361225056287</v>
      </c>
      <c r="H236" s="176">
        <f>H225/H234</f>
        <v>1.6037463514770505</v>
      </c>
      <c r="I236" s="176">
        <f>I225/I234</f>
        <v>2.0035126520522994</v>
      </c>
      <c r="J236" s="180">
        <f>J225/J234</f>
        <v>1.848444504429112</v>
      </c>
      <c r="K236" s="1"/>
      <c r="L236" s="1"/>
    </row>
    <row r="237">
      <c r="A237" s="1"/>
      <c r="B237" s="6" t="s">
        <v>75</v>
      </c>
      <c r="C237" s="26"/>
      <c r="D237" s="26"/>
      <c r="E237" s="26"/>
      <c r="F237" s="26"/>
      <c r="G237" s="26"/>
      <c r="H237" s="26">
        <f>IFERROR(IF(OR(C236&lt;=0,H236&lt;0),"n/m",H236/C236-1),"n/m")</f>
        <v>0.15403030352386704</v>
      </c>
      <c r="I237" s="26">
        <f>IFERROR(IF(OR(D236&lt;=0,I236&lt;0),"n/m",I236/D236-1),"n/m")</f>
        <v>0.2553655224884661</v>
      </c>
      <c r="J237" s="47">
        <f>IFERROR(IF(OR(E236&lt;=0,J236&lt;0),"n/m",J236/E236-1),"n/m")</f>
        <v>0.11560772515020457</v>
      </c>
      <c r="K237" s="1"/>
      <c r="L237" s="1"/>
    </row>
    <row r="238">
      <c r="A238" s="1"/>
      <c r="B238" s="6" t="s">
        <v>76</v>
      </c>
      <c r="C238" s="26"/>
      <c r="D238" s="26">
        <f>IFERROR(IF(OR(C236&lt;=0,D236&lt;0),"n/m",D236/C236-1),"n/m")</f>
        <v>0.14842707840974745</v>
      </c>
      <c r="E238" s="26">
        <f>IFERROR(IF(OR(D236&lt;=0,E236&lt;0),"n/m",E236/D236-1),"n/m")</f>
        <v>0.03818084360697638</v>
      </c>
      <c r="F238" s="26">
        <f>IFERROR(IF(OR(E236&lt;=0,F236&lt;0),"n/m",F236/E236-1),"n/m")</f>
        <v>-0.022951337936047533</v>
      </c>
      <c r="G238" s="26"/>
      <c r="H238" s="26">
        <f>IFERROR(IF(OR(F236&lt;=0,H236&lt;0),"n/m",H236/F236-1),"n/m")</f>
        <v>-0.009340100837699872</v>
      </c>
      <c r="I238" s="26">
        <f>IFERROR(IF(OR(H236&lt;=0,I236&lt;0),"n/m",I236/H236-1),"n/m")</f>
        <v>0.24927027906069066</v>
      </c>
      <c r="J238" s="47">
        <f>IFERROR(IF(OR(I236&lt;=0,J236&lt;0),"n/m",J236/I236-1),"n/m")</f>
        <v>-0.0773981374484175</v>
      </c>
      <c r="K238" s="1"/>
      <c r="L238" s="1"/>
    </row>
    <row r="239">
      <c r="A239" s="1"/>
      <c r="B239" s="1" t="s">
        <v>380</v>
      </c>
      <c r="C239" s="143">
        <v>1.39</v>
      </c>
      <c r="D239" s="143">
        <v>1.6</v>
      </c>
      <c r="E239" s="143">
        <v>1.66</v>
      </c>
      <c r="F239" s="143">
        <v>1.62</v>
      </c>
      <c r="G239" s="143">
        <v>6.26</v>
      </c>
      <c r="H239" s="143">
        <v>1.6</v>
      </c>
      <c r="I239" s="143">
        <v>2</v>
      </c>
      <c r="J239" s="77"/>
      <c r="K239" s="1" t="s">
        <v>318</v>
      </c>
      <c r="L239" s="1"/>
    </row>
    <row r="240" ht="29.25">
      <c r="A240" s="1"/>
      <c r="B240" s="194" t="s">
        <v>381</v>
      </c>
      <c r="C240" s="177">
        <f>ROUND(C236,2)-C239</f>
        <v>0</v>
      </c>
      <c r="D240" s="177">
        <f>ROUND(D236,2)-D239</f>
        <v>0</v>
      </c>
      <c r="E240" s="177">
        <f>ROUND(E236,2)-E239</f>
        <v>0</v>
      </c>
      <c r="F240" s="177">
        <f>ROUND(F236,2)-F239</f>
        <v>0</v>
      </c>
      <c r="G240" s="177">
        <f>ROUND(G236,2)-G239</f>
        <v>0</v>
      </c>
      <c r="H240" s="177">
        <f>ROUND(H236,2)-H239</f>
        <v>0</v>
      </c>
      <c r="I240" s="177">
        <f>ROUND(I236,2)-I239</f>
        <v>0</v>
      </c>
      <c r="J240" s="116"/>
      <c r="K240" s="1"/>
      <c r="L240" s="1"/>
    </row>
    <row r="241" ht="29.25">
      <c r="A241" s="1"/>
      <c r="B241" s="191" t="s">
        <v>382</v>
      </c>
      <c r="C241" s="143">
        <v>0.4</v>
      </c>
      <c r="D241" s="143">
        <v>0.4</v>
      </c>
      <c r="E241" s="143">
        <v>0.45</v>
      </c>
      <c r="F241" s="143">
        <v>0.45</v>
      </c>
      <c r="G241" s="127">
        <f>SUM(C241:F241)</f>
        <v>1.7000000000000002</v>
      </c>
      <c r="H241" s="143">
        <v>0.45</v>
      </c>
      <c r="I241" s="143">
        <v>0.45</v>
      </c>
      <c r="J241" s="178">
        <f>Guidance!H25</f>
        <v>0.5</v>
      </c>
      <c r="K241" s="1" t="s">
        <v>383</v>
      </c>
      <c r="L241" s="1"/>
    </row>
    <row r="242">
      <c r="A242" s="1"/>
      <c r="B242" s="1" t="s">
        <v>139</v>
      </c>
      <c r="C242" s="19"/>
      <c r="D242" s="19"/>
      <c r="E242" s="19"/>
      <c r="F242" s="19"/>
      <c r="G242" s="19"/>
      <c r="H242" s="127">
        <f>H241-C241</f>
        <v>0.04999999999999999</v>
      </c>
      <c r="I242" s="127">
        <f>I241-D241</f>
        <v>0.04999999999999999</v>
      </c>
      <c r="J242" s="142">
        <f>J241-E241</f>
        <v>0.04999999999999999</v>
      </c>
      <c r="K242" s="1"/>
      <c r="L242" s="1"/>
    </row>
    <row r="243">
      <c r="A243" s="1"/>
      <c r="B243" s="1" t="s">
        <v>140</v>
      </c>
      <c r="C243" s="19"/>
      <c r="D243" s="127">
        <f>D241-C241</f>
        <v>0</v>
      </c>
      <c r="E243" s="127">
        <f>E241-D241</f>
        <v>0.04999999999999999</v>
      </c>
      <c r="F243" s="127">
        <f>F241-E241</f>
        <v>0</v>
      </c>
      <c r="G243" s="19"/>
      <c r="H243" s="127">
        <f>H241-F241</f>
        <v>0</v>
      </c>
      <c r="I243" s="127">
        <f>I241-H241</f>
        <v>0</v>
      </c>
      <c r="J243" s="142">
        <f>J241-I241</f>
        <v>0.04999999999999999</v>
      </c>
      <c r="K243" s="1"/>
      <c r="L243" s="1"/>
    </row>
    <row r="244">
      <c r="A244" s="1"/>
      <c r="B244" s="1"/>
      <c r="C244" s="13"/>
      <c r="D244" s="13"/>
      <c r="E244" s="13"/>
      <c r="F244" s="13"/>
      <c r="G244" s="13"/>
      <c r="H244" s="13"/>
      <c r="I244" s="13"/>
      <c r="J244" s="27"/>
      <c r="K244" s="1"/>
      <c r="L244" s="1"/>
    </row>
    <row r="245" ht="29.25">
      <c r="A245" s="1"/>
      <c r="B245" s="28" t="s">
        <v>384</v>
      </c>
      <c r="C245" s="25"/>
      <c r="D245" s="25"/>
      <c r="E245" s="25"/>
      <c r="F245" s="25"/>
      <c r="G245" s="25"/>
      <c r="H245" s="25"/>
      <c r="I245" s="25"/>
      <c r="J245" s="37"/>
      <c r="K245" s="1"/>
      <c r="L245" s="1"/>
    </row>
    <row r="246" ht="29.25">
      <c r="A246" s="1"/>
      <c r="B246" s="191" t="s">
        <v>385</v>
      </c>
      <c r="C246" s="5">
        <f>C225</f>
        <v>4616</v>
      </c>
      <c r="D246" s="5">
        <f>D225</f>
        <v>5214</v>
      </c>
      <c r="E246" s="5">
        <f>E225</f>
        <v>5341</v>
      </c>
      <c r="F246" s="5">
        <f>F225</f>
        <v>5114</v>
      </c>
      <c r="G246" s="5">
        <f>G225</f>
        <v>20285</v>
      </c>
      <c r="H246" s="5">
        <f>H225</f>
        <v>5000</v>
      </c>
      <c r="I246" s="5">
        <f>I225</f>
        <v>6160</v>
      </c>
      <c r="J246" s="15">
        <f>J225</f>
        <v>5614.929598233167</v>
      </c>
      <c r="K246" s="1"/>
      <c r="L246" s="1"/>
    </row>
    <row r="247" ht="29.25">
      <c r="A247" s="1"/>
      <c r="B247" s="191" t="s">
        <v>386</v>
      </c>
      <c r="C247" s="206">
        <f>C190</f>
        <v>0</v>
      </c>
      <c r="D247" s="206">
        <f>D190</f>
        <v>0</v>
      </c>
      <c r="E247" s="206">
        <f>E190</f>
        <v>296</v>
      </c>
      <c r="F247" s="206">
        <f>F190</f>
        <v>612</v>
      </c>
      <c r="G247" s="206">
        <f>G190</f>
        <v>908</v>
      </c>
      <c r="H247" s="206">
        <f>H190</f>
        <v>0</v>
      </c>
      <c r="I247" s="206">
        <f>I190</f>
        <v>0</v>
      </c>
      <c r="J247" s="207">
        <f>J190</f>
        <v>0</v>
      </c>
      <c r="K247" s="1"/>
      <c r="L247" s="1"/>
    </row>
    <row r="248" ht="29.25">
      <c r="A248" s="1"/>
      <c r="B248" s="191" t="s">
        <v>387</v>
      </c>
      <c r="C248" s="198">
        <v>-263</v>
      </c>
      <c r="D248" s="198">
        <v>-253</v>
      </c>
      <c r="E248" s="198">
        <v>0</v>
      </c>
      <c r="F248" s="198">
        <v>0</v>
      </c>
      <c r="G248" s="206">
        <f>SUM(C248:F248)</f>
        <v>-516</v>
      </c>
      <c r="H248" s="198">
        <v>0</v>
      </c>
      <c r="I248" s="198">
        <v>0</v>
      </c>
      <c r="J248" s="203">
        <v>0</v>
      </c>
      <c r="K248" s="1" t="s">
        <v>388</v>
      </c>
      <c r="L248" s="1"/>
    </row>
    <row r="249" ht="29.25">
      <c r="A249" s="1"/>
      <c r="B249" s="191" t="s">
        <v>389</v>
      </c>
      <c r="C249" s="206">
        <f>-MIN(C112,0)</f>
        <v>147</v>
      </c>
      <c r="D249" s="206">
        <f>-MIN(D112,0)</f>
        <v>0</v>
      </c>
      <c r="E249" s="206">
        <f>-MIN(E112,0)</f>
        <v>0</v>
      </c>
      <c r="F249" s="206">
        <f>-MIN(F112,0)</f>
        <v>0</v>
      </c>
      <c r="G249" s="206">
        <f>SUM(C249:F249)</f>
        <v>147</v>
      </c>
      <c r="H249" s="206">
        <f>-MIN(H112,0)</f>
        <v>0</v>
      </c>
      <c r="I249" s="206">
        <f>-MIN(I112,0)</f>
        <v>0</v>
      </c>
      <c r="J249" s="207">
        <f>-MIN(J112,0)</f>
        <v>0</v>
      </c>
      <c r="K249" s="1"/>
      <c r="L249" s="1"/>
    </row>
    <row r="250" ht="29.25">
      <c r="A250" s="1"/>
      <c r="B250" s="194" t="s">
        <v>390</v>
      </c>
      <c r="C250" s="65">
        <v>0.247</v>
      </c>
      <c r="D250" s="65">
        <v>0.247</v>
      </c>
      <c r="E250" s="65">
        <v>0.247</v>
      </c>
      <c r="F250" s="65">
        <v>0.247</v>
      </c>
      <c r="G250" s="26">
        <f>F250</f>
        <v>0.247</v>
      </c>
      <c r="H250" s="65">
        <v>0.247</v>
      </c>
      <c r="I250" s="65">
        <v>0.247</v>
      </c>
      <c r="J250" s="106">
        <v>0.247</v>
      </c>
      <c r="K250" s="1" t="s">
        <v>391</v>
      </c>
      <c r="L250" s="1"/>
    </row>
    <row r="251">
      <c r="A251" s="1"/>
      <c r="B251" s="1" t="s">
        <v>151</v>
      </c>
      <c r="C251" s="5"/>
      <c r="D251" s="5"/>
      <c r="E251" s="5"/>
      <c r="F251" s="5"/>
      <c r="G251" s="5"/>
      <c r="H251" s="5">
        <f>(H250-C250)*10000</f>
        <v>0</v>
      </c>
      <c r="I251" s="5">
        <f>(I250-D250)*10000</f>
        <v>0</v>
      </c>
      <c r="J251" s="15">
        <f>(J250-E250)*10000</f>
        <v>0</v>
      </c>
      <c r="K251" s="1"/>
      <c r="L251" s="1"/>
    </row>
    <row r="252">
      <c r="A252" s="1"/>
      <c r="B252" s="1" t="s">
        <v>152</v>
      </c>
      <c r="C252" s="5"/>
      <c r="D252" s="5">
        <f>(D250-C250)*10000</f>
        <v>0</v>
      </c>
      <c r="E252" s="5">
        <f>(E250-D250)*10000</f>
        <v>0</v>
      </c>
      <c r="F252" s="5">
        <f>(F250-E250)*10000</f>
        <v>0</v>
      </c>
      <c r="G252" s="5"/>
      <c r="H252" s="5">
        <f>(H250-F250)*10000</f>
        <v>0</v>
      </c>
      <c r="I252" s="5">
        <f>(I250-H250)*10000</f>
        <v>0</v>
      </c>
      <c r="J252" s="15">
        <f>(J250-I250)*10000</f>
        <v>0</v>
      </c>
      <c r="K252" s="1"/>
      <c r="L252" s="1"/>
    </row>
    <row r="253" ht="29.25">
      <c r="A253" s="1"/>
      <c r="B253" s="191" t="s">
        <v>392</v>
      </c>
      <c r="C253" s="206">
        <f>-(C247+C248+C249)*C250</f>
        <v>28.652</v>
      </c>
      <c r="D253" s="206">
        <f>-(D247+D248+D249)*D250</f>
        <v>62.491</v>
      </c>
      <c r="E253" s="206">
        <f>-(E247+E248+E249)*E250</f>
        <v>-73.112</v>
      </c>
      <c r="F253" s="206">
        <f>-(F247+F248+F249)*F250</f>
        <v>-151.164</v>
      </c>
      <c r="G253" s="206">
        <f>SUM(C253:F253)</f>
        <v>-133.13299999999998</v>
      </c>
      <c r="H253" s="206">
        <f>-(H247+H248+H249)*H250</f>
        <v>0</v>
      </c>
      <c r="I253" s="206">
        <f>-(I247+I248+I249)*I250</f>
        <v>0</v>
      </c>
      <c r="J253" s="207">
        <f>-(J247+J248+J249)*J250</f>
        <v>0</v>
      </c>
      <c r="K253" s="1"/>
      <c r="L253" s="1"/>
    </row>
    <row r="254">
      <c r="A254" s="1"/>
      <c r="B254" s="1" t="s">
        <v>393</v>
      </c>
      <c r="C254" s="206">
        <f>-C203</f>
        <v>-313</v>
      </c>
      <c r="D254" s="206">
        <f>-D203</f>
        <v>0</v>
      </c>
      <c r="E254" s="206">
        <f>-E203</f>
        <v>0</v>
      </c>
      <c r="F254" s="206">
        <f>-F203</f>
        <v>0</v>
      </c>
      <c r="G254" s="206">
        <f>-G203</f>
        <v>-313</v>
      </c>
      <c r="H254" s="206">
        <f>-H203</f>
        <v>-135</v>
      </c>
      <c r="I254" s="206">
        <f>-I203</f>
        <v>-132</v>
      </c>
      <c r="J254" s="207">
        <f>-J203</f>
        <v>0</v>
      </c>
      <c r="K254" s="1"/>
      <c r="L254" s="1"/>
    </row>
    <row r="255">
      <c r="A255" s="1"/>
      <c r="B255" s="9" t="s">
        <v>394</v>
      </c>
      <c r="C255" s="208">
        <f>C247+C248+C249+C253+C254</f>
        <v>-400.348</v>
      </c>
      <c r="D255" s="208">
        <f>D247+D248+D249+D253+D254</f>
        <v>-190.50900000000001</v>
      </c>
      <c r="E255" s="208">
        <f>E247+E248+E249+E253+E254</f>
        <v>222.888</v>
      </c>
      <c r="F255" s="208">
        <f>F247+F248+F249+F253+F254</f>
        <v>460.836</v>
      </c>
      <c r="G255" s="208">
        <f>G247+G248+G249+G253+G254</f>
        <v>92.86700000000002</v>
      </c>
      <c r="H255" s="208">
        <f>H247+H248+H249+H253+H254</f>
        <v>-135</v>
      </c>
      <c r="I255" s="208">
        <f>I247+I248+I249+I253+I254</f>
        <v>-132</v>
      </c>
      <c r="J255" s="210">
        <f>J247+J248+J249+J253+J254</f>
        <v>0</v>
      </c>
      <c r="K255" s="1"/>
      <c r="L255" s="1"/>
    </row>
    <row r="256" ht="29.25">
      <c r="A256" s="1"/>
      <c r="B256" s="193" t="s">
        <v>395</v>
      </c>
      <c r="C256" s="17">
        <f>C246+C255</f>
        <v>4215.652</v>
      </c>
      <c r="D256" s="17">
        <f>D246+D255</f>
        <v>5023.491</v>
      </c>
      <c r="E256" s="17">
        <f>E246+E255</f>
        <v>5563.888</v>
      </c>
      <c r="F256" s="17">
        <f>F246+F255</f>
        <v>5574.836</v>
      </c>
      <c r="G256" s="17">
        <f>G246+G255</f>
        <v>20377.867</v>
      </c>
      <c r="H256" s="17">
        <f>H246+H255</f>
        <v>4865</v>
      </c>
      <c r="I256" s="17">
        <f>I246+I255</f>
        <v>6028</v>
      </c>
      <c r="J256" s="42">
        <f>J246+J255</f>
        <v>5614.929598233167</v>
      </c>
      <c r="K256" s="1"/>
      <c r="L256" s="1"/>
    </row>
    <row r="257">
      <c r="A257" s="1"/>
      <c r="B257" s="1" t="s">
        <v>36</v>
      </c>
      <c r="C257" s="127">
        <f>C236</f>
        <v>1.3896917148362236</v>
      </c>
      <c r="D257" s="127">
        <f>D236</f>
        <v>1.595959595959596</v>
      </c>
      <c r="E257" s="127">
        <f>E236</f>
        <v>1.6568946796959827</v>
      </c>
      <c r="F257" s="127">
        <f>F236</f>
        <v>1.618866729977841</v>
      </c>
      <c r="G257" s="127">
        <f>G236</f>
        <v>6.256361225056287</v>
      </c>
      <c r="H257" s="127">
        <f>H236</f>
        <v>1.6037463514770505</v>
      </c>
      <c r="I257" s="127">
        <f>I236</f>
        <v>2.0035126520522994</v>
      </c>
      <c r="J257" s="142">
        <f>J236</f>
        <v>1.848444504429112</v>
      </c>
      <c r="K257" s="1"/>
      <c r="L257" s="1"/>
    </row>
    <row r="258">
      <c r="A258" s="1"/>
      <c r="B258" s="1" t="s">
        <v>396</v>
      </c>
      <c r="C258" s="127">
        <f>C255/C234</f>
        <v>-0.12052866088631985</v>
      </c>
      <c r="D258" s="127">
        <f>D255/D234</f>
        <v>-0.05831313131313132</v>
      </c>
      <c r="E258" s="127">
        <f>E255/E234</f>
        <v>0.0691447184737087</v>
      </c>
      <c r="F258" s="127">
        <f>F255/F234</f>
        <v>0.14588034188034188</v>
      </c>
      <c r="G258" s="127">
        <f>G255/G234</f>
        <v>0.02864232180859267</v>
      </c>
      <c r="H258" s="127">
        <f>H255/H234</f>
        <v>-0.04330115148988036</v>
      </c>
      <c r="I258" s="127">
        <f>I255/I234</f>
        <v>-0.04293241397254927</v>
      </c>
      <c r="J258" s="142">
        <f>J255/J234</f>
        <v>0</v>
      </c>
      <c r="K258" s="1"/>
      <c r="L258" s="1"/>
    </row>
    <row r="259" ht="29.25">
      <c r="A259" s="1"/>
      <c r="B259" s="193" t="s">
        <v>397</v>
      </c>
      <c r="C259" s="176">
        <f>C256/C234</f>
        <v>1.2691630539499037</v>
      </c>
      <c r="D259" s="176">
        <f>D256/D234</f>
        <v>1.5376464646464647</v>
      </c>
      <c r="E259" s="176">
        <f>E256/E234</f>
        <v>1.7260393981696913</v>
      </c>
      <c r="F259" s="176">
        <f>F256/F234</f>
        <v>1.764747071858183</v>
      </c>
      <c r="G259" s="176">
        <f>G256/G234</f>
        <v>6.285003546864879</v>
      </c>
      <c r="H259" s="176">
        <f>H256/H234</f>
        <v>1.56044519998717</v>
      </c>
      <c r="I259" s="176">
        <f>I256/I234</f>
        <v>1.9605802380797503</v>
      </c>
      <c r="J259" s="180">
        <f>J256/J234</f>
        <v>1.848444504429112</v>
      </c>
      <c r="K259" s="1"/>
      <c r="L259" s="1"/>
    </row>
    <row r="260">
      <c r="A260" s="1"/>
      <c r="B260" s="6" t="s">
        <v>75</v>
      </c>
      <c r="C260" s="26"/>
      <c r="D260" s="26"/>
      <c r="E260" s="26"/>
      <c r="F260" s="26"/>
      <c r="G260" s="26"/>
      <c r="H260" s="26">
        <f>IFERROR(IF(OR(C259&lt;=0,H259&lt;0),"n/m",H259/C259-1),"n/m")</f>
        <v>0.22950726869233606</v>
      </c>
      <c r="I260" s="26">
        <f>IFERROR(IF(OR(D259&lt;=0,I259&lt;0),"n/m",I259/D259-1),"n/m")</f>
        <v>0.2750526750832327</v>
      </c>
      <c r="J260" s="47">
        <f>IFERROR(IF(OR(E259&lt;=0,J259&lt;0),"n/m",J259/E259-1),"n/m")</f>
        <v>0.07091675102504635</v>
      </c>
      <c r="K260" s="1"/>
      <c r="L260" s="1"/>
    </row>
    <row r="261">
      <c r="A261" s="1"/>
      <c r="B261" s="6" t="s">
        <v>76</v>
      </c>
      <c r="C261" s="26"/>
      <c r="D261" s="26">
        <f>IFERROR(IF(OR(C259&lt;=0,D259&lt;0),"n/m",D259/C259-1),"n/m")</f>
        <v>0.21154367034321075</v>
      </c>
      <c r="E261" s="26">
        <f>IFERROR(IF(OR(D259&lt;=0,E259&lt;0),"n/m",E259/D259-1),"n/m")</f>
        <v>0.1225203178069556</v>
      </c>
      <c r="F261" s="26">
        <f>IFERROR(IF(OR(E259&lt;=0,F259&lt;0),"n/m",F259/E259-1),"n/m")</f>
        <v>0.02242571851461661</v>
      </c>
      <c r="G261" s="26"/>
      <c r="H261" s="26">
        <f>IFERROR(IF(OR(F259&lt;=0,H259&lt;0),"n/m",H259/F259-1),"n/m")</f>
        <v>-0.11576835861010626</v>
      </c>
      <c r="I261" s="26">
        <f>IFERROR(IF(OR(H259&lt;=0,I259&lt;0),"n/m",I259/H259-1),"n/m")</f>
        <v>0.25642363993036743</v>
      </c>
      <c r="J261" s="47">
        <f>IFERROR(IF(OR(I259&lt;=0,J259&lt;0),"n/m",J259/I259-1),"n/m")</f>
        <v>-0.05719517695458731</v>
      </c>
      <c r="K261" s="1"/>
      <c r="L261" s="1"/>
    </row>
    <row r="262" ht="29.25">
      <c r="A262" s="1"/>
      <c r="B262" s="191" t="s">
        <v>398</v>
      </c>
      <c r="C262" s="132">
        <f>Inputs!F98</f>
        <v>1.28</v>
      </c>
      <c r="D262" s="132">
        <f>Inputs!F99</f>
        <v>1.54</v>
      </c>
      <c r="E262" s="132">
        <f>Inputs!F100</f>
        <v>1.73</v>
      </c>
      <c r="F262" s="132">
        <f>Inputs!F101</f>
        <v>1.76</v>
      </c>
      <c r="G262" s="19"/>
      <c r="H262" s="132">
        <f>Inputs!F102</f>
        <v>1.56</v>
      </c>
      <c r="I262" s="132">
        <f>Inputs!F103</f>
        <v>1.96</v>
      </c>
      <c r="J262" s="77"/>
      <c r="K262" s="1"/>
      <c r="L262" s="1"/>
    </row>
    <row r="263" ht="54.75">
      <c r="A263" s="1"/>
      <c r="B263" s="194" t="s">
        <v>399</v>
      </c>
      <c r="C263" s="177">
        <f>ROUND(C259,2)-C262</f>
        <v>-0.010000000000000009</v>
      </c>
      <c r="D263" s="177">
        <f>ROUND(D259,2)-D262</f>
        <v>0</v>
      </c>
      <c r="E263" s="177">
        <f>ROUND(E259,2)-E262</f>
        <v>0</v>
      </c>
      <c r="F263" s="177">
        <f>ROUND(F259,2)-F262</f>
        <v>0</v>
      </c>
      <c r="G263" s="114"/>
      <c r="H263" s="177">
        <f>ROUND(H259,2)-H262</f>
        <v>0</v>
      </c>
      <c r="I263" s="177">
        <f>ROUND(I259,2)-I262</f>
        <v>0</v>
      </c>
      <c r="J263" s="116"/>
      <c r="K263" s="1"/>
      <c r="L263" s="1"/>
    </row>
    <row r="264" ht="29.25">
      <c r="A264" s="1"/>
      <c r="B264" s="191" t="s">
        <v>400</v>
      </c>
      <c r="C264" s="132">
        <f>Inputs!E98</f>
        <v>1.22</v>
      </c>
      <c r="D264" s="132">
        <f>Inputs!E99</f>
        <v>1.4</v>
      </c>
      <c r="E264" s="132">
        <f>Inputs!E100</f>
        <v>1.54</v>
      </c>
      <c r="F264" s="132">
        <f>Inputs!E101</f>
        <v>1.69</v>
      </c>
      <c r="G264" s="19"/>
      <c r="H264" s="132">
        <f>Inputs!E102</f>
        <v>1.6</v>
      </c>
      <c r="I264" s="132">
        <f>Inputs!E103</f>
        <v>1.7</v>
      </c>
      <c r="J264" s="178">
        <f>Inputs!C36</f>
        <v>1.83</v>
      </c>
      <c r="K264" s="1"/>
      <c r="L264" s="1"/>
    </row>
    <row r="265" ht="42">
      <c r="A265" s="1"/>
      <c r="B265" s="191" t="s">
        <v>401</v>
      </c>
      <c r="C265" s="127">
        <f>C262-C264</f>
        <v>0.06000000000000005</v>
      </c>
      <c r="D265" s="127">
        <f>D262-D264</f>
        <v>0.14000000000000012</v>
      </c>
      <c r="E265" s="127">
        <f>E262-E264</f>
        <v>0.18999999999999995</v>
      </c>
      <c r="F265" s="127">
        <f>F262-F264</f>
        <v>0.07000000000000006</v>
      </c>
      <c r="G265" s="19"/>
      <c r="H265" s="127">
        <f>H262-H264</f>
        <v>-0.040000000000000036</v>
      </c>
      <c r="I265" s="127">
        <f>I262-I264</f>
        <v>0.26</v>
      </c>
      <c r="J265" s="142">
        <f>J259-J264</f>
        <v>0.01844450442911194</v>
      </c>
      <c r="K265" s="1"/>
      <c r="L265" s="1"/>
    </row>
    <row r="266">
      <c r="A266" s="1"/>
      <c r="B266" s="1"/>
      <c r="C266" s="13"/>
      <c r="D266" s="13"/>
      <c r="E266" s="13"/>
      <c r="F266" s="13"/>
      <c r="G266" s="13"/>
      <c r="H266" s="13"/>
      <c r="I266" s="13"/>
      <c r="J266" s="27"/>
      <c r="K266" s="1"/>
      <c r="L266" s="1"/>
    </row>
    <row r="267">
      <c r="A267" s="1"/>
      <c r="B267" s="1"/>
      <c r="C267" s="13"/>
      <c r="D267" s="13"/>
      <c r="E267" s="13"/>
      <c r="F267" s="13"/>
      <c r="G267" s="13"/>
      <c r="H267" s="13"/>
      <c r="I267" s="13"/>
      <c r="J267" s="27"/>
      <c r="K267" s="1"/>
      <c r="L267" s="1"/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38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14" customWidth="1"/>
  </cols>
  <sheetData>
    <row r="1">
      <c r="A1" s="1"/>
      <c r="B1" s="3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9" t="s">
        <v>402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64" t="s">
        <v>62</v>
      </c>
      <c r="C4" s="29" t="s">
        <v>63</v>
      </c>
      <c r="D4" s="29" t="s">
        <v>64</v>
      </c>
      <c r="E4" s="29" t="s">
        <v>65</v>
      </c>
      <c r="F4" s="29" t="s">
        <v>66</v>
      </c>
      <c r="G4" s="29" t="s">
        <v>67</v>
      </c>
      <c r="H4" s="29" t="s">
        <v>68</v>
      </c>
      <c r="I4" s="29" t="s">
        <v>69</v>
      </c>
      <c r="J4" s="39" t="s">
        <v>70</v>
      </c>
      <c r="K4" s="131" t="s">
        <v>3</v>
      </c>
      <c r="L4" s="1"/>
    </row>
    <row r="5">
      <c r="A5" s="1"/>
      <c r="B5" s="67" t="s">
        <v>71</v>
      </c>
      <c r="C5" s="32">
        <v>45747</v>
      </c>
      <c r="D5" s="32">
        <v>45838</v>
      </c>
      <c r="E5" s="32">
        <v>45930</v>
      </c>
      <c r="F5" s="32">
        <v>46022</v>
      </c>
      <c r="G5" s="32">
        <v>46022</v>
      </c>
      <c r="H5" s="32">
        <v>46112</v>
      </c>
      <c r="I5" s="32">
        <v>46203</v>
      </c>
      <c r="J5" s="66">
        <v>46295</v>
      </c>
      <c r="K5" s="71"/>
      <c r="L5" s="1"/>
    </row>
    <row r="6">
      <c r="A6" s="1"/>
      <c r="B6" s="8" t="s">
        <v>72</v>
      </c>
      <c r="C6" s="20">
        <f>C5-EOMONTH(C5,-3)</f>
        <v>90</v>
      </c>
      <c r="D6" s="20">
        <f>D5-EOMONTH(D5,-3)</f>
        <v>91</v>
      </c>
      <c r="E6" s="20">
        <f>E5-EOMONTH(E5,-3)</f>
        <v>92</v>
      </c>
      <c r="F6" s="20">
        <f>F5-EOMONTH(F5,-3)</f>
        <v>92</v>
      </c>
      <c r="G6" s="20">
        <f>G5-DATE(YEAR(G5)-1,12,31)</f>
        <v>365</v>
      </c>
      <c r="H6" s="20">
        <f>H5-EOMONTH(H5,-3)</f>
        <v>90</v>
      </c>
      <c r="I6" s="20">
        <f>I5-EOMONTH(I5,-3)</f>
        <v>91</v>
      </c>
      <c r="J6" s="50">
        <f>J5-EOMONTH(J5,-3)</f>
        <v>92</v>
      </c>
      <c r="K6" s="7"/>
      <c r="L6" s="1"/>
    </row>
    <row r="7">
      <c r="A7" s="1"/>
      <c r="B7" s="1"/>
      <c r="C7" s="13"/>
      <c r="D7" s="13"/>
      <c r="E7" s="13"/>
      <c r="F7" s="13"/>
      <c r="G7" s="13"/>
      <c r="H7" s="13"/>
      <c r="I7" s="13"/>
      <c r="J7" s="27"/>
      <c r="K7" s="1"/>
      <c r="L7" s="1"/>
    </row>
    <row r="8">
      <c r="A8" s="1"/>
      <c r="B8" s="9" t="s">
        <v>403</v>
      </c>
      <c r="C8" s="25"/>
      <c r="D8" s="25"/>
      <c r="E8" s="25"/>
      <c r="F8" s="25"/>
      <c r="G8" s="25"/>
      <c r="H8" s="25"/>
      <c r="I8" s="25"/>
      <c r="J8" s="37"/>
      <c r="K8" s="1"/>
      <c r="L8" s="1"/>
    </row>
    <row r="9">
      <c r="A9" s="1"/>
      <c r="B9" s="1" t="s">
        <v>404</v>
      </c>
      <c r="C9" s="35">
        <v>35256</v>
      </c>
      <c r="D9" s="35">
        <v>35081</v>
      </c>
      <c r="E9" s="35">
        <v>34801</v>
      </c>
      <c r="F9" s="35">
        <v>39182</v>
      </c>
      <c r="G9" s="5">
        <f>F9</f>
        <v>39182</v>
      </c>
      <c r="H9" s="35">
        <v>33543</v>
      </c>
      <c r="I9" s="35">
        <v>42161</v>
      </c>
      <c r="J9" s="15">
        <f>I9</f>
        <v>42161</v>
      </c>
      <c r="K9" s="1" t="s">
        <v>318</v>
      </c>
      <c r="L9" s="1"/>
    </row>
    <row r="10">
      <c r="A10" s="1"/>
      <c r="B10" s="1" t="s">
        <v>139</v>
      </c>
      <c r="C10" s="5"/>
      <c r="D10" s="5"/>
      <c r="E10" s="5"/>
      <c r="F10" s="5"/>
      <c r="G10" s="5"/>
      <c r="H10" s="5">
        <f>H9-C9</f>
        <v>-1713</v>
      </c>
      <c r="I10" s="5">
        <f>I9-D9</f>
        <v>7080</v>
      </c>
      <c r="J10" s="15">
        <f>J9-E9</f>
        <v>7360</v>
      </c>
      <c r="K10" s="1"/>
      <c r="L10" s="1"/>
    </row>
    <row r="11">
      <c r="A11" s="1"/>
      <c r="B11" s="1" t="s">
        <v>140</v>
      </c>
      <c r="C11" s="5"/>
      <c r="D11" s="5">
        <f>D9-C9</f>
        <v>-175</v>
      </c>
      <c r="E11" s="5">
        <f>E9-D9</f>
        <v>-280</v>
      </c>
      <c r="F11" s="5">
        <f>F9-E9</f>
        <v>4381</v>
      </c>
      <c r="G11" s="5"/>
      <c r="H11" s="5">
        <f>H9-F9</f>
        <v>-5639</v>
      </c>
      <c r="I11" s="5">
        <f>I9-H9</f>
        <v>8618</v>
      </c>
      <c r="J11" s="15">
        <f>J9-I9</f>
        <v>0</v>
      </c>
      <c r="K11" s="1"/>
      <c r="L11" s="1"/>
    </row>
    <row r="12" ht="29.25">
      <c r="A12" s="1"/>
      <c r="B12" s="191" t="s">
        <v>405</v>
      </c>
      <c r="C12" s="35">
        <v>142309</v>
      </c>
      <c r="D12" s="35">
        <v>159480</v>
      </c>
      <c r="E12" s="35">
        <v>139524</v>
      </c>
      <c r="F12" s="35">
        <v>135028</v>
      </c>
      <c r="G12" s="5">
        <f>F12</f>
        <v>135028</v>
      </c>
      <c r="H12" s="35">
        <v>141241</v>
      </c>
      <c r="I12" s="35">
        <v>161214</v>
      </c>
      <c r="J12" s="15">
        <f>J85+J110-(J9+J15+J19+J23+J27+J37+J38+J41+J44+J47)</f>
        <v>156524.50368988095</v>
      </c>
      <c r="K12" s="1" t="s">
        <v>318</v>
      </c>
      <c r="L12" s="1"/>
    </row>
    <row r="13">
      <c r="A13" s="1"/>
      <c r="B13" s="1" t="s">
        <v>139</v>
      </c>
      <c r="C13" s="5"/>
      <c r="D13" s="5"/>
      <c r="E13" s="5"/>
      <c r="F13" s="5"/>
      <c r="G13" s="5"/>
      <c r="H13" s="5">
        <f>H12-C12</f>
        <v>-1068</v>
      </c>
      <c r="I13" s="5">
        <f>I12-D12</f>
        <v>1734</v>
      </c>
      <c r="J13" s="15">
        <f>J12-E12</f>
        <v>17000.50368988095</v>
      </c>
      <c r="K13" s="1"/>
      <c r="L13" s="1"/>
    </row>
    <row r="14">
      <c r="A14" s="1"/>
      <c r="B14" s="1" t="s">
        <v>140</v>
      </c>
      <c r="C14" s="5"/>
      <c r="D14" s="5">
        <f>D12-C12</f>
        <v>17171</v>
      </c>
      <c r="E14" s="5">
        <f>E12-D12</f>
        <v>-19956</v>
      </c>
      <c r="F14" s="5">
        <f>F12-E12</f>
        <v>-4496</v>
      </c>
      <c r="G14" s="5"/>
      <c r="H14" s="5">
        <f>H12-F12</f>
        <v>6213</v>
      </c>
      <c r="I14" s="5">
        <f>I12-H12</f>
        <v>19973</v>
      </c>
      <c r="J14" s="15">
        <f>J12-I12</f>
        <v>-4689.4963101190515</v>
      </c>
      <c r="K14" s="1"/>
      <c r="L14" s="1"/>
    </row>
    <row r="15" ht="29.25">
      <c r="A15" s="1"/>
      <c r="B15" s="191" t="s">
        <v>406</v>
      </c>
      <c r="C15" s="35">
        <v>126830</v>
      </c>
      <c r="D15" s="35">
        <v>104815</v>
      </c>
      <c r="E15" s="35">
        <v>154576</v>
      </c>
      <c r="F15" s="35">
        <v>193929</v>
      </c>
      <c r="G15" s="5">
        <f>F15</f>
        <v>193929</v>
      </c>
      <c r="H15" s="35">
        <v>215599</v>
      </c>
      <c r="I15" s="35">
        <v>205345</v>
      </c>
      <c r="J15" s="15">
        <f>I15*(1+J16)</f>
        <v>205345</v>
      </c>
      <c r="K15" s="1" t="s">
        <v>318</v>
      </c>
      <c r="L15" s="1"/>
    </row>
    <row r="16">
      <c r="A16" s="1"/>
      <c r="B16" s="6" t="s">
        <v>124</v>
      </c>
      <c r="C16" s="26"/>
      <c r="D16" s="26">
        <f>D15/C15-1</f>
        <v>-0.17357880627611766</v>
      </c>
      <c r="E16" s="26">
        <f>E15/D15-1</f>
        <v>0.474750751323761</v>
      </c>
      <c r="F16" s="26">
        <f>F15/E15-1</f>
        <v>0.2545867405030535</v>
      </c>
      <c r="G16" s="26"/>
      <c r="H16" s="26">
        <f>H15/F15-1</f>
        <v>0.1117419261688557</v>
      </c>
      <c r="I16" s="26">
        <f>I15/H15-1</f>
        <v>-0.04756051744210321</v>
      </c>
      <c r="J16" s="202">
        <v>0</v>
      </c>
      <c r="K16" s="1"/>
      <c r="L16" s="1"/>
    </row>
    <row r="17">
      <c r="A17" s="1"/>
      <c r="B17" s="1" t="s">
        <v>139</v>
      </c>
      <c r="C17" s="5"/>
      <c r="D17" s="5"/>
      <c r="E17" s="5"/>
      <c r="F17" s="5"/>
      <c r="G17" s="5"/>
      <c r="H17" s="5">
        <f>H15-C15</f>
        <v>88769</v>
      </c>
      <c r="I17" s="5">
        <f>I15-D15</f>
        <v>100530</v>
      </c>
      <c r="J17" s="15">
        <f>J15-E15</f>
        <v>50769</v>
      </c>
      <c r="K17" s="1"/>
      <c r="L17" s="1"/>
    </row>
    <row r="18">
      <c r="A18" s="1"/>
      <c r="B18" s="1" t="s">
        <v>140</v>
      </c>
      <c r="C18" s="5"/>
      <c r="D18" s="5">
        <f>D15-C15</f>
        <v>-22015</v>
      </c>
      <c r="E18" s="5">
        <f>E15-D15</f>
        <v>49761</v>
      </c>
      <c r="F18" s="5">
        <f>F15-E15</f>
        <v>39353</v>
      </c>
      <c r="G18" s="5"/>
      <c r="H18" s="5">
        <f>H15-F15</f>
        <v>21670</v>
      </c>
      <c r="I18" s="5">
        <f>I15-H15</f>
        <v>-10254</v>
      </c>
      <c r="J18" s="15">
        <f>J15-I15</f>
        <v>0</v>
      </c>
      <c r="K18" s="1"/>
      <c r="L18" s="1"/>
    </row>
    <row r="19">
      <c r="A19" s="1"/>
      <c r="B19" s="1" t="s">
        <v>407</v>
      </c>
      <c r="C19" s="35">
        <v>179707</v>
      </c>
      <c r="D19" s="35">
        <v>192933</v>
      </c>
      <c r="E19" s="35">
        <v>225624</v>
      </c>
      <c r="F19" s="35">
        <v>227935</v>
      </c>
      <c r="G19" s="5">
        <f>F19</f>
        <v>227935</v>
      </c>
      <c r="H19" s="35">
        <v>221711</v>
      </c>
      <c r="I19" s="35">
        <v>243168</v>
      </c>
      <c r="J19" s="15">
        <f>I19*(1+J20)</f>
        <v>243168</v>
      </c>
      <c r="K19" s="1" t="s">
        <v>318</v>
      </c>
      <c r="L19" s="1"/>
    </row>
    <row r="20">
      <c r="A20" s="1"/>
      <c r="B20" s="6" t="s">
        <v>124</v>
      </c>
      <c r="C20" s="26"/>
      <c r="D20" s="26">
        <f>D19/C19-1</f>
        <v>0.07359757828020053</v>
      </c>
      <c r="E20" s="26">
        <f>E19/D19-1</f>
        <v>0.16944224160719012</v>
      </c>
      <c r="F20" s="26">
        <f>F19/E19-1</f>
        <v>0.010242704676807435</v>
      </c>
      <c r="G20" s="26"/>
      <c r="H20" s="26">
        <f>H19/F19-1</f>
        <v>-0.02730603022791589</v>
      </c>
      <c r="I20" s="26">
        <f>I19/H19-1</f>
        <v>0.0967791404125189</v>
      </c>
      <c r="J20" s="202">
        <v>0</v>
      </c>
      <c r="K20" s="1"/>
      <c r="L20" s="1"/>
    </row>
    <row r="21">
      <c r="A21" s="1"/>
      <c r="B21" s="1" t="s">
        <v>139</v>
      </c>
      <c r="C21" s="5"/>
      <c r="D21" s="5"/>
      <c r="E21" s="5"/>
      <c r="F21" s="5"/>
      <c r="G21" s="5"/>
      <c r="H21" s="5">
        <f>H19-C19</f>
        <v>42004</v>
      </c>
      <c r="I21" s="5">
        <f>I19-D19</f>
        <v>50235</v>
      </c>
      <c r="J21" s="15">
        <f>J19-E19</f>
        <v>17544</v>
      </c>
      <c r="K21" s="1"/>
      <c r="L21" s="1"/>
    </row>
    <row r="22">
      <c r="A22" s="1"/>
      <c r="B22" s="1" t="s">
        <v>140</v>
      </c>
      <c r="C22" s="5"/>
      <c r="D22" s="5">
        <f>D19-C19</f>
        <v>13226</v>
      </c>
      <c r="E22" s="5">
        <f>E19-D19</f>
        <v>32691</v>
      </c>
      <c r="F22" s="5">
        <f>F19-E19</f>
        <v>2311</v>
      </c>
      <c r="G22" s="5"/>
      <c r="H22" s="5">
        <f>H19-F19</f>
        <v>-6224</v>
      </c>
      <c r="I22" s="5">
        <f>I19-H19</f>
        <v>21457</v>
      </c>
      <c r="J22" s="15">
        <f>J19-I19</f>
        <v>0</v>
      </c>
      <c r="K22" s="1"/>
      <c r="L22" s="1"/>
    </row>
    <row r="23" ht="29.25">
      <c r="A23" s="1"/>
      <c r="B23" s="191" t="s">
        <v>408</v>
      </c>
      <c r="C23" s="35">
        <v>176229</v>
      </c>
      <c r="D23" s="35">
        <v>184869</v>
      </c>
      <c r="E23" s="35">
        <v>206682</v>
      </c>
      <c r="F23" s="35">
        <v>213573</v>
      </c>
      <c r="G23" s="5">
        <f>F23</f>
        <v>213573</v>
      </c>
      <c r="H23" s="35">
        <v>222873</v>
      </c>
      <c r="I23" s="35">
        <v>250326</v>
      </c>
      <c r="J23" s="15">
        <f>I23*(1+J24)</f>
        <v>255332.52000000002</v>
      </c>
      <c r="K23" s="1" t="s">
        <v>318</v>
      </c>
      <c r="L23" s="1"/>
    </row>
    <row r="24">
      <c r="A24" s="1"/>
      <c r="B24" s="6" t="s">
        <v>124</v>
      </c>
      <c r="C24" s="26"/>
      <c r="D24" s="26">
        <f>D23/C23-1</f>
        <v>0.04902711812471283</v>
      </c>
      <c r="E24" s="26">
        <f>E23/D23-1</f>
        <v>0.11799165895850572</v>
      </c>
      <c r="F24" s="26">
        <f>F23/E23-1</f>
        <v>0.03334107469445824</v>
      </c>
      <c r="G24" s="26"/>
      <c r="H24" s="26">
        <f>H23/F23-1</f>
        <v>0.043544830104929044</v>
      </c>
      <c r="I24" s="26">
        <f>I23/H23-1</f>
        <v>0.12317777388916551</v>
      </c>
      <c r="J24" s="106">
        <v>0.02</v>
      </c>
      <c r="K24" s="1"/>
      <c r="L24" s="1"/>
    </row>
    <row r="25">
      <c r="A25" s="1"/>
      <c r="B25" s="1" t="s">
        <v>139</v>
      </c>
      <c r="C25" s="5"/>
      <c r="D25" s="5"/>
      <c r="E25" s="5"/>
      <c r="F25" s="5"/>
      <c r="G25" s="5"/>
      <c r="H25" s="5">
        <f>H23-C23</f>
        <v>46644</v>
      </c>
      <c r="I25" s="5">
        <f>I23-D23</f>
        <v>65457</v>
      </c>
      <c r="J25" s="15">
        <f>J23-E23</f>
        <v>48650.52000000002</v>
      </c>
      <c r="K25" s="1"/>
      <c r="L25" s="1"/>
    </row>
    <row r="26">
      <c r="A26" s="1"/>
      <c r="B26" s="1" t="s">
        <v>140</v>
      </c>
      <c r="C26" s="5"/>
      <c r="D26" s="5">
        <f>D23-C23</f>
        <v>8640</v>
      </c>
      <c r="E26" s="5">
        <f>E23-D23</f>
        <v>21813</v>
      </c>
      <c r="F26" s="5">
        <f>F23-E23</f>
        <v>6891</v>
      </c>
      <c r="G26" s="5"/>
      <c r="H26" s="5">
        <f>H23-F23</f>
        <v>9300</v>
      </c>
      <c r="I26" s="5">
        <f>I23-H23</f>
        <v>27453</v>
      </c>
      <c r="J26" s="15">
        <f>J23-I23</f>
        <v>5006.520000000019</v>
      </c>
      <c r="K26" s="1"/>
      <c r="L26" s="1"/>
    </row>
    <row r="27" ht="29.25">
      <c r="A27" s="1"/>
      <c r="B27" s="191" t="s">
        <v>409</v>
      </c>
      <c r="C27" s="35">
        <v>227227</v>
      </c>
      <c r="D27" s="35">
        <v>221493</v>
      </c>
      <c r="E27" s="35">
        <v>214232</v>
      </c>
      <c r="F27" s="35">
        <v>208023</v>
      </c>
      <c r="G27" s="5">
        <f>F27</f>
        <v>208023</v>
      </c>
      <c r="H27" s="35">
        <v>204080</v>
      </c>
      <c r="I27" s="35">
        <v>198573</v>
      </c>
      <c r="J27" s="15">
        <f>I27*(1+J28)</f>
        <v>194601.54</v>
      </c>
      <c r="K27" s="1" t="s">
        <v>318</v>
      </c>
      <c r="L27" s="1"/>
    </row>
    <row r="28">
      <c r="A28" s="1"/>
      <c r="B28" s="6" t="s">
        <v>124</v>
      </c>
      <c r="C28" s="26"/>
      <c r="D28" s="26">
        <f>D27/C27-1</f>
        <v>-0.02523467721705608</v>
      </c>
      <c r="E28" s="26">
        <f>E27/D27-1</f>
        <v>-0.03278207437706837</v>
      </c>
      <c r="F28" s="26">
        <f>F27/E27-1</f>
        <v>-0.02898259830464167</v>
      </c>
      <c r="G28" s="26"/>
      <c r="H28" s="26">
        <f>H27/F27-1</f>
        <v>-0.018954634824033922</v>
      </c>
      <c r="I28" s="26">
        <f>I27/H27-1</f>
        <v>-0.026984515876127046</v>
      </c>
      <c r="J28" s="106">
        <v>-0.02</v>
      </c>
      <c r="K28" s="1"/>
      <c r="L28" s="1"/>
    </row>
    <row r="29">
      <c r="A29" s="1"/>
      <c r="B29" s="1" t="s">
        <v>139</v>
      </c>
      <c r="C29" s="5"/>
      <c r="D29" s="5"/>
      <c r="E29" s="5"/>
      <c r="F29" s="5"/>
      <c r="G29" s="5"/>
      <c r="H29" s="5">
        <f>H27-C27</f>
        <v>-23147</v>
      </c>
      <c r="I29" s="5">
        <f>I27-D27</f>
        <v>-22920</v>
      </c>
      <c r="J29" s="15">
        <f>J27-E27</f>
        <v>-19630.459999999992</v>
      </c>
      <c r="K29" s="1"/>
      <c r="L29" s="1"/>
    </row>
    <row r="30">
      <c r="A30" s="1"/>
      <c r="B30" s="1" t="s">
        <v>140</v>
      </c>
      <c r="C30" s="5"/>
      <c r="D30" s="5">
        <f>D27-C27</f>
        <v>-5734</v>
      </c>
      <c r="E30" s="5">
        <f>E27-D27</f>
        <v>-7261</v>
      </c>
      <c r="F30" s="5">
        <f>F27-E27</f>
        <v>-6209</v>
      </c>
      <c r="G30" s="5"/>
      <c r="H30" s="5">
        <f>H27-F27</f>
        <v>-3943</v>
      </c>
      <c r="I30" s="5">
        <f>I27-H27</f>
        <v>-5507</v>
      </c>
      <c r="J30" s="15">
        <f>J27-I27</f>
        <v>-3971.459999999992</v>
      </c>
      <c r="K30" s="1"/>
      <c r="L30" s="1"/>
    </row>
    <row r="31">
      <c r="A31" s="1"/>
      <c r="B31" s="1" t="s">
        <v>410</v>
      </c>
      <c r="C31" s="35">
        <v>913842</v>
      </c>
      <c r="D31" s="35">
        <v>924418</v>
      </c>
      <c r="E31" s="35">
        <v>943102</v>
      </c>
      <c r="F31" s="35">
        <v>986167</v>
      </c>
      <c r="G31" s="5">
        <f>F31</f>
        <v>986167</v>
      </c>
      <c r="H31" s="35">
        <v>1016787</v>
      </c>
      <c r="I31" s="35">
        <v>1031115</v>
      </c>
      <c r="J31" s="15">
        <f>J117+J118</f>
        <v>1047685.8803269565</v>
      </c>
      <c r="K31" s="1" t="s">
        <v>318</v>
      </c>
      <c r="L31" s="1"/>
    </row>
    <row r="32">
      <c r="A32" s="1"/>
      <c r="B32" s="1" t="s">
        <v>139</v>
      </c>
      <c r="C32" s="5"/>
      <c r="D32" s="5"/>
      <c r="E32" s="5"/>
      <c r="F32" s="5"/>
      <c r="G32" s="5"/>
      <c r="H32" s="5">
        <f>H31-C31</f>
        <v>102945</v>
      </c>
      <c r="I32" s="5">
        <f>I31-D31</f>
        <v>106697</v>
      </c>
      <c r="J32" s="15">
        <f>J31-E31</f>
        <v>104583.88032695651</v>
      </c>
      <c r="K32" s="1"/>
      <c r="L32" s="1"/>
    </row>
    <row r="33">
      <c r="A33" s="1"/>
      <c r="B33" s="1" t="s">
        <v>140</v>
      </c>
      <c r="C33" s="5"/>
      <c r="D33" s="5">
        <f>D31-C31</f>
        <v>10576</v>
      </c>
      <c r="E33" s="5">
        <f>E31-D31</f>
        <v>18684</v>
      </c>
      <c r="F33" s="5">
        <f>F31-E31</f>
        <v>43065</v>
      </c>
      <c r="G33" s="5"/>
      <c r="H33" s="5">
        <f>H31-F31</f>
        <v>30620</v>
      </c>
      <c r="I33" s="5">
        <f>I31-H31</f>
        <v>14328</v>
      </c>
      <c r="J33" s="15">
        <f>J31-I31</f>
        <v>16570.88032695651</v>
      </c>
      <c r="K33" s="1"/>
      <c r="L33" s="1"/>
    </row>
    <row r="34" ht="54.75">
      <c r="A34" s="1"/>
      <c r="B34" s="191" t="s">
        <v>411</v>
      </c>
      <c r="C34" s="35">
        <v>-14029</v>
      </c>
      <c r="D34" s="35">
        <v>-13961</v>
      </c>
      <c r="E34" s="35">
        <v>-13744</v>
      </c>
      <c r="F34" s="35">
        <v>-13797</v>
      </c>
      <c r="G34" s="5">
        <f>F34</f>
        <v>-13797</v>
      </c>
      <c r="H34" s="35">
        <v>-13864</v>
      </c>
      <c r="I34" s="35">
        <v>-13905</v>
      </c>
      <c r="J34" s="46">
        <f>I34-'Income Statement'!J155</f>
        <v>-14035</v>
      </c>
      <c r="K34" s="1" t="s">
        <v>318</v>
      </c>
      <c r="L34" s="1"/>
    </row>
    <row r="35">
      <c r="A35" s="1"/>
      <c r="B35" s="1" t="s">
        <v>139</v>
      </c>
      <c r="C35" s="5"/>
      <c r="D35" s="5"/>
      <c r="E35" s="5"/>
      <c r="F35" s="5"/>
      <c r="G35" s="5"/>
      <c r="H35" s="5">
        <f>H34-C34</f>
        <v>165</v>
      </c>
      <c r="I35" s="5">
        <f>I34-D34</f>
        <v>56</v>
      </c>
      <c r="J35" s="15">
        <f>J34-E34</f>
        <v>-291</v>
      </c>
      <c r="K35" s="1"/>
      <c r="L35" s="1"/>
    </row>
    <row r="36">
      <c r="A36" s="1"/>
      <c r="B36" s="1" t="s">
        <v>140</v>
      </c>
      <c r="C36" s="5"/>
      <c r="D36" s="5">
        <f>D34-C34</f>
        <v>68</v>
      </c>
      <c r="E36" s="5">
        <f>E34-D34</f>
        <v>217</v>
      </c>
      <c r="F36" s="5">
        <f>F34-E34</f>
        <v>-53</v>
      </c>
      <c r="G36" s="5"/>
      <c r="H36" s="5">
        <f>H34-F34</f>
        <v>-67</v>
      </c>
      <c r="I36" s="5">
        <f>I34-H34</f>
        <v>-41</v>
      </c>
      <c r="J36" s="15">
        <f>J34-I34</f>
        <v>-130</v>
      </c>
      <c r="K36" s="1"/>
      <c r="L36" s="1"/>
    </row>
    <row r="37">
      <c r="A37" s="1"/>
      <c r="B37" s="9" t="s">
        <v>412</v>
      </c>
      <c r="C37" s="17">
        <f>C31+C34</f>
        <v>899813</v>
      </c>
      <c r="D37" s="17">
        <f>D31+D34</f>
        <v>910457</v>
      </c>
      <c r="E37" s="17">
        <f>E31+E34</f>
        <v>929358</v>
      </c>
      <c r="F37" s="17">
        <f>F31+F34</f>
        <v>972370</v>
      </c>
      <c r="G37" s="17">
        <f>G31+G34</f>
        <v>972370</v>
      </c>
      <c r="H37" s="17">
        <f>H31+H34</f>
        <v>1002923</v>
      </c>
      <c r="I37" s="17">
        <f>I31+I34</f>
        <v>1017210</v>
      </c>
      <c r="J37" s="42">
        <f>J31+J34</f>
        <v>1033650.8803269565</v>
      </c>
      <c r="K37" s="1"/>
      <c r="L37" s="1"/>
    </row>
    <row r="38">
      <c r="A38" s="1"/>
      <c r="B38" s="1" t="s">
        <v>413</v>
      </c>
      <c r="C38" s="35">
        <v>10357</v>
      </c>
      <c r="D38" s="35">
        <v>10768</v>
      </c>
      <c r="E38" s="35">
        <v>11040</v>
      </c>
      <c r="F38" s="35">
        <v>11395</v>
      </c>
      <c r="G38" s="5">
        <f>F38</f>
        <v>11395</v>
      </c>
      <c r="H38" s="35">
        <v>11499</v>
      </c>
      <c r="I38" s="35">
        <v>11631</v>
      </c>
      <c r="J38" s="15">
        <f>I38</f>
        <v>11631</v>
      </c>
      <c r="K38" s="1" t="s">
        <v>318</v>
      </c>
      <c r="L38" s="1"/>
    </row>
    <row r="39">
      <c r="A39" s="1"/>
      <c r="B39" s="1" t="s">
        <v>139</v>
      </c>
      <c r="C39" s="5"/>
      <c r="D39" s="5"/>
      <c r="E39" s="5"/>
      <c r="F39" s="5"/>
      <c r="G39" s="5"/>
      <c r="H39" s="5">
        <f>H38-C38</f>
        <v>1142</v>
      </c>
      <c r="I39" s="5">
        <f>I38-D38</f>
        <v>863</v>
      </c>
      <c r="J39" s="15">
        <f>J38-E38</f>
        <v>591</v>
      </c>
      <c r="K39" s="1"/>
      <c r="L39" s="1"/>
    </row>
    <row r="40">
      <c r="A40" s="1"/>
      <c r="B40" s="1" t="s">
        <v>140</v>
      </c>
      <c r="C40" s="5"/>
      <c r="D40" s="5">
        <f>D38-C38</f>
        <v>411</v>
      </c>
      <c r="E40" s="5">
        <f>E38-D38</f>
        <v>272</v>
      </c>
      <c r="F40" s="5">
        <f>F38-E38</f>
        <v>355</v>
      </c>
      <c r="G40" s="5"/>
      <c r="H40" s="5">
        <f>H38-F38</f>
        <v>104</v>
      </c>
      <c r="I40" s="5">
        <f>I38-H38</f>
        <v>132</v>
      </c>
      <c r="J40" s="15">
        <f>J38-I38</f>
        <v>0</v>
      </c>
      <c r="K40" s="1"/>
      <c r="L40" s="1"/>
    </row>
    <row r="41">
      <c r="A41" s="1"/>
      <c r="B41" s="1" t="s">
        <v>414</v>
      </c>
      <c r="C41" s="35">
        <v>25066</v>
      </c>
      <c r="D41" s="35">
        <v>25071</v>
      </c>
      <c r="E41" s="35">
        <v>25069</v>
      </c>
      <c r="F41" s="35">
        <v>24967</v>
      </c>
      <c r="G41" s="5">
        <f>F41</f>
        <v>24967</v>
      </c>
      <c r="H41" s="35">
        <v>24965</v>
      </c>
      <c r="I41" s="35">
        <v>24963</v>
      </c>
      <c r="J41" s="15">
        <f>I41</f>
        <v>24963</v>
      </c>
      <c r="K41" s="1" t="s">
        <v>318</v>
      </c>
      <c r="L41" s="1"/>
    </row>
    <row r="42">
      <c r="A42" s="1"/>
      <c r="B42" s="1" t="s">
        <v>139</v>
      </c>
      <c r="C42" s="5"/>
      <c r="D42" s="5"/>
      <c r="E42" s="5"/>
      <c r="F42" s="5"/>
      <c r="G42" s="5"/>
      <c r="H42" s="5">
        <f>H41-C41</f>
        <v>-101</v>
      </c>
      <c r="I42" s="5">
        <f>I41-D41</f>
        <v>-108</v>
      </c>
      <c r="J42" s="15">
        <f>J41-E41</f>
        <v>-106</v>
      </c>
      <c r="K42" s="1"/>
      <c r="L42" s="1"/>
    </row>
    <row r="43">
      <c r="A43" s="1"/>
      <c r="B43" s="1" t="s">
        <v>140</v>
      </c>
      <c r="C43" s="5"/>
      <c r="D43" s="5">
        <f>D41-C41</f>
        <v>5</v>
      </c>
      <c r="E43" s="5">
        <f>E41-D41</f>
        <v>-2</v>
      </c>
      <c r="F43" s="5">
        <f>F41-E41</f>
        <v>-102</v>
      </c>
      <c r="G43" s="5"/>
      <c r="H43" s="5">
        <f>H41-F41</f>
        <v>-2</v>
      </c>
      <c r="I43" s="5">
        <f>I41-H41</f>
        <v>-2</v>
      </c>
      <c r="J43" s="15">
        <f>J41-I41</f>
        <v>0</v>
      </c>
      <c r="K43" s="1"/>
      <c r="L43" s="1"/>
    </row>
    <row r="44">
      <c r="A44" s="1"/>
      <c r="B44" s="1" t="s">
        <v>415</v>
      </c>
      <c r="C44" s="35">
        <v>40281</v>
      </c>
      <c r="D44" s="35">
        <v>39051</v>
      </c>
      <c r="E44" s="35">
        <v>39267</v>
      </c>
      <c r="F44" s="35">
        <v>40932</v>
      </c>
      <c r="G44" s="5">
        <f>F44</f>
        <v>40932</v>
      </c>
      <c r="H44" s="35">
        <v>41126</v>
      </c>
      <c r="I44" s="35">
        <v>42378</v>
      </c>
      <c r="J44" s="15">
        <f>I44</f>
        <v>42378</v>
      </c>
      <c r="K44" s="1" t="s">
        <v>318</v>
      </c>
      <c r="L44" s="1"/>
    </row>
    <row r="45">
      <c r="A45" s="1"/>
      <c r="B45" s="1" t="s">
        <v>139</v>
      </c>
      <c r="C45" s="5"/>
      <c r="D45" s="5"/>
      <c r="E45" s="5"/>
      <c r="F45" s="5"/>
      <c r="G45" s="5"/>
      <c r="H45" s="5">
        <f>H44-C44</f>
        <v>845</v>
      </c>
      <c r="I45" s="5">
        <f>I44-D44</f>
        <v>3327</v>
      </c>
      <c r="J45" s="15">
        <f>J44-E44</f>
        <v>3111</v>
      </c>
      <c r="K45" s="1"/>
      <c r="L45" s="1"/>
    </row>
    <row r="46">
      <c r="A46" s="1"/>
      <c r="B46" s="1" t="s">
        <v>140</v>
      </c>
      <c r="C46" s="5"/>
      <c r="D46" s="5">
        <f>D44-C44</f>
        <v>-1230</v>
      </c>
      <c r="E46" s="5">
        <f>E44-D44</f>
        <v>216</v>
      </c>
      <c r="F46" s="5">
        <f>F44-E44</f>
        <v>1665</v>
      </c>
      <c r="G46" s="5"/>
      <c r="H46" s="5">
        <f>H44-F44</f>
        <v>194</v>
      </c>
      <c r="I46" s="5">
        <f>I44-H44</f>
        <v>1252</v>
      </c>
      <c r="J46" s="15">
        <f>J44-I44</f>
        <v>0</v>
      </c>
      <c r="K46" s="1"/>
      <c r="L46" s="1"/>
    </row>
    <row r="47">
      <c r="A47" s="1"/>
      <c r="B47" s="1" t="s">
        <v>416</v>
      </c>
      <c r="C47" s="35">
        <v>87236</v>
      </c>
      <c r="D47" s="35">
        <v>97251</v>
      </c>
      <c r="E47" s="35">
        <v>82753</v>
      </c>
      <c r="F47" s="35">
        <v>81297</v>
      </c>
      <c r="G47" s="5">
        <f>F47</f>
        <v>81297</v>
      </c>
      <c r="H47" s="35">
        <v>86192</v>
      </c>
      <c r="I47" s="35">
        <v>85232</v>
      </c>
      <c r="J47" s="15">
        <f>I47</f>
        <v>85232</v>
      </c>
      <c r="K47" s="1" t="s">
        <v>318</v>
      </c>
      <c r="L47" s="1"/>
    </row>
    <row r="48">
      <c r="A48" s="1"/>
      <c r="B48" s="1" t="s">
        <v>139</v>
      </c>
      <c r="C48" s="5"/>
      <c r="D48" s="5"/>
      <c r="E48" s="5"/>
      <c r="F48" s="5"/>
      <c r="G48" s="5"/>
      <c r="H48" s="5">
        <f>H47-C47</f>
        <v>-1044</v>
      </c>
      <c r="I48" s="5">
        <f>I47-D47</f>
        <v>-12019</v>
      </c>
      <c r="J48" s="15">
        <f>J47-E47</f>
        <v>2479</v>
      </c>
      <c r="K48" s="1"/>
      <c r="L48" s="1"/>
    </row>
    <row r="49">
      <c r="A49" s="1"/>
      <c r="B49" s="1" t="s">
        <v>140</v>
      </c>
      <c r="C49" s="5"/>
      <c r="D49" s="5">
        <f>D47-C47</f>
        <v>10015</v>
      </c>
      <c r="E49" s="5">
        <f>E47-D47</f>
        <v>-14498</v>
      </c>
      <c r="F49" s="5">
        <f>F47-E47</f>
        <v>-1456</v>
      </c>
      <c r="G49" s="5"/>
      <c r="H49" s="5">
        <f>H47-F47</f>
        <v>4895</v>
      </c>
      <c r="I49" s="5">
        <f>I47-H47</f>
        <v>-960</v>
      </c>
      <c r="J49" s="15">
        <f>J47-I47</f>
        <v>0</v>
      </c>
      <c r="K49" s="1"/>
      <c r="L49" s="1"/>
    </row>
    <row r="50">
      <c r="A50" s="1"/>
      <c r="B50" s="9" t="s">
        <v>417</v>
      </c>
      <c r="C50" s="17">
        <f>C9+C12+C15+C19+C23+C27+C37+C38+C41+C44+C47</f>
        <v>1950311</v>
      </c>
      <c r="D50" s="17">
        <f>D9+D12+D15+D19+D23+D27+D37+D38+D41+D44+D47</f>
        <v>1981269</v>
      </c>
      <c r="E50" s="17">
        <f>E9+E12+E15+E19+E23+E27+E37+E38+E41+E44+E47</f>
        <v>2062926</v>
      </c>
      <c r="F50" s="17">
        <f>F9+F12+F15+F19+F23+F27+F37+F38+F41+F44+F47</f>
        <v>2148631</v>
      </c>
      <c r="G50" s="17">
        <f>G9+G12+G15+G19+G23+G27+G37+G38+G41+G44+G47</f>
        <v>2148631</v>
      </c>
      <c r="H50" s="17">
        <f>H9+H12+H15+H19+H23+H27+H37+H38+H41+H44+H47</f>
        <v>2205752</v>
      </c>
      <c r="I50" s="17">
        <f>I9+I12+I15+I19+I23+I27+I37+I38+I41+I44+I47</f>
        <v>2282201</v>
      </c>
      <c r="J50" s="42">
        <f>J9+J12+J15+J19+J23+J27+J37+J38+J41+J44+J47</f>
        <v>2294987.4440168375</v>
      </c>
      <c r="K50" s="1"/>
      <c r="L50" s="1"/>
    </row>
    <row r="51">
      <c r="A51" s="1"/>
      <c r="B51" s="1" t="s">
        <v>146</v>
      </c>
      <c r="C51" s="5"/>
      <c r="D51" s="5"/>
      <c r="E51" s="5"/>
      <c r="F51" s="5"/>
      <c r="G51" s="5"/>
      <c r="H51" s="5">
        <f>H50-C50</f>
        <v>255441</v>
      </c>
      <c r="I51" s="5">
        <f>I50-D50</f>
        <v>300932</v>
      </c>
      <c r="J51" s="15">
        <f>J50-E50</f>
        <v>232061.44401683751</v>
      </c>
      <c r="K51" s="1"/>
      <c r="L51" s="1"/>
    </row>
    <row r="52">
      <c r="A52" s="1"/>
      <c r="B52" s="1" t="s">
        <v>147</v>
      </c>
      <c r="C52" s="5"/>
      <c r="D52" s="5">
        <f>D50-C50</f>
        <v>30958</v>
      </c>
      <c r="E52" s="5">
        <f>E50-D50</f>
        <v>81657</v>
      </c>
      <c r="F52" s="5">
        <f>F50-E50</f>
        <v>85705</v>
      </c>
      <c r="G52" s="5"/>
      <c r="H52" s="5">
        <f>H50-F50</f>
        <v>57121</v>
      </c>
      <c r="I52" s="5">
        <f>I50-H50</f>
        <v>76449</v>
      </c>
      <c r="J52" s="15">
        <f>J50-I50</f>
        <v>12786.444016837515</v>
      </c>
      <c r="K52" s="1"/>
      <c r="L52" s="1"/>
    </row>
    <row r="53">
      <c r="A53" s="1"/>
      <c r="B53" s="1" t="s">
        <v>418</v>
      </c>
      <c r="C53" s="35">
        <v>1950311</v>
      </c>
      <c r="D53" s="35">
        <v>1981269</v>
      </c>
      <c r="E53" s="35">
        <v>2062926</v>
      </c>
      <c r="F53" s="35">
        <v>2148631</v>
      </c>
      <c r="G53" s="5">
        <f>F53</f>
        <v>2148631</v>
      </c>
      <c r="H53" s="35">
        <v>2205752</v>
      </c>
      <c r="I53" s="35">
        <v>2282201</v>
      </c>
      <c r="J53" s="15"/>
      <c r="K53" s="1" t="s">
        <v>318</v>
      </c>
      <c r="L53" s="1"/>
    </row>
    <row r="54" ht="29.25">
      <c r="A54" s="1"/>
      <c r="B54" s="194" t="s">
        <v>225</v>
      </c>
      <c r="C54" s="197">
        <f>C50-C53</f>
        <v>0</v>
      </c>
      <c r="D54" s="197">
        <f>D50-D53</f>
        <v>0</v>
      </c>
      <c r="E54" s="197">
        <f>E50-E53</f>
        <v>0</v>
      </c>
      <c r="F54" s="197">
        <f>F50-F53</f>
        <v>0</v>
      </c>
      <c r="G54" s="197">
        <f>G50-G53</f>
        <v>0</v>
      </c>
      <c r="H54" s="197">
        <f>H50-H53</f>
        <v>0</v>
      </c>
      <c r="I54" s="197">
        <f>I50-I53</f>
        <v>0</v>
      </c>
      <c r="J54" s="40"/>
      <c r="K54" s="1"/>
      <c r="L54" s="1"/>
    </row>
    <row r="55">
      <c r="A55" s="1"/>
      <c r="B55" s="1"/>
      <c r="C55" s="13"/>
      <c r="D55" s="13"/>
      <c r="E55" s="13"/>
      <c r="F55" s="13"/>
      <c r="G55" s="13"/>
      <c r="H55" s="13"/>
      <c r="I55" s="13"/>
      <c r="J55" s="27"/>
      <c r="K55" s="1"/>
      <c r="L55" s="1"/>
    </row>
    <row r="56">
      <c r="A56" s="1"/>
      <c r="B56" s="9" t="s">
        <v>419</v>
      </c>
      <c r="C56" s="25"/>
      <c r="D56" s="25"/>
      <c r="E56" s="25"/>
      <c r="F56" s="25"/>
      <c r="G56" s="25"/>
      <c r="H56" s="25"/>
      <c r="I56" s="25"/>
      <c r="J56" s="37"/>
      <c r="K56" s="1"/>
      <c r="L56" s="1"/>
    </row>
    <row r="57">
      <c r="A57" s="1"/>
      <c r="B57" s="1" t="s">
        <v>420</v>
      </c>
      <c r="C57" s="35">
        <v>377443</v>
      </c>
      <c r="D57" s="35">
        <v>370844</v>
      </c>
      <c r="E57" s="35">
        <v>366814</v>
      </c>
      <c r="F57" s="35">
        <v>365368</v>
      </c>
      <c r="G57" s="5">
        <f>F57</f>
        <v>365368</v>
      </c>
      <c r="H57" s="35">
        <v>365712</v>
      </c>
      <c r="I57" s="35">
        <v>370116</v>
      </c>
      <c r="J57" s="15">
        <f>I57*(1+J58)</f>
        <v>370116</v>
      </c>
      <c r="K57" s="1" t="s">
        <v>318</v>
      </c>
      <c r="L57" s="1"/>
    </row>
    <row r="58">
      <c r="A58" s="1"/>
      <c r="B58" s="6" t="s">
        <v>124</v>
      </c>
      <c r="C58" s="26"/>
      <c r="D58" s="26">
        <f>D57/C57-1</f>
        <v>-0.01748343458482471</v>
      </c>
      <c r="E58" s="26">
        <f>E57/D57-1</f>
        <v>-0.010867103148493706</v>
      </c>
      <c r="F58" s="26">
        <f>F57/E57-1</f>
        <v>-0.003942052375318306</v>
      </c>
      <c r="G58" s="26"/>
      <c r="H58" s="26">
        <f>H57/F57-1</f>
        <v>0.000941516498434547</v>
      </c>
      <c r="I58" s="26">
        <f>I57/H57-1</f>
        <v>0.01204226276414233</v>
      </c>
      <c r="J58" s="202">
        <v>0</v>
      </c>
      <c r="K58" s="1"/>
      <c r="L58" s="1"/>
    </row>
    <row r="59">
      <c r="A59" s="1"/>
      <c r="B59" s="1" t="s">
        <v>139</v>
      </c>
      <c r="C59" s="5"/>
      <c r="D59" s="5"/>
      <c r="E59" s="5"/>
      <c r="F59" s="5"/>
      <c r="G59" s="5"/>
      <c r="H59" s="5">
        <f>H57-C57</f>
        <v>-11731</v>
      </c>
      <c r="I59" s="5">
        <f>I57-D57</f>
        <v>-728</v>
      </c>
      <c r="J59" s="15">
        <f>J57-E57</f>
        <v>3302</v>
      </c>
      <c r="K59" s="1"/>
      <c r="L59" s="1"/>
    </row>
    <row r="60">
      <c r="A60" s="1"/>
      <c r="B60" s="1" t="s">
        <v>140</v>
      </c>
      <c r="C60" s="5"/>
      <c r="D60" s="5">
        <f>D57-C57</f>
        <v>-6599</v>
      </c>
      <c r="E60" s="5">
        <f>E57-D57</f>
        <v>-4030</v>
      </c>
      <c r="F60" s="5">
        <f>F57-E57</f>
        <v>-1446</v>
      </c>
      <c r="G60" s="5"/>
      <c r="H60" s="5">
        <f>H57-F57</f>
        <v>344</v>
      </c>
      <c r="I60" s="5">
        <f>I57-H57</f>
        <v>4404</v>
      </c>
      <c r="J60" s="15">
        <f>J57-I57</f>
        <v>0</v>
      </c>
      <c r="K60" s="1"/>
      <c r="L60" s="1"/>
    </row>
    <row r="61">
      <c r="A61" s="1"/>
      <c r="B61" s="1" t="s">
        <v>421</v>
      </c>
      <c r="C61" s="35">
        <v>984285</v>
      </c>
      <c r="D61" s="35">
        <v>969859</v>
      </c>
      <c r="E61" s="35">
        <v>1000547</v>
      </c>
      <c r="F61" s="35">
        <v>1060839</v>
      </c>
      <c r="G61" s="5">
        <f>F61</f>
        <v>1060839</v>
      </c>
      <c r="H61" s="35">
        <v>1089227</v>
      </c>
      <c r="I61" s="35">
        <v>1131289</v>
      </c>
      <c r="J61" s="15">
        <f>J119+J120-J57</f>
        <v>1143433.8399999999</v>
      </c>
      <c r="K61" s="1" t="s">
        <v>318</v>
      </c>
      <c r="L61" s="1"/>
    </row>
    <row r="62">
      <c r="A62" s="1"/>
      <c r="B62" s="1" t="s">
        <v>139</v>
      </c>
      <c r="C62" s="5"/>
      <c r="D62" s="5"/>
      <c r="E62" s="5"/>
      <c r="F62" s="5"/>
      <c r="G62" s="5"/>
      <c r="H62" s="5">
        <f>H61-C61</f>
        <v>104942</v>
      </c>
      <c r="I62" s="5">
        <f>I61-D61</f>
        <v>161430</v>
      </c>
      <c r="J62" s="15">
        <f>J61-E61</f>
        <v>142886.83999999985</v>
      </c>
      <c r="K62" s="1"/>
      <c r="L62" s="1"/>
    </row>
    <row r="63">
      <c r="A63" s="1"/>
      <c r="B63" s="1" t="s">
        <v>140</v>
      </c>
      <c r="C63" s="5"/>
      <c r="D63" s="5">
        <f>D61-C61</f>
        <v>-14426</v>
      </c>
      <c r="E63" s="5">
        <f>E61-D61</f>
        <v>30688</v>
      </c>
      <c r="F63" s="5">
        <f>F61-E61</f>
        <v>60292</v>
      </c>
      <c r="G63" s="5"/>
      <c r="H63" s="5">
        <f>H61-F61</f>
        <v>28388</v>
      </c>
      <c r="I63" s="5">
        <f>I61-H61</f>
        <v>42062</v>
      </c>
      <c r="J63" s="15">
        <f>J61-I61</f>
        <v>12144.839999999851</v>
      </c>
      <c r="K63" s="1"/>
      <c r="L63" s="1"/>
    </row>
    <row r="64">
      <c r="A64" s="1"/>
      <c r="B64" s="9" t="s">
        <v>422</v>
      </c>
      <c r="C64" s="17">
        <f>C57+C61</f>
        <v>1361728</v>
      </c>
      <c r="D64" s="17">
        <f>D57+D61</f>
        <v>1340703</v>
      </c>
      <c r="E64" s="17">
        <f>E57+E61</f>
        <v>1367361</v>
      </c>
      <c r="F64" s="17">
        <f>F57+F61</f>
        <v>1426207</v>
      </c>
      <c r="G64" s="17">
        <f>G57+G61</f>
        <v>1426207</v>
      </c>
      <c r="H64" s="17">
        <f>H57+H61</f>
        <v>1454939</v>
      </c>
      <c r="I64" s="17">
        <f>I57+I61</f>
        <v>1501405</v>
      </c>
      <c r="J64" s="42">
        <f>J57+J61</f>
        <v>1513549.8399999999</v>
      </c>
      <c r="K64" s="1"/>
      <c r="L64" s="1"/>
    </row>
    <row r="65">
      <c r="A65" s="1"/>
      <c r="B65" s="1" t="s">
        <v>146</v>
      </c>
      <c r="C65" s="5"/>
      <c r="D65" s="5"/>
      <c r="E65" s="5"/>
      <c r="F65" s="5"/>
      <c r="G65" s="5"/>
      <c r="H65" s="5">
        <f>H64-C64</f>
        <v>93211</v>
      </c>
      <c r="I65" s="5">
        <f>I64-D64</f>
        <v>160702</v>
      </c>
      <c r="J65" s="15">
        <f>J64-E64</f>
        <v>146188.83999999985</v>
      </c>
      <c r="K65" s="1"/>
      <c r="L65" s="1"/>
    </row>
    <row r="66">
      <c r="A66" s="1"/>
      <c r="B66" s="1" t="s">
        <v>147</v>
      </c>
      <c r="C66" s="5"/>
      <c r="D66" s="5">
        <f>D64-C64</f>
        <v>-21025</v>
      </c>
      <c r="E66" s="5">
        <f>E64-D64</f>
        <v>26658</v>
      </c>
      <c r="F66" s="5">
        <f>F64-E64</f>
        <v>58846</v>
      </c>
      <c r="G66" s="5"/>
      <c r="H66" s="5">
        <f>H64-F64</f>
        <v>28732</v>
      </c>
      <c r="I66" s="5">
        <f>I64-H64</f>
        <v>46466</v>
      </c>
      <c r="J66" s="15">
        <f>J64-I64</f>
        <v>12144.839999999851</v>
      </c>
      <c r="K66" s="1"/>
      <c r="L66" s="1"/>
    </row>
    <row r="67" ht="29.25">
      <c r="A67" s="1"/>
      <c r="B67" s="194" t="s">
        <v>423</v>
      </c>
      <c r="C67" s="26">
        <f>C57/C64</f>
        <v>0.2771794367157024</v>
      </c>
      <c r="D67" s="26">
        <f>D57/D64</f>
        <v>0.27660413976846476</v>
      </c>
      <c r="E67" s="26">
        <f>E57/E64</f>
        <v>0.2682641965069941</v>
      </c>
      <c r="F67" s="26">
        <f>F57/F64</f>
        <v>0.2561816061763825</v>
      </c>
      <c r="G67" s="26">
        <f>G57/G64</f>
        <v>0.2561816061763825</v>
      </c>
      <c r="H67" s="26">
        <f>H57/H64</f>
        <v>0.25135899168281284</v>
      </c>
      <c r="I67" s="26">
        <f>I57/I64</f>
        <v>0.24651309939689825</v>
      </c>
      <c r="J67" s="47">
        <f>J57/J64</f>
        <v>0.24453505938066766</v>
      </c>
      <c r="K67" s="1"/>
      <c r="L67" s="1"/>
    </row>
    <row r="68">
      <c r="A68" s="1"/>
      <c r="B68" s="1" t="s">
        <v>151</v>
      </c>
      <c r="C68" s="5"/>
      <c r="D68" s="5"/>
      <c r="E68" s="5"/>
      <c r="F68" s="5"/>
      <c r="G68" s="5"/>
      <c r="H68" s="5">
        <f>(H67-C67)*10000</f>
        <v>-258.2044503288955</v>
      </c>
      <c r="I68" s="5">
        <f>(I67-D67)*10000</f>
        <v>-300.91040371566515</v>
      </c>
      <c r="J68" s="15">
        <f>(J67-E67)*10000</f>
        <v>-237.2913712632646</v>
      </c>
      <c r="K68" s="1"/>
      <c r="L68" s="1"/>
    </row>
    <row r="69">
      <c r="A69" s="1"/>
      <c r="B69" s="1" t="s">
        <v>152</v>
      </c>
      <c r="C69" s="5"/>
      <c r="D69" s="5">
        <f>(D67-C67)*10000</f>
        <v>-5.752969472376246</v>
      </c>
      <c r="E69" s="5">
        <f>(E67-D67)*10000</f>
        <v>-83.3994326147064</v>
      </c>
      <c r="F69" s="5">
        <f>(F67-E67)*10000</f>
        <v>-120.82590330611598</v>
      </c>
      <c r="G69" s="5"/>
      <c r="H69" s="5">
        <f>(H67-F67)*10000</f>
        <v>-48.22614493569688</v>
      </c>
      <c r="I69" s="5">
        <f>(I67-H67)*10000</f>
        <v>-48.45892285914588</v>
      </c>
      <c r="J69" s="15">
        <f>(J67-I67)*10000</f>
        <v>-19.780400162305867</v>
      </c>
      <c r="K69" s="1"/>
      <c r="L69" s="1"/>
    </row>
    <row r="70" ht="29.25">
      <c r="A70" s="1"/>
      <c r="B70" s="191" t="s">
        <v>424</v>
      </c>
      <c r="C70" s="35">
        <v>124825</v>
      </c>
      <c r="D70" s="35">
        <v>161618</v>
      </c>
      <c r="E70" s="35">
        <v>202274</v>
      </c>
      <c r="F70" s="35">
        <v>232687</v>
      </c>
      <c r="G70" s="5">
        <f>F70</f>
        <v>232687</v>
      </c>
      <c r="H70" s="35">
        <v>234371</v>
      </c>
      <c r="I70" s="35">
        <v>251804</v>
      </c>
      <c r="J70" s="15">
        <f>I70</f>
        <v>251804</v>
      </c>
      <c r="K70" s="1" t="s">
        <v>318</v>
      </c>
      <c r="L70" s="1"/>
    </row>
    <row r="71">
      <c r="A71" s="1"/>
      <c r="B71" s="1" t="s">
        <v>139</v>
      </c>
      <c r="C71" s="5"/>
      <c r="D71" s="5"/>
      <c r="E71" s="5"/>
      <c r="F71" s="5"/>
      <c r="G71" s="5"/>
      <c r="H71" s="5">
        <f>H70-C70</f>
        <v>109546</v>
      </c>
      <c r="I71" s="5">
        <f>I70-D70</f>
        <v>90186</v>
      </c>
      <c r="J71" s="15">
        <f>J70-E70</f>
        <v>49530</v>
      </c>
      <c r="K71" s="1"/>
      <c r="L71" s="1"/>
    </row>
    <row r="72">
      <c r="A72" s="1"/>
      <c r="B72" s="1" t="s">
        <v>140</v>
      </c>
      <c r="C72" s="5"/>
      <c r="D72" s="5">
        <f>D70-C70</f>
        <v>36793</v>
      </c>
      <c r="E72" s="5">
        <f>E70-D70</f>
        <v>40656</v>
      </c>
      <c r="F72" s="5">
        <f>F70-E70</f>
        <v>30413</v>
      </c>
      <c r="G72" s="5"/>
      <c r="H72" s="5">
        <f>H70-F70</f>
        <v>1684</v>
      </c>
      <c r="I72" s="5">
        <f>I70-H70</f>
        <v>17433</v>
      </c>
      <c r="J72" s="15">
        <f>J70-I70</f>
        <v>0</v>
      </c>
      <c r="K72" s="1"/>
      <c r="L72" s="1"/>
    </row>
    <row r="73">
      <c r="A73" s="1"/>
      <c r="B73" s="1" t="s">
        <v>425</v>
      </c>
      <c r="C73" s="35">
        <v>2324</v>
      </c>
      <c r="D73" s="35">
        <v>13361</v>
      </c>
      <c r="E73" s="35">
        <v>16449</v>
      </c>
      <c r="F73" s="35">
        <v>18323</v>
      </c>
      <c r="G73" s="5">
        <f>F73</f>
        <v>18323</v>
      </c>
      <c r="H73" s="35">
        <v>32282</v>
      </c>
      <c r="I73" s="35">
        <v>25168</v>
      </c>
      <c r="J73" s="15">
        <f>I73</f>
        <v>25168</v>
      </c>
      <c r="K73" s="1" t="s">
        <v>318</v>
      </c>
      <c r="L73" s="1"/>
    </row>
    <row r="74">
      <c r="A74" s="1"/>
      <c r="B74" s="1" t="s">
        <v>139</v>
      </c>
      <c r="C74" s="5"/>
      <c r="D74" s="5"/>
      <c r="E74" s="5"/>
      <c r="F74" s="5"/>
      <c r="G74" s="5"/>
      <c r="H74" s="5">
        <f>H73-C73</f>
        <v>29958</v>
      </c>
      <c r="I74" s="5">
        <f>I73-D73</f>
        <v>11807</v>
      </c>
      <c r="J74" s="15">
        <f>J73-E73</f>
        <v>8719</v>
      </c>
      <c r="K74" s="1"/>
      <c r="L74" s="1"/>
    </row>
    <row r="75">
      <c r="A75" s="1"/>
      <c r="B75" s="1" t="s">
        <v>140</v>
      </c>
      <c r="C75" s="5"/>
      <c r="D75" s="5">
        <f>D73-C73</f>
        <v>11037</v>
      </c>
      <c r="E75" s="5">
        <f>E73-D73</f>
        <v>3088</v>
      </c>
      <c r="F75" s="5">
        <f>F73-E73</f>
        <v>1874</v>
      </c>
      <c r="G75" s="5"/>
      <c r="H75" s="5">
        <f>H73-F73</f>
        <v>13959</v>
      </c>
      <c r="I75" s="5">
        <f>I73-H73</f>
        <v>-7114</v>
      </c>
      <c r="J75" s="15">
        <f>J73-I73</f>
        <v>0</v>
      </c>
      <c r="K75" s="1"/>
      <c r="L75" s="1"/>
    </row>
    <row r="76">
      <c r="A76" s="1"/>
      <c r="B76" s="1" t="s">
        <v>426</v>
      </c>
      <c r="C76" s="35">
        <v>44878</v>
      </c>
      <c r="D76" s="35">
        <v>43531</v>
      </c>
      <c r="E76" s="35">
        <v>45258</v>
      </c>
      <c r="F76" s="35">
        <v>45468</v>
      </c>
      <c r="G76" s="5">
        <f>F76</f>
        <v>45468</v>
      </c>
      <c r="H76" s="35">
        <v>53647</v>
      </c>
      <c r="I76" s="35">
        <v>56631</v>
      </c>
      <c r="J76" s="15">
        <f>I76</f>
        <v>56631</v>
      </c>
      <c r="K76" s="1" t="s">
        <v>318</v>
      </c>
      <c r="L76" s="1"/>
    </row>
    <row r="77">
      <c r="A77" s="1"/>
      <c r="B77" s="1" t="s">
        <v>139</v>
      </c>
      <c r="C77" s="5"/>
      <c r="D77" s="5"/>
      <c r="E77" s="5"/>
      <c r="F77" s="5"/>
      <c r="G77" s="5"/>
      <c r="H77" s="5">
        <f>H76-C76</f>
        <v>8769</v>
      </c>
      <c r="I77" s="5">
        <f>I76-D76</f>
        <v>13100</v>
      </c>
      <c r="J77" s="15">
        <f>J76-E76</f>
        <v>11373</v>
      </c>
      <c r="K77" s="1"/>
      <c r="L77" s="1"/>
    </row>
    <row r="78">
      <c r="A78" s="1"/>
      <c r="B78" s="1" t="s">
        <v>140</v>
      </c>
      <c r="C78" s="5"/>
      <c r="D78" s="5">
        <f>D76-C76</f>
        <v>-1347</v>
      </c>
      <c r="E78" s="5">
        <f>E76-D76</f>
        <v>1727</v>
      </c>
      <c r="F78" s="5">
        <f>F76-E76</f>
        <v>210</v>
      </c>
      <c r="G78" s="5"/>
      <c r="H78" s="5">
        <f>H76-F76</f>
        <v>8179</v>
      </c>
      <c r="I78" s="5">
        <f>I76-H76</f>
        <v>2984</v>
      </c>
      <c r="J78" s="15">
        <f>J76-I76</f>
        <v>0</v>
      </c>
      <c r="K78" s="1"/>
      <c r="L78" s="1"/>
    </row>
    <row r="79" ht="29.25">
      <c r="A79" s="1"/>
      <c r="B79" s="191" t="s">
        <v>427</v>
      </c>
      <c r="C79" s="35">
        <v>59990</v>
      </c>
      <c r="D79" s="35">
        <v>62865</v>
      </c>
      <c r="E79" s="35">
        <v>70799</v>
      </c>
      <c r="F79" s="35">
        <v>68196</v>
      </c>
      <c r="G79" s="5">
        <f>F79</f>
        <v>68196</v>
      </c>
      <c r="H79" s="35">
        <v>66259</v>
      </c>
      <c r="I79" s="35">
        <v>82731</v>
      </c>
      <c r="J79" s="15">
        <f>I79</f>
        <v>82731</v>
      </c>
      <c r="K79" s="1" t="s">
        <v>318</v>
      </c>
      <c r="L79" s="1"/>
    </row>
    <row r="80">
      <c r="A80" s="1"/>
      <c r="B80" s="1" t="s">
        <v>139</v>
      </c>
      <c r="C80" s="5"/>
      <c r="D80" s="5"/>
      <c r="E80" s="5"/>
      <c r="F80" s="5"/>
      <c r="G80" s="5"/>
      <c r="H80" s="5">
        <f>H79-C79</f>
        <v>6269</v>
      </c>
      <c r="I80" s="5">
        <f>I79-D79</f>
        <v>19866</v>
      </c>
      <c r="J80" s="15">
        <f>J79-E79</f>
        <v>11932</v>
      </c>
      <c r="K80" s="1"/>
      <c r="L80" s="1"/>
    </row>
    <row r="81">
      <c r="A81" s="1"/>
      <c r="B81" s="1" t="s">
        <v>140</v>
      </c>
      <c r="C81" s="5"/>
      <c r="D81" s="5">
        <f>D79-C79</f>
        <v>2875</v>
      </c>
      <c r="E81" s="5">
        <f>E79-D79</f>
        <v>7934</v>
      </c>
      <c r="F81" s="5">
        <f>F79-E79</f>
        <v>-2603</v>
      </c>
      <c r="G81" s="5"/>
      <c r="H81" s="5">
        <f>H79-F79</f>
        <v>-1937</v>
      </c>
      <c r="I81" s="5">
        <f>I79-H79</f>
        <v>16472</v>
      </c>
      <c r="J81" s="15">
        <f>J79-I79</f>
        <v>0</v>
      </c>
      <c r="K81" s="1"/>
      <c r="L81" s="1"/>
    </row>
    <row r="82">
      <c r="A82" s="1"/>
      <c r="B82" s="1" t="s">
        <v>428</v>
      </c>
      <c r="C82" s="35">
        <v>173660</v>
      </c>
      <c r="D82" s="35">
        <v>176237</v>
      </c>
      <c r="E82" s="35">
        <v>177773</v>
      </c>
      <c r="F82" s="35">
        <v>174712</v>
      </c>
      <c r="G82" s="5">
        <f>F82</f>
        <v>174712</v>
      </c>
      <c r="H82" s="35">
        <v>183941</v>
      </c>
      <c r="I82" s="35">
        <v>182139</v>
      </c>
      <c r="J82" s="15">
        <f>I82</f>
        <v>182139</v>
      </c>
      <c r="K82" s="1" t="s">
        <v>318</v>
      </c>
      <c r="L82" s="1"/>
    </row>
    <row r="83">
      <c r="A83" s="1"/>
      <c r="B83" s="1" t="s">
        <v>139</v>
      </c>
      <c r="C83" s="5"/>
      <c r="D83" s="5"/>
      <c r="E83" s="5"/>
      <c r="F83" s="5"/>
      <c r="G83" s="5"/>
      <c r="H83" s="5">
        <f>H82-C82</f>
        <v>10281</v>
      </c>
      <c r="I83" s="5">
        <f>I82-D82</f>
        <v>5902</v>
      </c>
      <c r="J83" s="15">
        <f>J82-E82</f>
        <v>4366</v>
      </c>
      <c r="K83" s="1"/>
      <c r="L83" s="1"/>
    </row>
    <row r="84">
      <c r="A84" s="1"/>
      <c r="B84" s="1" t="s">
        <v>140</v>
      </c>
      <c r="C84" s="5"/>
      <c r="D84" s="5">
        <f>D82-C82</f>
        <v>2577</v>
      </c>
      <c r="E84" s="5">
        <f>E82-D82</f>
        <v>1536</v>
      </c>
      <c r="F84" s="5">
        <f>F82-E82</f>
        <v>-3061</v>
      </c>
      <c r="G84" s="5"/>
      <c r="H84" s="5">
        <f>H82-F82</f>
        <v>9229</v>
      </c>
      <c r="I84" s="5">
        <f>I82-H82</f>
        <v>-1802</v>
      </c>
      <c r="J84" s="15">
        <f>J82-I82</f>
        <v>0</v>
      </c>
      <c r="K84" s="1"/>
      <c r="L84" s="1"/>
    </row>
    <row r="85">
      <c r="A85" s="1"/>
      <c r="B85" s="9" t="s">
        <v>429</v>
      </c>
      <c r="C85" s="17">
        <f>C64+C70+C73+C76+C79+C82</f>
        <v>1767405</v>
      </c>
      <c r="D85" s="17">
        <f>D64+D70+D73+D76+D79+D82</f>
        <v>1798315</v>
      </c>
      <c r="E85" s="17">
        <f>E64+E70+E73+E76+E79+E82</f>
        <v>1879914</v>
      </c>
      <c r="F85" s="17">
        <f>F64+F70+F73+F76+F79+F82</f>
        <v>1965593</v>
      </c>
      <c r="G85" s="17">
        <f>G64+G70+G73+G76+G79+G82</f>
        <v>1965593</v>
      </c>
      <c r="H85" s="17">
        <f>H64+H70+H73+H76+H79+H82</f>
        <v>2025439</v>
      </c>
      <c r="I85" s="17">
        <f>I64+I70+I73+I76+I79+I82</f>
        <v>2099878</v>
      </c>
      <c r="J85" s="42">
        <f>J64+J70+J73+J76+J79+J82</f>
        <v>2112022.84</v>
      </c>
      <c r="K85" s="1"/>
      <c r="L85" s="1"/>
    </row>
    <row r="86">
      <c r="A86" s="1"/>
      <c r="B86" s="1"/>
      <c r="C86" s="13"/>
      <c r="D86" s="13"/>
      <c r="E86" s="13"/>
      <c r="F86" s="13"/>
      <c r="G86" s="13"/>
      <c r="H86" s="13"/>
      <c r="I86" s="13"/>
      <c r="J86" s="27"/>
      <c r="K86" s="1"/>
      <c r="L86" s="1"/>
    </row>
    <row r="87">
      <c r="A87" s="1"/>
      <c r="B87" s="9" t="s">
        <v>430</v>
      </c>
      <c r="C87" s="25"/>
      <c r="D87" s="25"/>
      <c r="E87" s="25"/>
      <c r="F87" s="25"/>
      <c r="G87" s="25"/>
      <c r="H87" s="25"/>
      <c r="I87" s="25"/>
      <c r="J87" s="37"/>
      <c r="K87" s="1"/>
      <c r="L87" s="1"/>
    </row>
    <row r="88">
      <c r="A88" s="1"/>
      <c r="B88" s="1" t="s">
        <v>431</v>
      </c>
      <c r="C88" s="35">
        <v>18608</v>
      </c>
      <c r="D88" s="35">
        <v>16608</v>
      </c>
      <c r="E88" s="35">
        <v>16608</v>
      </c>
      <c r="F88" s="35">
        <v>16608</v>
      </c>
      <c r="G88" s="5">
        <f>F88</f>
        <v>16608</v>
      </c>
      <c r="H88" s="35">
        <v>15348</v>
      </c>
      <c r="I88" s="35">
        <v>15348</v>
      </c>
      <c r="J88" s="15">
        <f>I88</f>
        <v>15348</v>
      </c>
      <c r="K88" s="1" t="s">
        <v>318</v>
      </c>
      <c r="L88" s="1"/>
    </row>
    <row r="89">
      <c r="A89" s="1"/>
      <c r="B89" s="1" t="s">
        <v>139</v>
      </c>
      <c r="C89" s="5"/>
      <c r="D89" s="5"/>
      <c r="E89" s="5"/>
      <c r="F89" s="5"/>
      <c r="G89" s="5"/>
      <c r="H89" s="5">
        <f>H88-C88</f>
        <v>-3260</v>
      </c>
      <c r="I89" s="5">
        <f>I88-D88</f>
        <v>-1260</v>
      </c>
      <c r="J89" s="15">
        <f>J88-E88</f>
        <v>-1260</v>
      </c>
      <c r="K89" s="1"/>
      <c r="L89" s="1"/>
    </row>
    <row r="90">
      <c r="A90" s="1"/>
      <c r="B90" s="1" t="s">
        <v>140</v>
      </c>
      <c r="C90" s="5"/>
      <c r="D90" s="5">
        <f>D88-C88</f>
        <v>-2000</v>
      </c>
      <c r="E90" s="5">
        <f>E88-D88</f>
        <v>0</v>
      </c>
      <c r="F90" s="5">
        <f>F88-E88</f>
        <v>0</v>
      </c>
      <c r="G90" s="5"/>
      <c r="H90" s="5">
        <f>H88-F88</f>
        <v>-1260</v>
      </c>
      <c r="I90" s="5">
        <f>I88-H88</f>
        <v>0</v>
      </c>
      <c r="J90" s="15">
        <f>J88-I88</f>
        <v>0</v>
      </c>
      <c r="K90" s="1"/>
      <c r="L90" s="1"/>
    </row>
    <row r="91">
      <c r="A91" s="1"/>
      <c r="B91" s="1" t="s">
        <v>432</v>
      </c>
      <c r="C91" s="35">
        <v>9136</v>
      </c>
      <c r="D91" s="35">
        <v>9136</v>
      </c>
      <c r="E91" s="35">
        <v>9136</v>
      </c>
      <c r="F91" s="35">
        <v>9136</v>
      </c>
      <c r="G91" s="5">
        <f>F91</f>
        <v>9136</v>
      </c>
      <c r="H91" s="35">
        <v>9136</v>
      </c>
      <c r="I91" s="35">
        <v>9136</v>
      </c>
      <c r="J91" s="15">
        <f>I91</f>
        <v>9136</v>
      </c>
      <c r="K91" s="1" t="s">
        <v>318</v>
      </c>
      <c r="L91" s="1"/>
    </row>
    <row r="92">
      <c r="A92" s="1"/>
      <c r="B92" s="1" t="s">
        <v>139</v>
      </c>
      <c r="C92" s="5"/>
      <c r="D92" s="5"/>
      <c r="E92" s="5"/>
      <c r="F92" s="5"/>
      <c r="G92" s="5"/>
      <c r="H92" s="5">
        <f>H91-C91</f>
        <v>0</v>
      </c>
      <c r="I92" s="5">
        <f>I91-D91</f>
        <v>0</v>
      </c>
      <c r="J92" s="15">
        <f>J91-E91</f>
        <v>0</v>
      </c>
      <c r="K92" s="1"/>
      <c r="L92" s="1"/>
    </row>
    <row r="93">
      <c r="A93" s="1"/>
      <c r="B93" s="1" t="s">
        <v>140</v>
      </c>
      <c r="C93" s="5"/>
      <c r="D93" s="5">
        <f>D91-C91</f>
        <v>0</v>
      </c>
      <c r="E93" s="5">
        <f>E91-D91</f>
        <v>0</v>
      </c>
      <c r="F93" s="5">
        <f>F91-E91</f>
        <v>0</v>
      </c>
      <c r="G93" s="5"/>
      <c r="H93" s="5">
        <f>H91-F91</f>
        <v>0</v>
      </c>
      <c r="I93" s="5">
        <f>I91-H91</f>
        <v>0</v>
      </c>
      <c r="J93" s="15">
        <f>J91-I91</f>
        <v>0</v>
      </c>
      <c r="K93" s="1"/>
      <c r="L93" s="1"/>
    </row>
    <row r="94">
      <c r="A94" s="1"/>
      <c r="B94" s="1" t="s">
        <v>433</v>
      </c>
      <c r="C94" s="35">
        <v>60275</v>
      </c>
      <c r="D94" s="35">
        <v>60669</v>
      </c>
      <c r="E94" s="35">
        <v>61016</v>
      </c>
      <c r="F94" s="35">
        <v>61288</v>
      </c>
      <c r="G94" s="5">
        <f>F94</f>
        <v>61288</v>
      </c>
      <c r="H94" s="35">
        <v>60852</v>
      </c>
      <c r="I94" s="35">
        <v>61192</v>
      </c>
      <c r="J94" s="15">
        <f>I94</f>
        <v>61192</v>
      </c>
      <c r="K94" s="1" t="s">
        <v>318</v>
      </c>
      <c r="L94" s="1"/>
    </row>
    <row r="95">
      <c r="A95" s="1"/>
      <c r="B95" s="1" t="s">
        <v>139</v>
      </c>
      <c r="C95" s="5"/>
      <c r="D95" s="5"/>
      <c r="E95" s="5"/>
      <c r="F95" s="5"/>
      <c r="G95" s="5"/>
      <c r="H95" s="5">
        <f>H94-C94</f>
        <v>577</v>
      </c>
      <c r="I95" s="5">
        <f>I94-D94</f>
        <v>523</v>
      </c>
      <c r="J95" s="15">
        <f>J94-E94</f>
        <v>176</v>
      </c>
      <c r="K95" s="1"/>
      <c r="L95" s="1"/>
    </row>
    <row r="96">
      <c r="A96" s="1"/>
      <c r="B96" s="1" t="s">
        <v>140</v>
      </c>
      <c r="C96" s="5"/>
      <c r="D96" s="5">
        <f>D94-C94</f>
        <v>394</v>
      </c>
      <c r="E96" s="5">
        <f>E94-D94</f>
        <v>347</v>
      </c>
      <c r="F96" s="5">
        <f>F94-E94</f>
        <v>272</v>
      </c>
      <c r="G96" s="5"/>
      <c r="H96" s="5">
        <f>H94-F94</f>
        <v>-436</v>
      </c>
      <c r="I96" s="5">
        <f>I94-H94</f>
        <v>340</v>
      </c>
      <c r="J96" s="15">
        <f>J94-I94</f>
        <v>0</v>
      </c>
      <c r="K96" s="1"/>
      <c r="L96" s="1"/>
    </row>
    <row r="97" ht="42">
      <c r="A97" s="1"/>
      <c r="B97" s="119" t="s">
        <v>434</v>
      </c>
      <c r="C97" s="35">
        <v>217405</v>
      </c>
      <c r="D97" s="35">
        <v>221308</v>
      </c>
      <c r="E97" s="35">
        <v>225189</v>
      </c>
      <c r="F97" s="35">
        <v>228873</v>
      </c>
      <c r="G97" s="5">
        <f>F97</f>
        <v>228873</v>
      </c>
      <c r="H97" s="35">
        <v>232459</v>
      </c>
      <c r="I97" s="35">
        <v>237230</v>
      </c>
      <c r="J97" s="46">
        <f>I97+'Income Statement'!J217-'Income Statement'!J222-'Income Statement'!J241*'Share Count'!J33</f>
        <v>241341.6040168378</v>
      </c>
      <c r="K97" s="1" t="s">
        <v>318</v>
      </c>
      <c r="L97" s="1"/>
    </row>
    <row r="98">
      <c r="A98" s="1"/>
      <c r="B98" s="1" t="s">
        <v>139</v>
      </c>
      <c r="C98" s="5"/>
      <c r="D98" s="5"/>
      <c r="E98" s="5"/>
      <c r="F98" s="5"/>
      <c r="G98" s="5"/>
      <c r="H98" s="5">
        <f>H97-C97</f>
        <v>15054</v>
      </c>
      <c r="I98" s="5">
        <f>I97-D97</f>
        <v>15922</v>
      </c>
      <c r="J98" s="15">
        <f>J97-E97</f>
        <v>16152.60401683781</v>
      </c>
      <c r="K98" s="1"/>
      <c r="L98" s="1"/>
    </row>
    <row r="99">
      <c r="A99" s="1"/>
      <c r="B99" s="1" t="s">
        <v>140</v>
      </c>
      <c r="C99" s="5"/>
      <c r="D99" s="5">
        <f>D97-C97</f>
        <v>3903</v>
      </c>
      <c r="E99" s="5">
        <f>E97-D97</f>
        <v>3881</v>
      </c>
      <c r="F99" s="5">
        <f>F97-E97</f>
        <v>3684</v>
      </c>
      <c r="G99" s="5"/>
      <c r="H99" s="5">
        <f>H97-F97</f>
        <v>3586</v>
      </c>
      <c r="I99" s="5">
        <f>I97-H97</f>
        <v>4771</v>
      </c>
      <c r="J99" s="15">
        <f>J97-I97</f>
        <v>4111.6040168378095</v>
      </c>
      <c r="K99" s="1"/>
      <c r="L99" s="1"/>
    </row>
    <row r="100" ht="29.25">
      <c r="A100" s="1"/>
      <c r="B100" s="191" t="s">
        <v>435</v>
      </c>
      <c r="C100" s="35">
        <v>-9998</v>
      </c>
      <c r="D100" s="35">
        <v>-9366</v>
      </c>
      <c r="E100" s="35">
        <v>-7647</v>
      </c>
      <c r="F100" s="35">
        <v>-6673</v>
      </c>
      <c r="G100" s="5">
        <f>F100</f>
        <v>-6673</v>
      </c>
      <c r="H100" s="35">
        <v>-7922</v>
      </c>
      <c r="I100" s="35">
        <v>-8277</v>
      </c>
      <c r="J100" s="15">
        <f>I100</f>
        <v>-8277</v>
      </c>
      <c r="K100" s="1" t="s">
        <v>318</v>
      </c>
      <c r="L100" s="1"/>
    </row>
    <row r="101">
      <c r="A101" s="1"/>
      <c r="B101" s="1" t="s">
        <v>139</v>
      </c>
      <c r="C101" s="5"/>
      <c r="D101" s="5"/>
      <c r="E101" s="5"/>
      <c r="F101" s="5"/>
      <c r="G101" s="5"/>
      <c r="H101" s="5">
        <f>H100-C100</f>
        <v>2076</v>
      </c>
      <c r="I101" s="5">
        <f>I100-D100</f>
        <v>1089</v>
      </c>
      <c r="J101" s="15">
        <f>J100-E100</f>
        <v>-630</v>
      </c>
      <c r="K101" s="1"/>
      <c r="L101" s="1"/>
    </row>
    <row r="102">
      <c r="A102" s="1"/>
      <c r="B102" s="1" t="s">
        <v>140</v>
      </c>
      <c r="C102" s="5"/>
      <c r="D102" s="5">
        <f>D100-C100</f>
        <v>632</v>
      </c>
      <c r="E102" s="5">
        <f>E100-D100</f>
        <v>1719</v>
      </c>
      <c r="F102" s="5">
        <f>F100-E100</f>
        <v>974</v>
      </c>
      <c r="G102" s="5"/>
      <c r="H102" s="5">
        <f>H100-F100</f>
        <v>-1249</v>
      </c>
      <c r="I102" s="5">
        <f>I100-H100</f>
        <v>-355</v>
      </c>
      <c r="J102" s="15">
        <f>J100-I100</f>
        <v>0</v>
      </c>
      <c r="K102" s="1"/>
      <c r="L102" s="1"/>
    </row>
    <row r="103" ht="42">
      <c r="A103" s="1"/>
      <c r="B103" s="119" t="s">
        <v>436</v>
      </c>
      <c r="C103" s="35">
        <v>-114336</v>
      </c>
      <c r="D103" s="35">
        <v>-117244</v>
      </c>
      <c r="E103" s="35">
        <v>-123148</v>
      </c>
      <c r="F103" s="35">
        <v>-128115</v>
      </c>
      <c r="G103" s="5">
        <f>F103</f>
        <v>-128115</v>
      </c>
      <c r="H103" s="35">
        <v>-131477</v>
      </c>
      <c r="I103" s="35">
        <v>-134439</v>
      </c>
      <c r="J103" s="46">
        <f>I103-'Share Count'!J22</f>
        <v>-137939</v>
      </c>
      <c r="K103" s="1" t="s">
        <v>318</v>
      </c>
      <c r="L103" s="1"/>
    </row>
    <row r="104">
      <c r="A104" s="1"/>
      <c r="B104" s="1" t="s">
        <v>139</v>
      </c>
      <c r="C104" s="5"/>
      <c r="D104" s="5"/>
      <c r="E104" s="5"/>
      <c r="F104" s="5"/>
      <c r="G104" s="5"/>
      <c r="H104" s="5">
        <f>H103-C103</f>
        <v>-17141</v>
      </c>
      <c r="I104" s="5">
        <f>I103-D103</f>
        <v>-17195</v>
      </c>
      <c r="J104" s="15">
        <f>J103-E103</f>
        <v>-14791</v>
      </c>
      <c r="K104" s="1"/>
      <c r="L104" s="1"/>
    </row>
    <row r="105">
      <c r="A105" s="1"/>
      <c r="B105" s="1" t="s">
        <v>140</v>
      </c>
      <c r="C105" s="5"/>
      <c r="D105" s="5">
        <f>D103-C103</f>
        <v>-2908</v>
      </c>
      <c r="E105" s="5">
        <f>E103-D103</f>
        <v>-5904</v>
      </c>
      <c r="F105" s="5">
        <f>F103-E103</f>
        <v>-4967</v>
      </c>
      <c r="G105" s="5"/>
      <c r="H105" s="5">
        <f>H103-F103</f>
        <v>-3362</v>
      </c>
      <c r="I105" s="5">
        <f>I103-H103</f>
        <v>-2962</v>
      </c>
      <c r="J105" s="15">
        <f>J103-I103</f>
        <v>-3500</v>
      </c>
      <c r="K105" s="1"/>
      <c r="L105" s="1"/>
    </row>
    <row r="106" ht="29.25">
      <c r="A106" s="1"/>
      <c r="B106" s="193" t="s">
        <v>437</v>
      </c>
      <c r="C106" s="17">
        <f>C88+C91+C94+C97+C100+C103</f>
        <v>181090</v>
      </c>
      <c r="D106" s="17">
        <f>D88+D91+D94+D97+D100+D103</f>
        <v>181111</v>
      </c>
      <c r="E106" s="17">
        <f>E88+E91+E94+E97+E100+E103</f>
        <v>181154</v>
      </c>
      <c r="F106" s="17">
        <f>F88+F91+F94+F97+F100+F103</f>
        <v>181117</v>
      </c>
      <c r="G106" s="17">
        <f>G88+G91+G94+G97+G100+G103</f>
        <v>181117</v>
      </c>
      <c r="H106" s="17">
        <f>H88+H91+H94+H97+H100+H103</f>
        <v>178396</v>
      </c>
      <c r="I106" s="17">
        <f>I88+I91+I94+I97+I100+I103</f>
        <v>180190</v>
      </c>
      <c r="J106" s="42">
        <f>J88+J91+J94+J97+J100+J103</f>
        <v>180801.60401683778</v>
      </c>
      <c r="K106" s="1"/>
      <c r="L106" s="1"/>
    </row>
    <row r="107">
      <c r="A107" s="1"/>
      <c r="B107" s="1" t="s">
        <v>438</v>
      </c>
      <c r="C107" s="35">
        <v>1816</v>
      </c>
      <c r="D107" s="35">
        <v>1843</v>
      </c>
      <c r="E107" s="35">
        <v>1858</v>
      </c>
      <c r="F107" s="35">
        <v>1921</v>
      </c>
      <c r="G107" s="5">
        <f>F107</f>
        <v>1921</v>
      </c>
      <c r="H107" s="35">
        <v>1917</v>
      </c>
      <c r="I107" s="35">
        <v>2133</v>
      </c>
      <c r="J107" s="46">
        <f>I107+'Income Statement'!J214</f>
        <v>2163</v>
      </c>
      <c r="K107" s="1" t="s">
        <v>318</v>
      </c>
      <c r="L107" s="1"/>
    </row>
    <row r="108">
      <c r="A108" s="1"/>
      <c r="B108" s="1" t="s">
        <v>139</v>
      </c>
      <c r="C108" s="5"/>
      <c r="D108" s="5"/>
      <c r="E108" s="5"/>
      <c r="F108" s="5"/>
      <c r="G108" s="5"/>
      <c r="H108" s="5">
        <f>H107-C107</f>
        <v>101</v>
      </c>
      <c r="I108" s="5">
        <f>I107-D107</f>
        <v>290</v>
      </c>
      <c r="J108" s="15">
        <f>J107-E107</f>
        <v>305</v>
      </c>
      <c r="K108" s="1"/>
      <c r="L108" s="1"/>
    </row>
    <row r="109">
      <c r="A109" s="1"/>
      <c r="B109" s="1" t="s">
        <v>140</v>
      </c>
      <c r="C109" s="5"/>
      <c r="D109" s="5">
        <f>D107-C107</f>
        <v>27</v>
      </c>
      <c r="E109" s="5">
        <f>E107-D107</f>
        <v>15</v>
      </c>
      <c r="F109" s="5">
        <f>F107-E107</f>
        <v>63</v>
      </c>
      <c r="G109" s="5"/>
      <c r="H109" s="5">
        <f>H107-F107</f>
        <v>-4</v>
      </c>
      <c r="I109" s="5">
        <f>I107-H107</f>
        <v>216</v>
      </c>
      <c r="J109" s="15">
        <f>J107-I107</f>
        <v>30</v>
      </c>
      <c r="K109" s="1"/>
      <c r="L109" s="1"/>
    </row>
    <row r="110">
      <c r="A110" s="1"/>
      <c r="B110" s="9" t="s">
        <v>439</v>
      </c>
      <c r="C110" s="17">
        <f>C106+C107</f>
        <v>182906</v>
      </c>
      <c r="D110" s="17">
        <f>D106+D107</f>
        <v>182954</v>
      </c>
      <c r="E110" s="17">
        <f>E106+E107</f>
        <v>183012</v>
      </c>
      <c r="F110" s="17">
        <f>F106+F107</f>
        <v>183038</v>
      </c>
      <c r="G110" s="17">
        <f>G106+G107</f>
        <v>183038</v>
      </c>
      <c r="H110" s="17">
        <f>H106+H107</f>
        <v>180313</v>
      </c>
      <c r="I110" s="17">
        <f>I106+I107</f>
        <v>182323</v>
      </c>
      <c r="J110" s="42">
        <f>J106+J107</f>
        <v>182964.60401683778</v>
      </c>
      <c r="K110" s="1"/>
      <c r="L110" s="1"/>
    </row>
    <row r="111">
      <c r="A111" s="1"/>
      <c r="B111" s="9" t="s">
        <v>440</v>
      </c>
      <c r="C111" s="17">
        <f>C85+C110</f>
        <v>1950311</v>
      </c>
      <c r="D111" s="17">
        <f>D85+D110</f>
        <v>1981269</v>
      </c>
      <c r="E111" s="17">
        <f>E85+E110</f>
        <v>2062926</v>
      </c>
      <c r="F111" s="17">
        <f>F85+F110</f>
        <v>2148631</v>
      </c>
      <c r="G111" s="17">
        <f>G85+G110</f>
        <v>2148631</v>
      </c>
      <c r="H111" s="17">
        <f>H85+H110</f>
        <v>2205752</v>
      </c>
      <c r="I111" s="17">
        <f>I85+I110</f>
        <v>2282201</v>
      </c>
      <c r="J111" s="42">
        <f>J85+J110</f>
        <v>2294987.4440168375</v>
      </c>
      <c r="K111" s="1"/>
      <c r="L111" s="1"/>
    </row>
    <row r="112" ht="29.25">
      <c r="A112" s="1"/>
      <c r="B112" s="194" t="s">
        <v>441</v>
      </c>
      <c r="C112" s="197">
        <f>C50-C85-C110</f>
        <v>0</v>
      </c>
      <c r="D112" s="197">
        <f>D50-D85-D110</f>
        <v>0</v>
      </c>
      <c r="E112" s="197">
        <f>E50-E85-E110</f>
        <v>0</v>
      </c>
      <c r="F112" s="197">
        <f>F50-F85-F110</f>
        <v>0</v>
      </c>
      <c r="G112" s="197">
        <f>G50-G85-G110</f>
        <v>0</v>
      </c>
      <c r="H112" s="197">
        <f>H50-H85-H110</f>
        <v>0</v>
      </c>
      <c r="I112" s="197">
        <f>I50-I85-I110</f>
        <v>0</v>
      </c>
      <c r="J112" s="196">
        <f>J50-J85-J110</f>
        <v>0</v>
      </c>
      <c r="K112" s="1"/>
      <c r="L112" s="1"/>
    </row>
    <row r="113">
      <c r="A113" s="1"/>
      <c r="B113" s="1"/>
      <c r="C113" s="13"/>
      <c r="D113" s="13"/>
      <c r="E113" s="13"/>
      <c r="F113" s="13"/>
      <c r="G113" s="13"/>
      <c r="H113" s="13"/>
      <c r="I113" s="13"/>
      <c r="J113" s="27"/>
      <c r="K113" s="1"/>
      <c r="L113" s="1"/>
    </row>
    <row r="114">
      <c r="A114" s="1"/>
      <c r="B114" s="9" t="s">
        <v>442</v>
      </c>
      <c r="C114" s="25"/>
      <c r="D114" s="25"/>
      <c r="E114" s="25"/>
      <c r="F114" s="25"/>
      <c r="G114" s="25"/>
      <c r="H114" s="25"/>
      <c r="I114" s="25"/>
      <c r="J114" s="37"/>
      <c r="K114" s="1"/>
      <c r="L114" s="1"/>
    </row>
    <row r="115" ht="29.25">
      <c r="A115" s="1"/>
      <c r="B115" s="191" t="s">
        <v>443</v>
      </c>
      <c r="C115" s="35">
        <v>176178</v>
      </c>
      <c r="D115" s="35">
        <v>193133</v>
      </c>
      <c r="E115" s="35">
        <v>172516</v>
      </c>
      <c r="F115" s="35">
        <v>172593</v>
      </c>
      <c r="G115" s="5">
        <f>F115</f>
        <v>172593</v>
      </c>
      <c r="H115" s="35">
        <v>173273</v>
      </c>
      <c r="I115" s="35">
        <v>201461</v>
      </c>
      <c r="J115" s="15">
        <f>I115+(J9+J12)-(I9+I12)</f>
        <v>196771.50368988095</v>
      </c>
      <c r="K115" s="1" t="s">
        <v>444</v>
      </c>
      <c r="L115" s="1"/>
    </row>
    <row r="116" ht="29.25">
      <c r="A116" s="1"/>
      <c r="B116" s="191" t="s">
        <v>445</v>
      </c>
      <c r="C116" s="5">
        <f>C9+C12-C115</f>
        <v>1387</v>
      </c>
      <c r="D116" s="5">
        <f>D9+D12-D115</f>
        <v>1428</v>
      </c>
      <c r="E116" s="5">
        <f>E9+E12-E115</f>
        <v>1809</v>
      </c>
      <c r="F116" s="5">
        <f>F9+F12-F115</f>
        <v>1617</v>
      </c>
      <c r="G116" s="5">
        <f>G9+G12-G115</f>
        <v>1617</v>
      </c>
      <c r="H116" s="5">
        <f>H9+H12-H115</f>
        <v>1511</v>
      </c>
      <c r="I116" s="5">
        <f>I9+I12-I115</f>
        <v>1914</v>
      </c>
      <c r="J116" s="15">
        <f>J9+J12-J115</f>
        <v>1914</v>
      </c>
      <c r="K116" s="1"/>
      <c r="L116" s="1"/>
    </row>
    <row r="117" ht="29.25">
      <c r="A117" s="1"/>
      <c r="B117" s="191" t="s">
        <v>446</v>
      </c>
      <c r="C117" s="14">
        <f>'Segment - CBL'!C323+'Segment - Commercial Banking'!C166+'Segment - CIB'!C224+'Segment - WIM'!C135</f>
        <v>909347</v>
      </c>
      <c r="D117" s="14">
        <f>'Segment - CBL'!D323+'Segment - Commercial Banking'!D166+'Segment - CIB'!D224+'Segment - WIM'!D135</f>
        <v>921454</v>
      </c>
      <c r="E117" s="14">
        <f>'Segment - CBL'!E323+'Segment - Commercial Banking'!E166+'Segment - CIB'!E224+'Segment - WIM'!E135</f>
        <v>942181</v>
      </c>
      <c r="F117" s="14">
        <f>'Segment - CBL'!F323+'Segment - Commercial Banking'!F166+'Segment - CIB'!F224+'Segment - WIM'!F135</f>
        <v>985252</v>
      </c>
      <c r="G117" s="14">
        <f>'Segment - CBL'!G323+'Segment - Commercial Banking'!G166+'Segment - CIB'!G224+'Segment - WIM'!G135</f>
        <v>985252</v>
      </c>
      <c r="H117" s="14">
        <f>'Segment - CBL'!H323+'Segment - Commercial Banking'!H166+'Segment - CIB'!H224+'Segment - WIM'!H135</f>
        <v>1015825</v>
      </c>
      <c r="I117" s="14">
        <f>'Segment - CBL'!I323+'Segment - Commercial Banking'!I166+'Segment - CIB'!I224+'Segment - WIM'!I135</f>
        <v>1030303</v>
      </c>
      <c r="J117" s="46">
        <f>'Segment - CBL'!J323+'Segment - Commercial Banking'!J166+'Segment - CIB'!J224+'Segment - WIM'!J135</f>
        <v>1046873.8803269565</v>
      </c>
      <c r="K117" s="1"/>
      <c r="L117" s="1"/>
    </row>
    <row r="118" ht="29.25">
      <c r="A118" s="1"/>
      <c r="B118" s="191" t="s">
        <v>447</v>
      </c>
      <c r="C118" s="5">
        <f>C31-C117</f>
        <v>4495</v>
      </c>
      <c r="D118" s="5">
        <f>D31-D117</f>
        <v>2964</v>
      </c>
      <c r="E118" s="5">
        <f>E31-E117</f>
        <v>921</v>
      </c>
      <c r="F118" s="5">
        <f>F31-F117</f>
        <v>915</v>
      </c>
      <c r="G118" s="5">
        <f>G31-G117</f>
        <v>915</v>
      </c>
      <c r="H118" s="5">
        <f>H31-H117</f>
        <v>962</v>
      </c>
      <c r="I118" s="5">
        <f>I31-I117</f>
        <v>812</v>
      </c>
      <c r="J118" s="15">
        <f>I118</f>
        <v>812</v>
      </c>
      <c r="K118" s="1"/>
      <c r="L118" s="1"/>
    </row>
    <row r="119" ht="29.25">
      <c r="A119" s="1"/>
      <c r="B119" s="191" t="s">
        <v>448</v>
      </c>
      <c r="C119" s="14">
        <f>'Segment - CBL'!C331+'Segment - Commercial Banking'!C174+'Segment - CIB'!C232+'Segment - WIM'!C143</f>
        <v>1314092</v>
      </c>
      <c r="D119" s="14">
        <f>'Segment - CBL'!D331+'Segment - Commercial Banking'!D174+'Segment - CIB'!D232+'Segment - WIM'!D143</f>
        <v>1291786</v>
      </c>
      <c r="E119" s="14">
        <f>'Segment - CBL'!E331+'Segment - Commercial Banking'!E174+'Segment - CIB'!E232+'Segment - WIM'!E143</f>
        <v>1302954</v>
      </c>
      <c r="F119" s="14">
        <f>'Segment - CBL'!F331+'Segment - Commercial Banking'!F174+'Segment - CIB'!F232+'Segment - WIM'!F143</f>
        <v>1352728</v>
      </c>
      <c r="G119" s="14">
        <f>'Segment - CBL'!G331+'Segment - Commercial Banking'!G174+'Segment - CIB'!G232+'Segment - WIM'!G143</f>
        <v>1352728</v>
      </c>
      <c r="H119" s="14">
        <f>'Segment - CBL'!H331+'Segment - Commercial Banking'!H174+'Segment - CIB'!H232+'Segment - WIM'!H143</f>
        <v>1358518</v>
      </c>
      <c r="I119" s="14">
        <f>'Segment - CBL'!I331+'Segment - Commercial Banking'!I174+'Segment - CIB'!I232+'Segment - WIM'!I143</f>
        <v>1391666</v>
      </c>
      <c r="J119" s="46">
        <f>'Segment - CBL'!J331+'Segment - Commercial Banking'!J174+'Segment - CIB'!J232+'Segment - WIM'!J143</f>
        <v>1403810.8399999999</v>
      </c>
      <c r="K119" s="1"/>
      <c r="L119" s="1"/>
    </row>
    <row r="120" ht="29.25">
      <c r="A120" s="1"/>
      <c r="B120" s="191" t="s">
        <v>449</v>
      </c>
      <c r="C120" s="5">
        <f>C64-C119</f>
        <v>47636</v>
      </c>
      <c r="D120" s="5">
        <f>D64-D119</f>
        <v>48917</v>
      </c>
      <c r="E120" s="5">
        <f>E64-E119</f>
        <v>64407</v>
      </c>
      <c r="F120" s="5">
        <f>F64-F119</f>
        <v>73479</v>
      </c>
      <c r="G120" s="5">
        <f>G64-G119</f>
        <v>73479</v>
      </c>
      <c r="H120" s="5">
        <f>H64-H119</f>
        <v>96421</v>
      </c>
      <c r="I120" s="5">
        <f>I64-I119</f>
        <v>109739</v>
      </c>
      <c r="J120" s="15">
        <f>I120</f>
        <v>109739</v>
      </c>
      <c r="K120" s="1"/>
      <c r="L120" s="1"/>
    </row>
    <row r="121">
      <c r="A121" s="1"/>
      <c r="B121" s="6" t="s">
        <v>450</v>
      </c>
      <c r="C121" s="26">
        <f>C31/C64</f>
        <v>0.6710899680406073</v>
      </c>
      <c r="D121" s="26">
        <f>D31/D64</f>
        <v>0.6895024475965221</v>
      </c>
      <c r="E121" s="26">
        <f>E31/E64</f>
        <v>0.6897242205971942</v>
      </c>
      <c r="F121" s="26">
        <f>F31/F64</f>
        <v>0.691461337659961</v>
      </c>
      <c r="G121" s="26">
        <f>G31/G64</f>
        <v>0.691461337659961</v>
      </c>
      <c r="H121" s="26">
        <f>H31/H64</f>
        <v>0.698851979361334</v>
      </c>
      <c r="I121" s="26">
        <f>I31/I64</f>
        <v>0.6867667284976405</v>
      </c>
      <c r="J121" s="47">
        <f>J31/J64</f>
        <v>0.692204414178364</v>
      </c>
      <c r="K121" s="1"/>
      <c r="L121" s="1"/>
    </row>
    <row r="122">
      <c r="A122" s="1"/>
      <c r="B122" s="1" t="s">
        <v>151</v>
      </c>
      <c r="C122" s="5"/>
      <c r="D122" s="5"/>
      <c r="E122" s="5"/>
      <c r="F122" s="5"/>
      <c r="G122" s="5"/>
      <c r="H122" s="5">
        <f>(H121-C121)*10000</f>
        <v>277.62011320726754</v>
      </c>
      <c r="I122" s="5">
        <f>(I121-D121)*10000</f>
        <v>-27.35719098881595</v>
      </c>
      <c r="J122" s="15">
        <f>(J121-E121)*10000</f>
        <v>24.801935811697984</v>
      </c>
      <c r="K122" s="1"/>
      <c r="L122" s="1"/>
    </row>
    <row r="123">
      <c r="A123" s="1"/>
      <c r="B123" s="1" t="s">
        <v>152</v>
      </c>
      <c r="C123" s="5"/>
      <c r="D123" s="5">
        <f>(D121-C121)*10000</f>
        <v>184.1247955591485</v>
      </c>
      <c r="E123" s="5">
        <f>(E121-D121)*10000</f>
        <v>2.217730006720542</v>
      </c>
      <c r="F123" s="5">
        <f>(F121-E121)*10000</f>
        <v>17.371170627668022</v>
      </c>
      <c r="G123" s="5"/>
      <c r="H123" s="5">
        <f>(H121-F121)*10000</f>
        <v>73.90641701373046</v>
      </c>
      <c r="I123" s="5">
        <f>(I121-H121)*10000</f>
        <v>-120.85250863693497</v>
      </c>
      <c r="J123" s="15">
        <f>(J121-I121)*10000</f>
        <v>54.376856807234475</v>
      </c>
      <c r="K123" s="1"/>
      <c r="L123" s="1"/>
    </row>
    <row r="124">
      <c r="A124" s="1"/>
      <c r="B124" s="6" t="s">
        <v>451</v>
      </c>
      <c r="C124" s="26">
        <f>C110/C50</f>
        <v>0.09378299153314523</v>
      </c>
      <c r="D124" s="26">
        <f>D110/D50</f>
        <v>0.0923418273843683</v>
      </c>
      <c r="E124" s="26">
        <f>E110/E50</f>
        <v>0.08871476727715875</v>
      </c>
      <c r="F124" s="26">
        <f>F110/F50</f>
        <v>0.08518819657726245</v>
      </c>
      <c r="G124" s="26">
        <f>G110/G50</f>
        <v>0.08518819657726245</v>
      </c>
      <c r="H124" s="26">
        <f>H110/H50</f>
        <v>0.08174672401974474</v>
      </c>
      <c r="I124" s="26">
        <f>I110/I50</f>
        <v>0.07988910705060598</v>
      </c>
      <c r="J124" s="47">
        <f>J110/J50</f>
        <v>0.07972357517416354</v>
      </c>
      <c r="K124" s="1"/>
      <c r="L124" s="1"/>
    </row>
    <row r="125">
      <c r="A125" s="1"/>
      <c r="B125" s="1" t="s">
        <v>151</v>
      </c>
      <c r="C125" s="5"/>
      <c r="D125" s="5"/>
      <c r="E125" s="5"/>
      <c r="F125" s="5"/>
      <c r="G125" s="5"/>
      <c r="H125" s="5">
        <f>(H124-C124)*10000</f>
        <v>-120.36267513400492</v>
      </c>
      <c r="I125" s="5">
        <f>(I124-D124)*10000</f>
        <v>-124.52720333762323</v>
      </c>
      <c r="J125" s="15">
        <f>(J124-E124)*10000</f>
        <v>-89.91192102995218</v>
      </c>
      <c r="K125" s="1"/>
      <c r="L125" s="1"/>
    </row>
    <row r="126">
      <c r="A126" s="1"/>
      <c r="B126" s="1" t="s">
        <v>152</v>
      </c>
      <c r="C126" s="5"/>
      <c r="D126" s="5">
        <f>(D124-C124)*10000</f>
        <v>-14.4116414877693</v>
      </c>
      <c r="E126" s="5">
        <f>(E124-D124)*10000</f>
        <v>-36.27060107209548</v>
      </c>
      <c r="F126" s="5">
        <f>(F124-E124)*10000</f>
        <v>-35.265706998963005</v>
      </c>
      <c r="G126" s="5"/>
      <c r="H126" s="5">
        <f>(H124-F124)*10000</f>
        <v>-34.41472557517714</v>
      </c>
      <c r="I126" s="5">
        <f>(I124-H124)*10000</f>
        <v>-18.576169691387616</v>
      </c>
      <c r="J126" s="15">
        <f>(J124-I124)*10000</f>
        <v>-1.6553187644244294</v>
      </c>
      <c r="K126" s="1"/>
      <c r="L126" s="1"/>
    </row>
    <row r="127" ht="29.25">
      <c r="A127" s="1"/>
      <c r="B127" s="194" t="s">
        <v>452</v>
      </c>
      <c r="C127" s="65">
        <v>0.111</v>
      </c>
      <c r="D127" s="65">
        <v>0.111</v>
      </c>
      <c r="E127" s="65">
        <v>0.11</v>
      </c>
      <c r="F127" s="65">
        <v>0.106</v>
      </c>
      <c r="G127" s="26">
        <f>F127</f>
        <v>0.106</v>
      </c>
      <c r="H127" s="65">
        <v>0.103</v>
      </c>
      <c r="I127" s="65">
        <v>0.103</v>
      </c>
      <c r="J127" s="47"/>
      <c r="K127" s="1" t="s">
        <v>318</v>
      </c>
      <c r="L127" s="1"/>
    </row>
    <row r="128">
      <c r="A128" s="1"/>
      <c r="B128" s="1" t="s">
        <v>151</v>
      </c>
      <c r="C128" s="5"/>
      <c r="D128" s="5"/>
      <c r="E128" s="5"/>
      <c r="F128" s="5"/>
      <c r="G128" s="5"/>
      <c r="H128" s="5">
        <f>(H127-C127)*10000</f>
        <v>-80.00000000000007</v>
      </c>
      <c r="I128" s="5">
        <f>(I127-D127)*10000</f>
        <v>-80.00000000000007</v>
      </c>
      <c r="J128" s="15"/>
      <c r="K128" s="1"/>
      <c r="L128" s="1"/>
    </row>
    <row r="129">
      <c r="A129" s="1"/>
      <c r="B129" s="1" t="s">
        <v>152</v>
      </c>
      <c r="C129" s="5"/>
      <c r="D129" s="5">
        <f>(D127-C127)*10000</f>
        <v>0</v>
      </c>
      <c r="E129" s="5">
        <f>(E127-D127)*10000</f>
        <v>-10.000000000000009</v>
      </c>
      <c r="F129" s="5">
        <f>(F127-E127)*10000</f>
        <v>-40.000000000000036</v>
      </c>
      <c r="G129" s="5"/>
      <c r="H129" s="5">
        <f>(H127-F127)*10000</f>
        <v>-30.00000000000003</v>
      </c>
      <c r="I129" s="5">
        <f>(I127-H127)*10000</f>
        <v>0</v>
      </c>
      <c r="J129" s="15"/>
      <c r="K129" s="1"/>
      <c r="L129" s="1"/>
    </row>
    <row r="130">
      <c r="A130" s="1"/>
      <c r="B130" s="1" t="s">
        <v>453</v>
      </c>
      <c r="C130" s="35">
        <v>1339328</v>
      </c>
      <c r="D130" s="35">
        <v>1331651</v>
      </c>
      <c r="E130" s="35">
        <v>1339939</v>
      </c>
      <c r="F130" s="35">
        <v>1377718</v>
      </c>
      <c r="G130" s="35">
        <v>1347245</v>
      </c>
      <c r="H130" s="35">
        <v>1415034</v>
      </c>
      <c r="I130" s="35">
        <v>1465600</v>
      </c>
      <c r="J130" s="15">
        <f>I130*(1+J131)</f>
        <v>1494912</v>
      </c>
      <c r="K130" s="1" t="s">
        <v>318</v>
      </c>
      <c r="L130" s="1"/>
    </row>
    <row r="131">
      <c r="A131" s="1"/>
      <c r="B131" s="6" t="s">
        <v>124</v>
      </c>
      <c r="C131" s="26"/>
      <c r="D131" s="26">
        <f>D130/C130-1</f>
        <v>-0.005731979022315703</v>
      </c>
      <c r="E131" s="26">
        <f>E130/D130-1</f>
        <v>0.006223852946455111</v>
      </c>
      <c r="F131" s="26">
        <f>F130/E130-1</f>
        <v>0.028194567066112786</v>
      </c>
      <c r="G131" s="26"/>
      <c r="H131" s="26">
        <f>H130/F130-1</f>
        <v>0.027085368703900325</v>
      </c>
      <c r="I131" s="26">
        <f>I130/H130-1</f>
        <v>0.03573483039983483</v>
      </c>
      <c r="J131" s="106">
        <v>0.02</v>
      </c>
      <c r="K131" s="1"/>
      <c r="L131" s="1"/>
    </row>
    <row r="132">
      <c r="A132" s="1"/>
      <c r="B132" s="1" t="s">
        <v>139</v>
      </c>
      <c r="C132" s="5"/>
      <c r="D132" s="5"/>
      <c r="E132" s="5"/>
      <c r="F132" s="5"/>
      <c r="G132" s="5"/>
      <c r="H132" s="5">
        <f>H130-C130</f>
        <v>75706</v>
      </c>
      <c r="I132" s="5">
        <f>I130-D130</f>
        <v>133949</v>
      </c>
      <c r="J132" s="15">
        <f>J130-E130</f>
        <v>154973</v>
      </c>
      <c r="K132" s="1"/>
      <c r="L132" s="1"/>
    </row>
    <row r="133">
      <c r="A133" s="1"/>
      <c r="B133" s="1" t="s">
        <v>140</v>
      </c>
      <c r="C133" s="5"/>
      <c r="D133" s="5">
        <f>D130-C130</f>
        <v>-7677</v>
      </c>
      <c r="E133" s="5">
        <f>E130-D130</f>
        <v>8288</v>
      </c>
      <c r="F133" s="5">
        <f>F130-E130</f>
        <v>37779</v>
      </c>
      <c r="G133" s="5"/>
      <c r="H133" s="5">
        <f>H130-F130</f>
        <v>37316</v>
      </c>
      <c r="I133" s="5">
        <f>I130-H130</f>
        <v>50566</v>
      </c>
      <c r="J133" s="15">
        <f>J130-I130</f>
        <v>29312</v>
      </c>
      <c r="K133" s="1"/>
      <c r="L133" s="1"/>
    </row>
    <row r="134">
      <c r="A134" s="1"/>
      <c r="B134" s="6" t="s">
        <v>454</v>
      </c>
      <c r="C134" s="199">
        <v>0.0158</v>
      </c>
      <c r="D134" s="199">
        <v>0.0152</v>
      </c>
      <c r="E134" s="199">
        <v>0.0154</v>
      </c>
      <c r="F134" s="199">
        <v>0.0144</v>
      </c>
      <c r="G134" s="199">
        <v>0.0152</v>
      </c>
      <c r="H134" s="199">
        <v>0.0143</v>
      </c>
      <c r="I134" s="199">
        <v>0.0151</v>
      </c>
      <c r="J134" s="47"/>
      <c r="K134" s="1" t="s">
        <v>318</v>
      </c>
      <c r="L134" s="1"/>
    </row>
    <row r="135">
      <c r="A135" s="1"/>
      <c r="B135" s="1" t="s">
        <v>151</v>
      </c>
      <c r="C135" s="5"/>
      <c r="D135" s="5"/>
      <c r="E135" s="5"/>
      <c r="F135" s="5"/>
      <c r="G135" s="5"/>
      <c r="H135" s="5">
        <f>(H134-C134)*10000</f>
        <v>-15.000000000000014</v>
      </c>
      <c r="I135" s="5">
        <f>(I134-D134)*10000</f>
        <v>-0.999999999999994</v>
      </c>
      <c r="J135" s="15"/>
      <c r="K135" s="1"/>
      <c r="L135" s="1"/>
    </row>
    <row r="136">
      <c r="A136" s="1"/>
      <c r="B136" s="1" t="s">
        <v>152</v>
      </c>
      <c r="C136" s="5"/>
      <c r="D136" s="5">
        <f>(D134-C134)*10000</f>
        <v>-6.000000000000016</v>
      </c>
      <c r="E136" s="5">
        <f>(E134-D134)*10000</f>
        <v>2.0000000000000053</v>
      </c>
      <c r="F136" s="5">
        <f>(F134-E134)*10000</f>
        <v>-10.000000000000009</v>
      </c>
      <c r="G136" s="5"/>
      <c r="H136" s="5">
        <f>(H134-F134)*10000</f>
        <v>-0.999999999999994</v>
      </c>
      <c r="I136" s="5">
        <f>(I134-H134)*10000</f>
        <v>8.000000000000004</v>
      </c>
      <c r="J136" s="15"/>
      <c r="K136" s="1"/>
      <c r="L136" s="1"/>
    </row>
    <row r="137">
      <c r="A137" s="1"/>
      <c r="B137" s="1"/>
      <c r="C137" s="13"/>
      <c r="D137" s="13"/>
      <c r="E137" s="13"/>
      <c r="F137" s="13"/>
      <c r="G137" s="13"/>
      <c r="H137" s="13"/>
      <c r="I137" s="13"/>
      <c r="J137" s="27"/>
      <c r="K137" s="1"/>
      <c r="L137" s="1"/>
    </row>
    <row r="138">
      <c r="A138" s="1"/>
      <c r="B138" s="1"/>
      <c r="C138" s="13"/>
      <c r="D138" s="13"/>
      <c r="E138" s="13"/>
      <c r="F138" s="13"/>
      <c r="G138" s="13"/>
      <c r="H138" s="13"/>
      <c r="I138" s="13"/>
      <c r="J138" s="27"/>
      <c r="K138" s="1"/>
      <c r="L138" s="1"/>
    </row>
  </sheetData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L38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14" customWidth="1"/>
  </cols>
  <sheetData>
    <row r="1">
      <c r="A1" s="1"/>
      <c r="B1" s="3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9" t="s">
        <v>455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64" t="s">
        <v>62</v>
      </c>
      <c r="C4" s="29" t="s">
        <v>63</v>
      </c>
      <c r="D4" s="29" t="s">
        <v>64</v>
      </c>
      <c r="E4" s="29" t="s">
        <v>65</v>
      </c>
      <c r="F4" s="29" t="s">
        <v>66</v>
      </c>
      <c r="G4" s="29" t="s">
        <v>67</v>
      </c>
      <c r="H4" s="29" t="s">
        <v>68</v>
      </c>
      <c r="I4" s="29" t="s">
        <v>69</v>
      </c>
      <c r="J4" s="39" t="s">
        <v>70</v>
      </c>
      <c r="K4" s="131" t="s">
        <v>3</v>
      </c>
      <c r="L4" s="1"/>
    </row>
    <row r="5">
      <c r="A5" s="1"/>
      <c r="B5" s="67" t="s">
        <v>71</v>
      </c>
      <c r="C5" s="32">
        <v>45747</v>
      </c>
      <c r="D5" s="32">
        <v>45838</v>
      </c>
      <c r="E5" s="32">
        <v>45930</v>
      </c>
      <c r="F5" s="32">
        <v>46022</v>
      </c>
      <c r="G5" s="32">
        <v>46022</v>
      </c>
      <c r="H5" s="32">
        <v>46112</v>
      </c>
      <c r="I5" s="32">
        <v>46203</v>
      </c>
      <c r="J5" s="66">
        <v>46295</v>
      </c>
      <c r="K5" s="71"/>
      <c r="L5" s="1"/>
    </row>
    <row r="6">
      <c r="A6" s="1"/>
      <c r="B6" s="8" t="s">
        <v>72</v>
      </c>
      <c r="C6" s="20">
        <f>C5-EOMONTH(C5,-3)</f>
        <v>90</v>
      </c>
      <c r="D6" s="20">
        <f>D5-EOMONTH(D5,-3)</f>
        <v>91</v>
      </c>
      <c r="E6" s="20">
        <f>E5-EOMONTH(E5,-3)</f>
        <v>92</v>
      </c>
      <c r="F6" s="20">
        <f>F5-EOMONTH(F5,-3)</f>
        <v>92</v>
      </c>
      <c r="G6" s="20">
        <f>G5-DATE(YEAR(G5)-1,12,31)</f>
        <v>365</v>
      </c>
      <c r="H6" s="20">
        <f>H5-EOMONTH(H5,-3)</f>
        <v>90</v>
      </c>
      <c r="I6" s="20">
        <f>I5-EOMONTH(I5,-3)</f>
        <v>91</v>
      </c>
      <c r="J6" s="50">
        <f>J5-EOMONTH(J5,-3)</f>
        <v>92</v>
      </c>
      <c r="K6" s="7"/>
      <c r="L6" s="1"/>
    </row>
    <row r="7">
      <c r="A7" s="1"/>
      <c r="B7" s="1"/>
      <c r="C7" s="13"/>
      <c r="D7" s="13"/>
      <c r="E7" s="13"/>
      <c r="F7" s="13"/>
      <c r="G7" s="13"/>
      <c r="H7" s="13"/>
      <c r="I7" s="13"/>
      <c r="J7" s="27"/>
      <c r="K7" s="1"/>
      <c r="L7" s="1"/>
    </row>
    <row r="8">
      <c r="A8" s="1"/>
      <c r="B8" s="9" t="s">
        <v>456</v>
      </c>
      <c r="C8" s="25"/>
      <c r="D8" s="25"/>
      <c r="E8" s="25"/>
      <c r="F8" s="25"/>
      <c r="G8" s="25"/>
      <c r="H8" s="25"/>
      <c r="I8" s="25"/>
      <c r="J8" s="37"/>
      <c r="K8" s="1"/>
      <c r="L8" s="1"/>
    </row>
    <row r="9" ht="29.25">
      <c r="A9" s="1"/>
      <c r="B9" s="191" t="s">
        <v>457</v>
      </c>
      <c r="C9" s="14">
        <f>'Income Statement'!C213</f>
        <v>4804</v>
      </c>
      <c r="D9" s="14">
        <f>'Income Statement'!D213</f>
        <v>5522</v>
      </c>
      <c r="E9" s="14">
        <f>'Income Statement'!E213</f>
        <v>5609</v>
      </c>
      <c r="F9" s="14">
        <f>'Income Statement'!F213</f>
        <v>5423</v>
      </c>
      <c r="G9" s="14">
        <f>'Income Statement'!G213</f>
        <v>21358</v>
      </c>
      <c r="H9" s="14">
        <f>'Income Statement'!H213</f>
        <v>5290</v>
      </c>
      <c r="I9" s="14">
        <f>'Income Statement'!I213</f>
        <v>6645</v>
      </c>
      <c r="J9" s="46">
        <f>'Income Statement'!J213</f>
        <v>5891.929598233167</v>
      </c>
      <c r="K9" s="1"/>
      <c r="L9" s="1"/>
    </row>
    <row r="10" ht="54.75">
      <c r="A10" s="1"/>
      <c r="B10" s="191" t="s">
        <v>458</v>
      </c>
      <c r="C10" s="5">
        <f>C11-C9</f>
        <v>-15841</v>
      </c>
      <c r="D10" s="5">
        <f>D11-D9</f>
        <v>-16738</v>
      </c>
      <c r="E10" s="5">
        <f>E11-E9</f>
        <v>-6478</v>
      </c>
      <c r="F10" s="5">
        <f>F11-F9</f>
        <v>-1302</v>
      </c>
      <c r="G10" s="5">
        <f>SUM(C10:F10)</f>
        <v>-40359</v>
      </c>
      <c r="H10" s="5">
        <f>H11-H9</f>
        <v>3853</v>
      </c>
      <c r="I10" s="5">
        <f>I11-I9</f>
        <v>130</v>
      </c>
      <c r="J10" s="46">
        <f>'Income Statement'!J155-('Balance Sheet'!J19-'Balance Sheet'!I19)+('Balance Sheet'!J76-'Balance Sheet'!I76)-('Balance Sheet'!J47-'Balance Sheet'!I47)+('Balance Sheet'!J79-'Balance Sheet'!I79)</f>
        <v>130</v>
      </c>
      <c r="K10" s="1"/>
      <c r="L10" s="1"/>
    </row>
    <row r="11" ht="29.25">
      <c r="A11" s="1"/>
      <c r="B11" s="193" t="s">
        <v>459</v>
      </c>
      <c r="C11" s="33">
        <f>Inputs!C108</f>
        <v>-11037</v>
      </c>
      <c r="D11" s="33">
        <f>Inputs!D108-Inputs!C108</f>
        <v>-11216</v>
      </c>
      <c r="E11" s="33">
        <f>Inputs!E108-Inputs!D108</f>
        <v>-869</v>
      </c>
      <c r="F11" s="33">
        <f>Inputs!F108-Inputs!E108</f>
        <v>4121</v>
      </c>
      <c r="G11" s="17">
        <f>SUM(C11:F11)</f>
        <v>-19001</v>
      </c>
      <c r="H11" s="33">
        <f>Inputs!H108</f>
        <v>9143</v>
      </c>
      <c r="I11" s="33">
        <f>Inputs!I108-Inputs!H108</f>
        <v>6775</v>
      </c>
      <c r="J11" s="42">
        <f>J9+J10</f>
        <v>6021.929598233167</v>
      </c>
      <c r="K11" s="1" t="s">
        <v>444</v>
      </c>
      <c r="L11" s="1"/>
    </row>
    <row r="12">
      <c r="A12" s="1"/>
      <c r="B12" s="1" t="s">
        <v>146</v>
      </c>
      <c r="C12" s="5"/>
      <c r="D12" s="5"/>
      <c r="E12" s="5"/>
      <c r="F12" s="5"/>
      <c r="G12" s="5"/>
      <c r="H12" s="5">
        <f>H11-C11</f>
        <v>20180</v>
      </c>
      <c r="I12" s="5">
        <f>I11-D11</f>
        <v>17991</v>
      </c>
      <c r="J12" s="15">
        <f>J11-E11</f>
        <v>6890.929598233167</v>
      </c>
      <c r="K12" s="1"/>
      <c r="L12" s="1"/>
    </row>
    <row r="13">
      <c r="A13" s="1"/>
      <c r="B13" s="1" t="s">
        <v>147</v>
      </c>
      <c r="C13" s="5"/>
      <c r="D13" s="5">
        <f>D11-C11</f>
        <v>-179</v>
      </c>
      <c r="E13" s="5">
        <f>E11-D11</f>
        <v>10347</v>
      </c>
      <c r="F13" s="5">
        <f>F11-E11</f>
        <v>4990</v>
      </c>
      <c r="G13" s="5"/>
      <c r="H13" s="5">
        <f>H11-F11</f>
        <v>5022</v>
      </c>
      <c r="I13" s="5">
        <f>I11-H11</f>
        <v>-2368</v>
      </c>
      <c r="J13" s="15">
        <f>J11-I11</f>
        <v>-753.0704017668331</v>
      </c>
      <c r="K13" s="1"/>
      <c r="L13" s="1"/>
    </row>
    <row r="14">
      <c r="A14" s="1"/>
      <c r="B14" s="9" t="s">
        <v>460</v>
      </c>
      <c r="C14" s="25"/>
      <c r="D14" s="25"/>
      <c r="E14" s="25"/>
      <c r="F14" s="25"/>
      <c r="G14" s="25"/>
      <c r="H14" s="25"/>
      <c r="I14" s="25"/>
      <c r="J14" s="37"/>
      <c r="K14" s="1"/>
      <c r="L14" s="1"/>
    </row>
    <row r="15" ht="29.25">
      <c r="A15" s="1"/>
      <c r="B15" s="193" t="s">
        <v>461</v>
      </c>
      <c r="C15" s="33">
        <f>Inputs!C109</f>
        <v>-27508</v>
      </c>
      <c r="D15" s="33">
        <f>Inputs!D109-Inputs!C109</f>
        <v>8048</v>
      </c>
      <c r="E15" s="33">
        <f>Inputs!E109-Inputs!D109</f>
        <v>-82865</v>
      </c>
      <c r="F15" s="33">
        <f>Inputs!F109-Inputs!E109</f>
        <v>-85570</v>
      </c>
      <c r="G15" s="17">
        <f>SUM(C15:F15)</f>
        <v>-187895</v>
      </c>
      <c r="H15" s="33">
        <f>Inputs!H109</f>
        <v>-55567</v>
      </c>
      <c r="I15" s="33">
        <f>Inputs!I109-Inputs!H109</f>
        <v>-29870</v>
      </c>
      <c r="J15" s="81">
        <f>-(('Balance Sheet'!J15-'Balance Sheet'!I15)+('Balance Sheet'!J23-'Balance Sheet'!I23)+('Balance Sheet'!J27-'Balance Sheet'!I27)+('Balance Sheet'!J31-'Balance Sheet'!I31)+('Balance Sheet'!J38-'Balance Sheet'!I38)+('Balance Sheet'!J41-'Balance Sheet'!I41)+('Balance Sheet'!J44-'Balance Sheet'!I44))</f>
        <v>-17605.940326956537</v>
      </c>
      <c r="K15" s="1" t="s">
        <v>444</v>
      </c>
      <c r="L15" s="1"/>
    </row>
    <row r="16">
      <c r="A16" s="1"/>
      <c r="B16" s="1" t="s">
        <v>146</v>
      </c>
      <c r="C16" s="5"/>
      <c r="D16" s="5"/>
      <c r="E16" s="5"/>
      <c r="F16" s="5"/>
      <c r="G16" s="5"/>
      <c r="H16" s="5">
        <f>H15-C15</f>
        <v>-28059</v>
      </c>
      <c r="I16" s="5">
        <f>I15-D15</f>
        <v>-37918</v>
      </c>
      <c r="J16" s="15">
        <f>J15-E15</f>
        <v>65259.05967304346</v>
      </c>
      <c r="K16" s="1"/>
      <c r="L16" s="1"/>
    </row>
    <row r="17">
      <c r="A17" s="1"/>
      <c r="B17" s="1" t="s">
        <v>147</v>
      </c>
      <c r="C17" s="5"/>
      <c r="D17" s="5">
        <f>D15-C15</f>
        <v>35556</v>
      </c>
      <c r="E17" s="5">
        <f>E15-D15</f>
        <v>-90913</v>
      </c>
      <c r="F17" s="5">
        <f>F15-E15</f>
        <v>-2705</v>
      </c>
      <c r="G17" s="5"/>
      <c r="H17" s="5">
        <f>H15-F15</f>
        <v>30003</v>
      </c>
      <c r="I17" s="5">
        <f>I15-H15</f>
        <v>25697</v>
      </c>
      <c r="J17" s="15">
        <f>J15-I15</f>
        <v>12264.059673043463</v>
      </c>
      <c r="K17" s="1"/>
      <c r="L17" s="1"/>
    </row>
    <row r="18" ht="54.75">
      <c r="A18" s="1"/>
      <c r="B18" s="119" t="s">
        <v>462</v>
      </c>
      <c r="C18" s="5" t="s">
        <v>81</v>
      </c>
      <c r="D18" s="5" t="s">
        <v>81</v>
      </c>
      <c r="E18" s="5" t="s">
        <v>81</v>
      </c>
      <c r="F18" s="5" t="s">
        <v>81</v>
      </c>
      <c r="G18" s="5" t="s">
        <v>81</v>
      </c>
      <c r="H18" s="5" t="s">
        <v>81</v>
      </c>
      <c r="I18" s="5" t="s">
        <v>81</v>
      </c>
      <c r="J18" s="15" t="s">
        <v>81</v>
      </c>
      <c r="K18" s="1"/>
      <c r="L18" s="1"/>
    </row>
    <row r="19">
      <c r="A19" s="1"/>
      <c r="B19" s="9" t="s">
        <v>463</v>
      </c>
      <c r="C19" s="25"/>
      <c r="D19" s="25"/>
      <c r="E19" s="25"/>
      <c r="F19" s="25"/>
      <c r="G19" s="25"/>
      <c r="H19" s="25"/>
      <c r="I19" s="25"/>
      <c r="J19" s="37"/>
      <c r="K19" s="1"/>
      <c r="L19" s="1"/>
    </row>
    <row r="20">
      <c r="A20" s="1"/>
      <c r="B20" s="1" t="s">
        <v>464</v>
      </c>
      <c r="C20" s="14">
        <f>-(Inputs!C112)</f>
        <v>-3500</v>
      </c>
      <c r="D20" s="14">
        <f>-(Inputs!D112-Inputs!C112)</f>
        <v>-3016</v>
      </c>
      <c r="E20" s="14">
        <f>-(Inputs!E112-Inputs!D112)</f>
        <v>-6000</v>
      </c>
      <c r="F20" s="14">
        <f>-(Inputs!F112-Inputs!E112)</f>
        <v>-5000</v>
      </c>
      <c r="G20" s="5">
        <f>SUM(C20:F20)</f>
        <v>-17516</v>
      </c>
      <c r="H20" s="14">
        <f>-(Inputs!H112)</f>
        <v>-4000</v>
      </c>
      <c r="I20" s="14">
        <f>-(Inputs!I112-Inputs!H112)</f>
        <v>-3015</v>
      </c>
      <c r="J20" s="46">
        <f>-'Share Count'!J22</f>
        <v>-3500</v>
      </c>
      <c r="K20" s="1" t="s">
        <v>444</v>
      </c>
      <c r="L20" s="1"/>
    </row>
    <row r="21">
      <c r="A21" s="1"/>
      <c r="B21" s="1" t="s">
        <v>465</v>
      </c>
      <c r="C21" s="14">
        <f>-(Inputs!C113)</f>
        <v>-1318</v>
      </c>
      <c r="D21" s="14">
        <f>-(Inputs!D113-Inputs!C113)</f>
        <v>-1287</v>
      </c>
      <c r="E21" s="14">
        <f>-(Inputs!E113-Inputs!D113)</f>
        <v>-1431</v>
      </c>
      <c r="F21" s="14">
        <f>-(Inputs!F113-Inputs!E113)</f>
        <v>-1398</v>
      </c>
      <c r="G21" s="5">
        <f>SUM(C21:F21)</f>
        <v>-5434</v>
      </c>
      <c r="H21" s="14">
        <f>-(Inputs!H113)</f>
        <v>-1387</v>
      </c>
      <c r="I21" s="14">
        <f>-(Inputs!I113-Inputs!H113)</f>
        <v>-1366</v>
      </c>
      <c r="J21" s="46">
        <f>-'Income Statement'!J241*'Share Count'!J33</f>
        <v>-1503.3255813953488</v>
      </c>
      <c r="K21" s="1" t="s">
        <v>444</v>
      </c>
      <c r="L21" s="1"/>
    </row>
    <row r="22" ht="42">
      <c r="A22" s="1"/>
      <c r="B22" s="191" t="s">
        <v>466</v>
      </c>
      <c r="C22" s="5">
        <f>C23-C20-C21</f>
        <v>17639</v>
      </c>
      <c r="D22" s="5">
        <f>D23-D20-D21</f>
        <v>24426</v>
      </c>
      <c r="E22" s="5">
        <f>E23-E20-E21</f>
        <v>70548</v>
      </c>
      <c r="F22" s="5">
        <f>F23-F20-F21</f>
        <v>87924</v>
      </c>
      <c r="G22" s="5">
        <f>SUM(C22:F22)</f>
        <v>200537</v>
      </c>
      <c r="H22" s="5">
        <f>H23-H20-H21</f>
        <v>52491</v>
      </c>
      <c r="I22" s="5">
        <f>I23-I20-I21</f>
        <v>55664</v>
      </c>
      <c r="J22" s="46">
        <f>('Balance Sheet'!J64-'Balance Sheet'!I64)+('Balance Sheet'!J70-'Balance Sheet'!I70)+('Balance Sheet'!J73-'Balance Sheet'!I73)+('Balance Sheet'!J82-'Balance Sheet'!I82)+('Balance Sheet'!J88-'Balance Sheet'!I88)+('Balance Sheet'!J91-'Balance Sheet'!I91)+('Balance Sheet'!J94-'Balance Sheet'!I94)-'Income Statement'!J222</f>
        <v>11897.839999999851</v>
      </c>
      <c r="K22" s="1"/>
      <c r="L22" s="1"/>
    </row>
    <row r="23" ht="29.25">
      <c r="A23" s="1"/>
      <c r="B23" s="193" t="s">
        <v>467</v>
      </c>
      <c r="C23" s="33">
        <f>Inputs!C110</f>
        <v>12821</v>
      </c>
      <c r="D23" s="33">
        <f>Inputs!D110-Inputs!C110</f>
        <v>20123</v>
      </c>
      <c r="E23" s="33">
        <f>Inputs!E110-Inputs!D110</f>
        <v>63117</v>
      </c>
      <c r="F23" s="33">
        <f>Inputs!F110-Inputs!E110</f>
        <v>81526</v>
      </c>
      <c r="G23" s="17">
        <f>SUM(C23:F23)</f>
        <v>177587</v>
      </c>
      <c r="H23" s="33">
        <f>Inputs!H110</f>
        <v>47104</v>
      </c>
      <c r="I23" s="33">
        <f>Inputs!I110-Inputs!H110</f>
        <v>51283</v>
      </c>
      <c r="J23" s="42">
        <f>J20+J21+J22</f>
        <v>6894.514418604502</v>
      </c>
      <c r="K23" s="1" t="s">
        <v>444</v>
      </c>
      <c r="L23" s="1"/>
    </row>
    <row r="24">
      <c r="A24" s="1"/>
      <c r="B24" s="1" t="s">
        <v>146</v>
      </c>
      <c r="C24" s="5"/>
      <c r="D24" s="5"/>
      <c r="E24" s="5"/>
      <c r="F24" s="5"/>
      <c r="G24" s="5"/>
      <c r="H24" s="5">
        <f>H23-C23</f>
        <v>34283</v>
      </c>
      <c r="I24" s="5">
        <f>I23-D23</f>
        <v>31160</v>
      </c>
      <c r="J24" s="15">
        <f>J23-E23</f>
        <v>-56222.4855813955</v>
      </c>
      <c r="K24" s="1"/>
      <c r="L24" s="1"/>
    </row>
    <row r="25">
      <c r="A25" s="1"/>
      <c r="B25" s="1" t="s">
        <v>147</v>
      </c>
      <c r="C25" s="5"/>
      <c r="D25" s="5">
        <f>D23-C23</f>
        <v>7302</v>
      </c>
      <c r="E25" s="5">
        <f>E23-D23</f>
        <v>42994</v>
      </c>
      <c r="F25" s="5">
        <f>F23-E23</f>
        <v>18409</v>
      </c>
      <c r="G25" s="5"/>
      <c r="H25" s="5">
        <f>H23-F23</f>
        <v>-34422</v>
      </c>
      <c r="I25" s="5">
        <f>I23-H23</f>
        <v>4179</v>
      </c>
      <c r="J25" s="15">
        <f>J23-I23</f>
        <v>-44388.4855813955</v>
      </c>
      <c r="K25" s="1"/>
      <c r="L25" s="1"/>
    </row>
    <row r="26">
      <c r="A26" s="1"/>
      <c r="B26" s="1" t="s">
        <v>468</v>
      </c>
      <c r="C26" s="5" t="s">
        <v>469</v>
      </c>
      <c r="D26" s="5" t="s">
        <v>469</v>
      </c>
      <c r="E26" s="5" t="s">
        <v>469</v>
      </c>
      <c r="F26" s="5" t="s">
        <v>469</v>
      </c>
      <c r="G26" s="5" t="s">
        <v>469</v>
      </c>
      <c r="H26" s="5" t="s">
        <v>469</v>
      </c>
      <c r="I26" s="5" t="s">
        <v>469</v>
      </c>
      <c r="J26" s="15" t="s">
        <v>469</v>
      </c>
      <c r="K26" s="1"/>
      <c r="L26" s="1"/>
    </row>
    <row r="27">
      <c r="A27" s="1"/>
      <c r="B27" s="1"/>
      <c r="C27" s="13"/>
      <c r="D27" s="13"/>
      <c r="E27" s="13"/>
      <c r="F27" s="13"/>
      <c r="G27" s="13"/>
      <c r="H27" s="13"/>
      <c r="I27" s="13"/>
      <c r="J27" s="27"/>
      <c r="K27" s="1"/>
      <c r="L27" s="1"/>
    </row>
    <row r="28" ht="29.25">
      <c r="A28" s="1"/>
      <c r="B28" s="28" t="s">
        <v>470</v>
      </c>
      <c r="C28" s="25"/>
      <c r="D28" s="25"/>
      <c r="E28" s="25"/>
      <c r="F28" s="25"/>
      <c r="G28" s="25"/>
      <c r="H28" s="25"/>
      <c r="I28" s="25"/>
      <c r="J28" s="37"/>
      <c r="K28" s="1"/>
      <c r="L28" s="1"/>
    </row>
    <row r="29" ht="29.25">
      <c r="A29" s="1"/>
      <c r="B29" s="193" t="s">
        <v>471</v>
      </c>
      <c r="C29" s="17">
        <f>C11+C15+C23</f>
        <v>-25724</v>
      </c>
      <c r="D29" s="17">
        <f>D11+D15+D23</f>
        <v>16955</v>
      </c>
      <c r="E29" s="17">
        <f>E11+E15+E23</f>
        <v>-20617</v>
      </c>
      <c r="F29" s="17">
        <f>F11+F15+F23</f>
        <v>77</v>
      </c>
      <c r="G29" s="17">
        <f>G11+G15+G23</f>
        <v>-29309</v>
      </c>
      <c r="H29" s="17">
        <f>H11+H15+H23</f>
        <v>680</v>
      </c>
      <c r="I29" s="17">
        <f>I11+I15+I23</f>
        <v>28188</v>
      </c>
      <c r="J29" s="42">
        <f>J11+J15+J23</f>
        <v>-4689.496310118868</v>
      </c>
      <c r="K29" s="1"/>
      <c r="L29" s="1"/>
    </row>
    <row r="30" ht="29.25">
      <c r="A30" s="1"/>
      <c r="B30" s="191" t="s">
        <v>472</v>
      </c>
      <c r="C30" s="14">
        <f>Inputs!C111</f>
        <v>-25724</v>
      </c>
      <c r="D30" s="14">
        <f>Inputs!D111-Inputs!C111</f>
        <v>16955</v>
      </c>
      <c r="E30" s="14">
        <f>Inputs!E111-Inputs!D111</f>
        <v>-20617</v>
      </c>
      <c r="F30" s="14">
        <f>Inputs!F111-Inputs!E111</f>
        <v>77</v>
      </c>
      <c r="G30" s="5">
        <f>SUM(C30:F30)</f>
        <v>-29309</v>
      </c>
      <c r="H30" s="14">
        <f>Inputs!H111</f>
        <v>680</v>
      </c>
      <c r="I30" s="14">
        <f>Inputs!I111-Inputs!H111</f>
        <v>28188</v>
      </c>
      <c r="J30" s="15"/>
      <c r="K30" s="1" t="s">
        <v>444</v>
      </c>
      <c r="L30" s="1"/>
    </row>
    <row r="31" ht="29.25">
      <c r="A31" s="1"/>
      <c r="B31" s="194" t="s">
        <v>225</v>
      </c>
      <c r="C31" s="197">
        <f>C29-C30</f>
        <v>0</v>
      </c>
      <c r="D31" s="197">
        <f>D29-D30</f>
        <v>0</v>
      </c>
      <c r="E31" s="197">
        <f>E29-E30</f>
        <v>0</v>
      </c>
      <c r="F31" s="197">
        <f>F29-F30</f>
        <v>0</v>
      </c>
      <c r="G31" s="197">
        <f>G29-G30</f>
        <v>0</v>
      </c>
      <c r="H31" s="197">
        <f>H29-H30</f>
        <v>0</v>
      </c>
      <c r="I31" s="197">
        <f>I29-I30</f>
        <v>0</v>
      </c>
      <c r="J31" s="40"/>
      <c r="K31" s="1"/>
      <c r="L31" s="1"/>
    </row>
    <row r="32">
      <c r="A32" s="1"/>
      <c r="B32" s="1" t="s">
        <v>473</v>
      </c>
      <c r="C32" s="14">
        <f>Inputs!C114</f>
        <v>201902</v>
      </c>
      <c r="D32" s="14">
        <f>'Balance Sheet'!C115</f>
        <v>176178</v>
      </c>
      <c r="E32" s="14">
        <f>'Balance Sheet'!D115</f>
        <v>193133</v>
      </c>
      <c r="F32" s="14">
        <f>'Balance Sheet'!E115</f>
        <v>172516</v>
      </c>
      <c r="G32" s="14">
        <f>Inputs!C114</f>
        <v>201902</v>
      </c>
      <c r="H32" s="14">
        <f>'Balance Sheet'!F115</f>
        <v>172593</v>
      </c>
      <c r="I32" s="14">
        <f>'Balance Sheet'!H115</f>
        <v>173273</v>
      </c>
      <c r="J32" s="46">
        <f>'Balance Sheet'!I115</f>
        <v>201461</v>
      </c>
      <c r="K32" s="1"/>
      <c r="L32" s="1"/>
    </row>
    <row r="33" ht="29.25">
      <c r="A33" s="1"/>
      <c r="B33" s="193" t="s">
        <v>474</v>
      </c>
      <c r="C33" s="17">
        <f>C32+C29</f>
        <v>176178</v>
      </c>
      <c r="D33" s="17">
        <f>D32+D29</f>
        <v>193133</v>
      </c>
      <c r="E33" s="17">
        <f>E32+E29</f>
        <v>172516</v>
      </c>
      <c r="F33" s="17">
        <f>F32+F29</f>
        <v>172593</v>
      </c>
      <c r="G33" s="17">
        <f>G32+G29</f>
        <v>172593</v>
      </c>
      <c r="H33" s="17">
        <f>H32+H29</f>
        <v>173273</v>
      </c>
      <c r="I33" s="17">
        <f>I32+I29</f>
        <v>201461</v>
      </c>
      <c r="J33" s="42">
        <f>J32+J29</f>
        <v>196771.50368988112</v>
      </c>
      <c r="K33" s="1"/>
      <c r="L33" s="1"/>
    </row>
    <row r="34" ht="29.25">
      <c r="A34" s="1"/>
      <c r="B34" s="191" t="s">
        <v>475</v>
      </c>
      <c r="C34" s="14">
        <f>'Balance Sheet'!C115</f>
        <v>176178</v>
      </c>
      <c r="D34" s="14">
        <f>'Balance Sheet'!D115</f>
        <v>193133</v>
      </c>
      <c r="E34" s="14">
        <f>'Balance Sheet'!E115</f>
        <v>172516</v>
      </c>
      <c r="F34" s="14">
        <f>'Balance Sheet'!F115</f>
        <v>172593</v>
      </c>
      <c r="G34" s="14">
        <f>'Balance Sheet'!G115</f>
        <v>172593</v>
      </c>
      <c r="H34" s="14">
        <f>'Balance Sheet'!H115</f>
        <v>173273</v>
      </c>
      <c r="I34" s="14">
        <f>'Balance Sheet'!I115</f>
        <v>201461</v>
      </c>
      <c r="J34" s="46">
        <f>'Balance Sheet'!J115</f>
        <v>196771.50368988095</v>
      </c>
      <c r="K34" s="1"/>
      <c r="L34" s="1"/>
    </row>
    <row r="35" ht="29.25">
      <c r="A35" s="1"/>
      <c r="B35" s="194" t="s">
        <v>476</v>
      </c>
      <c r="C35" s="197">
        <f>C33-C34</f>
        <v>0</v>
      </c>
      <c r="D35" s="197">
        <f>D33-D34</f>
        <v>0</v>
      </c>
      <c r="E35" s="197">
        <f>E33-E34</f>
        <v>0</v>
      </c>
      <c r="F35" s="197">
        <f>F33-F34</f>
        <v>0</v>
      </c>
      <c r="G35" s="197">
        <f>G33-G34</f>
        <v>0</v>
      </c>
      <c r="H35" s="197">
        <f>H33-H34</f>
        <v>0</v>
      </c>
      <c r="I35" s="197">
        <f>I33-I34</f>
        <v>0</v>
      </c>
      <c r="J35" s="196">
        <f>ROUND(J33-J34,6)</f>
        <v>0</v>
      </c>
      <c r="K35" s="1"/>
      <c r="L35" s="1"/>
    </row>
    <row r="36" ht="42">
      <c r="A36" s="1"/>
      <c r="B36" s="194" t="s">
        <v>477</v>
      </c>
      <c r="C36" s="11"/>
      <c r="D36" s="11"/>
      <c r="E36" s="11"/>
      <c r="F36" s="11"/>
      <c r="G36" s="195">
        <f>G11-Inputs!F108</f>
        <v>0</v>
      </c>
      <c r="H36" s="11"/>
      <c r="I36" s="11"/>
      <c r="J36" s="40"/>
      <c r="K36" s="1"/>
      <c r="L36" s="1"/>
    </row>
    <row r="37">
      <c r="A37" s="1"/>
      <c r="B37" s="1"/>
      <c r="C37" s="13"/>
      <c r="D37" s="13"/>
      <c r="E37" s="13"/>
      <c r="F37" s="13"/>
      <c r="G37" s="13"/>
      <c r="H37" s="13"/>
      <c r="I37" s="13"/>
      <c r="J37" s="27"/>
      <c r="K37" s="1"/>
      <c r="L37" s="1"/>
    </row>
    <row r="38">
      <c r="A38" s="1"/>
      <c r="B38" s="1"/>
      <c r="C38" s="13"/>
      <c r="D38" s="13"/>
      <c r="E38" s="13"/>
      <c r="F38" s="13"/>
      <c r="G38" s="13"/>
      <c r="H38" s="13"/>
      <c r="I38" s="13"/>
      <c r="J38" s="27"/>
      <c r="K38" s="1"/>
      <c r="L38" s="1"/>
    </row>
  </sheetData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47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14" customWidth="1"/>
  </cols>
  <sheetData>
    <row r="1">
      <c r="A1" s="1"/>
      <c r="B1" s="3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9" t="s">
        <v>478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 t="s">
        <v>479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64" t="s">
        <v>62</v>
      </c>
      <c r="C4" s="29" t="s">
        <v>63</v>
      </c>
      <c r="D4" s="29" t="s">
        <v>64</v>
      </c>
      <c r="E4" s="29" t="s">
        <v>65</v>
      </c>
      <c r="F4" s="29" t="s">
        <v>66</v>
      </c>
      <c r="G4" s="29" t="s">
        <v>67</v>
      </c>
      <c r="H4" s="29" t="s">
        <v>68</v>
      </c>
      <c r="I4" s="29" t="s">
        <v>69</v>
      </c>
      <c r="J4" s="39" t="s">
        <v>70</v>
      </c>
      <c r="K4" s="131" t="s">
        <v>3</v>
      </c>
      <c r="L4" s="1"/>
    </row>
    <row r="5">
      <c r="A5" s="1"/>
      <c r="B5" s="67" t="s">
        <v>71</v>
      </c>
      <c r="C5" s="32">
        <v>45747</v>
      </c>
      <c r="D5" s="32">
        <v>45838</v>
      </c>
      <c r="E5" s="32">
        <v>45930</v>
      </c>
      <c r="F5" s="32">
        <v>46022</v>
      </c>
      <c r="G5" s="32">
        <v>46022</v>
      </c>
      <c r="H5" s="32">
        <v>46112</v>
      </c>
      <c r="I5" s="32">
        <v>46203</v>
      </c>
      <c r="J5" s="66">
        <v>46295</v>
      </c>
      <c r="K5" s="71"/>
      <c r="L5" s="1"/>
    </row>
    <row r="6">
      <c r="A6" s="1"/>
      <c r="B6" s="8" t="s">
        <v>72</v>
      </c>
      <c r="C6" s="20">
        <f>C5-EOMONTH(C5,-3)</f>
        <v>90</v>
      </c>
      <c r="D6" s="20">
        <f>D5-EOMONTH(D5,-3)</f>
        <v>91</v>
      </c>
      <c r="E6" s="20">
        <f>E5-EOMONTH(E5,-3)</f>
        <v>92</v>
      </c>
      <c r="F6" s="20">
        <f>F5-EOMONTH(F5,-3)</f>
        <v>92</v>
      </c>
      <c r="G6" s="20">
        <f>G5-DATE(YEAR(G5)-1,12,31)</f>
        <v>365</v>
      </c>
      <c r="H6" s="20">
        <f>H5-EOMONTH(H5,-3)</f>
        <v>90</v>
      </c>
      <c r="I6" s="20">
        <f>I5-EOMONTH(I5,-3)</f>
        <v>91</v>
      </c>
      <c r="J6" s="50">
        <f>J5-EOMONTH(J5,-3)</f>
        <v>92</v>
      </c>
      <c r="K6" s="7"/>
      <c r="L6" s="1"/>
    </row>
    <row r="7">
      <c r="A7" s="1"/>
      <c r="B7" s="1"/>
      <c r="C7" s="13"/>
      <c r="D7" s="13"/>
      <c r="E7" s="13"/>
      <c r="F7" s="13"/>
      <c r="G7" s="13"/>
      <c r="H7" s="13"/>
      <c r="I7" s="13"/>
      <c r="J7" s="27"/>
      <c r="K7" s="1"/>
      <c r="L7" s="1"/>
    </row>
    <row r="8">
      <c r="A8" s="1"/>
      <c r="B8" s="9" t="s">
        <v>480</v>
      </c>
      <c r="C8" s="25"/>
      <c r="D8" s="25"/>
      <c r="E8" s="25"/>
      <c r="F8" s="25"/>
      <c r="G8" s="25"/>
      <c r="H8" s="25"/>
      <c r="I8" s="25"/>
      <c r="J8" s="37"/>
      <c r="K8" s="1"/>
      <c r="L8" s="1"/>
    </row>
    <row r="9">
      <c r="A9" s="1"/>
      <c r="B9" s="1" t="s">
        <v>481</v>
      </c>
      <c r="C9" s="35">
        <v>3288.9</v>
      </c>
      <c r="D9" s="5">
        <f>C16</f>
        <v>3261.7</v>
      </c>
      <c r="E9" s="5">
        <f>D16</f>
        <v>3220.4</v>
      </c>
      <c r="F9" s="5">
        <f>E16</f>
        <v>3148.9</v>
      </c>
      <c r="G9" s="5">
        <f>C9</f>
        <v>3288.9</v>
      </c>
      <c r="H9" s="5">
        <f>F16</f>
        <v>3092.6</v>
      </c>
      <c r="I9" s="5">
        <f>H16</f>
        <v>3064.3</v>
      </c>
      <c r="J9" s="15">
        <f>I16</f>
        <v>3028.5</v>
      </c>
      <c r="K9" s="1" t="s">
        <v>482</v>
      </c>
      <c r="L9" s="1"/>
    </row>
    <row r="10">
      <c r="A10" s="1"/>
      <c r="B10" s="1" t="s">
        <v>483</v>
      </c>
      <c r="C10" s="35">
        <v>44.5</v>
      </c>
      <c r="D10" s="35">
        <v>43.9</v>
      </c>
      <c r="E10" s="35">
        <v>74.6</v>
      </c>
      <c r="F10" s="35">
        <v>58.2</v>
      </c>
      <c r="G10" s="5">
        <f>SUM(C10:F10)</f>
        <v>221.2</v>
      </c>
      <c r="H10" s="35">
        <v>46.3</v>
      </c>
      <c r="I10" s="35">
        <v>37.4</v>
      </c>
      <c r="J10" s="15">
        <f>J22/J25</f>
        <v>40.69767441860465</v>
      </c>
      <c r="K10" s="1" t="s">
        <v>484</v>
      </c>
      <c r="L10" s="1"/>
    </row>
    <row r="11">
      <c r="A11" s="1"/>
      <c r="B11" s="1" t="s">
        <v>139</v>
      </c>
      <c r="C11" s="5"/>
      <c r="D11" s="5"/>
      <c r="E11" s="5"/>
      <c r="F11" s="5"/>
      <c r="G11" s="5"/>
      <c r="H11" s="5">
        <f>H10-C10</f>
        <v>1.7999999999999972</v>
      </c>
      <c r="I11" s="5">
        <f>I10-D10</f>
        <v>-6.5</v>
      </c>
      <c r="J11" s="15">
        <f>J10-E10</f>
        <v>-33.902325581395345</v>
      </c>
      <c r="K11" s="1"/>
      <c r="L11" s="1"/>
    </row>
    <row r="12">
      <c r="A12" s="1"/>
      <c r="B12" s="1" t="s">
        <v>140</v>
      </c>
      <c r="C12" s="5"/>
      <c r="D12" s="5">
        <f>D10-C10</f>
        <v>-0.6000000000000014</v>
      </c>
      <c r="E12" s="5">
        <f>E10-D10</f>
        <v>30.699999999999996</v>
      </c>
      <c r="F12" s="5">
        <f>F10-E10</f>
        <v>-16.39999999999999</v>
      </c>
      <c r="G12" s="5"/>
      <c r="H12" s="5">
        <f>H10-F10</f>
        <v>-11.900000000000006</v>
      </c>
      <c r="I12" s="5">
        <f>I10-H10</f>
        <v>-8.899999999999999</v>
      </c>
      <c r="J12" s="15">
        <f>J10-I10</f>
        <v>3.2976744186046503</v>
      </c>
      <c r="K12" s="1"/>
      <c r="L12" s="1"/>
    </row>
    <row r="13" ht="29.25">
      <c r="A13" s="1"/>
      <c r="B13" s="191" t="s">
        <v>485</v>
      </c>
      <c r="C13" s="5">
        <f>C16-C9+C10</f>
        <v>17.299999999999727</v>
      </c>
      <c r="D13" s="5">
        <f>D16-D9+D10</f>
        <v>2.6000000000002714</v>
      </c>
      <c r="E13" s="5">
        <f>E16-E9+E10</f>
        <v>3.0999999999999943</v>
      </c>
      <c r="F13" s="5">
        <f>F16-F9+F10</f>
        <v>1.899999999999821</v>
      </c>
      <c r="G13" s="5">
        <f>SUM(C13:F13)</f>
        <v>24.899999999999814</v>
      </c>
      <c r="H13" s="5">
        <f>H16-H9+H10</f>
        <v>18.00000000000027</v>
      </c>
      <c r="I13" s="5">
        <f>I16-I9+I10</f>
        <v>1.5999999999998167</v>
      </c>
      <c r="J13" s="38">
        <v>3</v>
      </c>
      <c r="K13" s="1"/>
      <c r="L13" s="1"/>
    </row>
    <row r="14">
      <c r="A14" s="1"/>
      <c r="B14" s="1" t="s">
        <v>139</v>
      </c>
      <c r="C14" s="5"/>
      <c r="D14" s="5"/>
      <c r="E14" s="5"/>
      <c r="F14" s="5"/>
      <c r="G14" s="5"/>
      <c r="H14" s="5">
        <f>H13-C13</f>
        <v>0.7000000000005429</v>
      </c>
      <c r="I14" s="5">
        <f>I13-D13</f>
        <v>-1.0000000000004547</v>
      </c>
      <c r="J14" s="15">
        <f>J13-E13</f>
        <v>-0.09999999999999432</v>
      </c>
      <c r="K14" s="1"/>
      <c r="L14" s="1"/>
    </row>
    <row r="15">
      <c r="A15" s="1"/>
      <c r="B15" s="1" t="s">
        <v>140</v>
      </c>
      <c r="C15" s="5"/>
      <c r="D15" s="5">
        <f>D13-C13</f>
        <v>-14.699999999999456</v>
      </c>
      <c r="E15" s="5">
        <f>E13-D13</f>
        <v>0.4999999999997229</v>
      </c>
      <c r="F15" s="5">
        <f>F13-E13</f>
        <v>-1.2000000000001734</v>
      </c>
      <c r="G15" s="5"/>
      <c r="H15" s="5">
        <f>H13-F13</f>
        <v>16.10000000000045</v>
      </c>
      <c r="I15" s="5">
        <f>I13-H13</f>
        <v>-16.400000000000453</v>
      </c>
      <c r="J15" s="15">
        <f>J13-I13</f>
        <v>1.4000000000001833</v>
      </c>
      <c r="K15" s="1"/>
      <c r="L15" s="1"/>
    </row>
    <row r="16">
      <c r="A16" s="1"/>
      <c r="B16" s="9" t="s">
        <v>486</v>
      </c>
      <c r="C16" s="22">
        <v>3261.7</v>
      </c>
      <c r="D16" s="22">
        <v>3220.4</v>
      </c>
      <c r="E16" s="22">
        <v>3148.9</v>
      </c>
      <c r="F16" s="22">
        <v>3092.6</v>
      </c>
      <c r="G16" s="17">
        <f>F16</f>
        <v>3092.6</v>
      </c>
      <c r="H16" s="22">
        <v>3064.3</v>
      </c>
      <c r="I16" s="22">
        <v>3028.5</v>
      </c>
      <c r="J16" s="42">
        <f>J9-J10+J13</f>
        <v>2990.8023255813955</v>
      </c>
      <c r="K16" s="1" t="s">
        <v>318</v>
      </c>
      <c r="L16" s="1"/>
    </row>
    <row r="17">
      <c r="A17" s="1"/>
      <c r="B17" s="1" t="s">
        <v>139</v>
      </c>
      <c r="C17" s="5"/>
      <c r="D17" s="5"/>
      <c r="E17" s="5"/>
      <c r="F17" s="5"/>
      <c r="G17" s="5"/>
      <c r="H17" s="5">
        <f>H16-C16</f>
        <v>-197.39999999999964</v>
      </c>
      <c r="I17" s="5">
        <f>I16-D16</f>
        <v>-191.9000000000001</v>
      </c>
      <c r="J17" s="15">
        <f>J16-E16</f>
        <v>-158.09767441860458</v>
      </c>
      <c r="K17" s="1"/>
      <c r="L17" s="1"/>
    </row>
    <row r="18">
      <c r="A18" s="1"/>
      <c r="B18" s="1" t="s">
        <v>140</v>
      </c>
      <c r="C18" s="5"/>
      <c r="D18" s="5">
        <f>D16-C16</f>
        <v>-41.29999999999973</v>
      </c>
      <c r="E18" s="5">
        <f>E16-D16</f>
        <v>-71.5</v>
      </c>
      <c r="F18" s="5">
        <f>F16-E16</f>
        <v>-56.30000000000018</v>
      </c>
      <c r="G18" s="5"/>
      <c r="H18" s="5">
        <f>H16-F16</f>
        <v>-28.299999999999727</v>
      </c>
      <c r="I18" s="5">
        <f>I16-H16</f>
        <v>-35.80000000000018</v>
      </c>
      <c r="J18" s="15">
        <f>J16-I16</f>
        <v>-37.69767441860449</v>
      </c>
      <c r="K18" s="1"/>
      <c r="L18" s="1"/>
    </row>
    <row r="19" ht="42">
      <c r="A19" s="1"/>
      <c r="B19" s="194" t="s">
        <v>487</v>
      </c>
      <c r="C19" s="197">
        <f>C9-C10+C13-C16</f>
        <v>0</v>
      </c>
      <c r="D19" s="197">
        <f>D9-D10+D13-D16</f>
        <v>0</v>
      </c>
      <c r="E19" s="197">
        <f>E9-E10+E13-E16</f>
        <v>0</v>
      </c>
      <c r="F19" s="197">
        <f>F9-F10+F13-F16</f>
        <v>0</v>
      </c>
      <c r="G19" s="197">
        <f>G9-G10+G13-G16</f>
        <v>0</v>
      </c>
      <c r="H19" s="197">
        <f>H9-H10+H13-H16</f>
        <v>0</v>
      </c>
      <c r="I19" s="197">
        <f>I9-I10+I13-I16</f>
        <v>0</v>
      </c>
      <c r="J19" s="196">
        <f>J9-J10+J13-J16</f>
        <v>0</v>
      </c>
      <c r="K19" s="1"/>
      <c r="L19" s="1"/>
    </row>
    <row r="20">
      <c r="A20" s="1"/>
      <c r="B20" s="1"/>
      <c r="C20" s="13"/>
      <c r="D20" s="13"/>
      <c r="E20" s="13"/>
      <c r="F20" s="13"/>
      <c r="G20" s="13"/>
      <c r="H20" s="13"/>
      <c r="I20" s="13"/>
      <c r="J20" s="27"/>
      <c r="K20" s="1"/>
      <c r="L20" s="1"/>
    </row>
    <row r="21">
      <c r="A21" s="1"/>
      <c r="B21" s="9" t="s">
        <v>488</v>
      </c>
      <c r="C21" s="25"/>
      <c r="D21" s="25"/>
      <c r="E21" s="25"/>
      <c r="F21" s="25"/>
      <c r="G21" s="25"/>
      <c r="H21" s="25"/>
      <c r="I21" s="25"/>
      <c r="J21" s="37"/>
      <c r="K21" s="1"/>
      <c r="L21" s="1"/>
    </row>
    <row r="22" ht="29.25">
      <c r="A22" s="1"/>
      <c r="B22" s="191" t="s">
        <v>489</v>
      </c>
      <c r="C22" s="35">
        <v>3500</v>
      </c>
      <c r="D22" s="35">
        <v>3000</v>
      </c>
      <c r="E22" s="35">
        <v>6100</v>
      </c>
      <c r="F22" s="35">
        <v>5000</v>
      </c>
      <c r="G22" s="5">
        <f>SUM(C22:F22)</f>
        <v>17600</v>
      </c>
      <c r="H22" s="35">
        <v>4000</v>
      </c>
      <c r="I22" s="35">
        <v>3000</v>
      </c>
      <c r="J22" s="38">
        <v>3500</v>
      </c>
      <c r="K22" s="1" t="s">
        <v>484</v>
      </c>
      <c r="L22" s="1"/>
    </row>
    <row r="23">
      <c r="A23" s="1"/>
      <c r="B23" s="1" t="s">
        <v>139</v>
      </c>
      <c r="C23" s="5"/>
      <c r="D23" s="5"/>
      <c r="E23" s="5"/>
      <c r="F23" s="5"/>
      <c r="G23" s="5"/>
      <c r="H23" s="5">
        <f>H22-C22</f>
        <v>500</v>
      </c>
      <c r="I23" s="5">
        <f>I22-D22</f>
        <v>0</v>
      </c>
      <c r="J23" s="15">
        <f>J22-E22</f>
        <v>-2600</v>
      </c>
      <c r="K23" s="1"/>
      <c r="L23" s="1"/>
    </row>
    <row r="24">
      <c r="A24" s="1"/>
      <c r="B24" s="1" t="s">
        <v>140</v>
      </c>
      <c r="C24" s="5"/>
      <c r="D24" s="5">
        <f>D22-C22</f>
        <v>-500</v>
      </c>
      <c r="E24" s="5">
        <f>E22-D22</f>
        <v>3100</v>
      </c>
      <c r="F24" s="5">
        <f>F22-E22</f>
        <v>-1100</v>
      </c>
      <c r="G24" s="5"/>
      <c r="H24" s="5">
        <f>H22-F22</f>
        <v>-1000</v>
      </c>
      <c r="I24" s="5">
        <f>I22-H22</f>
        <v>-1000</v>
      </c>
      <c r="J24" s="15">
        <f>J22-I22</f>
        <v>500</v>
      </c>
      <c r="K24" s="1"/>
      <c r="L24" s="1"/>
    </row>
    <row r="25" ht="29.25">
      <c r="A25" s="1"/>
      <c r="B25" s="191" t="s">
        <v>490</v>
      </c>
      <c r="C25" s="127">
        <f>C22/C10</f>
        <v>78.65168539325843</v>
      </c>
      <c r="D25" s="127">
        <f>D22/D10</f>
        <v>68.3371298405467</v>
      </c>
      <c r="E25" s="127">
        <f>E22/E10</f>
        <v>81.76943699731905</v>
      </c>
      <c r="F25" s="127">
        <f>F22/F10</f>
        <v>85.91065292096219</v>
      </c>
      <c r="G25" s="127">
        <f>G22/G10</f>
        <v>79.56600361663654</v>
      </c>
      <c r="H25" s="127">
        <f>H22/H10</f>
        <v>86.39308855291577</v>
      </c>
      <c r="I25" s="127">
        <f>I22/I10</f>
        <v>80.21390374331551</v>
      </c>
      <c r="J25" s="129">
        <v>86</v>
      </c>
      <c r="K25" s="1" t="s">
        <v>491</v>
      </c>
      <c r="L25" s="1"/>
    </row>
    <row r="26">
      <c r="A26" s="1"/>
      <c r="B26" s="1" t="s">
        <v>139</v>
      </c>
      <c r="C26" s="19"/>
      <c r="D26" s="19"/>
      <c r="E26" s="19"/>
      <c r="F26" s="19"/>
      <c r="G26" s="19"/>
      <c r="H26" s="127">
        <f>H25-C25</f>
        <v>7.741403159657338</v>
      </c>
      <c r="I26" s="127">
        <f>I25-D25</f>
        <v>11.876773902768818</v>
      </c>
      <c r="J26" s="142">
        <f>J25-E25</f>
        <v>4.230563002680952</v>
      </c>
      <c r="K26" s="1"/>
      <c r="L26" s="1"/>
    </row>
    <row r="27">
      <c r="A27" s="1"/>
      <c r="B27" s="1" t="s">
        <v>140</v>
      </c>
      <c r="C27" s="19"/>
      <c r="D27" s="127">
        <f>D25-C25</f>
        <v>-10.314555552711738</v>
      </c>
      <c r="E27" s="127">
        <f>E25-D25</f>
        <v>13.432307156772353</v>
      </c>
      <c r="F27" s="127">
        <f>F25-E25</f>
        <v>4.141215923643145</v>
      </c>
      <c r="G27" s="19"/>
      <c r="H27" s="127">
        <f>H25-F25</f>
        <v>0.4824356319535781</v>
      </c>
      <c r="I27" s="127">
        <f>I25-H25</f>
        <v>-6.179184809600258</v>
      </c>
      <c r="J27" s="142">
        <f>J25-I25</f>
        <v>5.786096256684488</v>
      </c>
      <c r="K27" s="1"/>
      <c r="L27" s="1"/>
    </row>
    <row r="28">
      <c r="A28" s="1"/>
      <c r="B28" s="6" t="s">
        <v>492</v>
      </c>
      <c r="C28" s="41">
        <f>C22/'Income Statement'!C225</f>
        <v>0.7582322357019065</v>
      </c>
      <c r="D28" s="41">
        <f>D22/'Income Statement'!D225</f>
        <v>0.5753739930955121</v>
      </c>
      <c r="E28" s="41">
        <f>E22/'Income Statement'!E225</f>
        <v>1.1421082194345629</v>
      </c>
      <c r="F28" s="41">
        <f>F22/'Income Statement'!F225</f>
        <v>0.9777082518576456</v>
      </c>
      <c r="G28" s="41">
        <f>G22/'Income Statement'!G225</f>
        <v>0.8676361843726892</v>
      </c>
      <c r="H28" s="41">
        <f>H22/'Income Statement'!H225</f>
        <v>0.8</v>
      </c>
      <c r="I28" s="41">
        <f>I22/'Income Statement'!I225</f>
        <v>0.487012987012987</v>
      </c>
      <c r="J28" s="55">
        <f>J22/'Income Statement'!J225</f>
        <v>0.6233381806071682</v>
      </c>
      <c r="K28" s="1"/>
      <c r="L28" s="1"/>
    </row>
    <row r="29">
      <c r="A29" s="1"/>
      <c r="B29" s="1" t="s">
        <v>151</v>
      </c>
      <c r="C29" s="5"/>
      <c r="D29" s="5"/>
      <c r="E29" s="5"/>
      <c r="F29" s="5"/>
      <c r="G29" s="5"/>
      <c r="H29" s="5">
        <f>(H28-C28)*10000</f>
        <v>417.6776429809359</v>
      </c>
      <c r="I29" s="5">
        <f>(I28-D28)*10000</f>
        <v>-883.6100608252506</v>
      </c>
      <c r="J29" s="15">
        <f>(J28-E28)*10000</f>
        <v>-5187.700388273947</v>
      </c>
      <c r="K29" s="1"/>
      <c r="L29" s="1"/>
    </row>
    <row r="30">
      <c r="A30" s="1"/>
      <c r="B30" s="1" t="s">
        <v>152</v>
      </c>
      <c r="C30" s="5"/>
      <c r="D30" s="5">
        <f>(D28-C28)*10000</f>
        <v>-1828.5824260639438</v>
      </c>
      <c r="E30" s="5">
        <f>(E28-D28)*10000</f>
        <v>5667.342263390508</v>
      </c>
      <c r="F30" s="5">
        <f>(F28-E28)*10000</f>
        <v>-1643.9996757691722</v>
      </c>
      <c r="G30" s="5"/>
      <c r="H30" s="5">
        <f>(H28-F28)*10000</f>
        <v>-1777.082518576456</v>
      </c>
      <c r="I30" s="5">
        <f>(I28-H28)*10000</f>
        <v>-3129.8701298701303</v>
      </c>
      <c r="J30" s="15">
        <f>(J28-I28)*10000</f>
        <v>1363.2519359418116</v>
      </c>
      <c r="K30" s="1"/>
      <c r="L30" s="1"/>
    </row>
    <row r="31">
      <c r="A31" s="1"/>
      <c r="B31" s="1"/>
      <c r="C31" s="13"/>
      <c r="D31" s="13"/>
      <c r="E31" s="13"/>
      <c r="F31" s="13"/>
      <c r="G31" s="13"/>
      <c r="H31" s="13"/>
      <c r="I31" s="13"/>
      <c r="J31" s="27"/>
      <c r="K31" s="1"/>
      <c r="L31" s="1"/>
    </row>
    <row r="32">
      <c r="A32" s="1"/>
      <c r="B32" s="9" t="s">
        <v>493</v>
      </c>
      <c r="C32" s="25"/>
      <c r="D32" s="25"/>
      <c r="E32" s="25"/>
      <c r="F32" s="25"/>
      <c r="G32" s="25"/>
      <c r="H32" s="25"/>
      <c r="I32" s="25"/>
      <c r="J32" s="37"/>
      <c r="K32" s="1"/>
      <c r="L32" s="1"/>
    </row>
    <row r="33">
      <c r="A33" s="1"/>
      <c r="B33" s="1" t="s">
        <v>494</v>
      </c>
      <c r="C33" s="35">
        <v>3280.4</v>
      </c>
      <c r="D33" s="35">
        <v>3232.7</v>
      </c>
      <c r="E33" s="35">
        <v>3182.2</v>
      </c>
      <c r="F33" s="35">
        <v>3113.8</v>
      </c>
      <c r="G33" s="35">
        <v>3201.8</v>
      </c>
      <c r="H33" s="35">
        <v>3080</v>
      </c>
      <c r="I33" s="35">
        <v>3044</v>
      </c>
      <c r="J33" s="15">
        <f>(J9+J16)/2+J36</f>
        <v>3006.6511627906975</v>
      </c>
      <c r="K33" s="1" t="s">
        <v>318</v>
      </c>
      <c r="L33" s="1"/>
    </row>
    <row r="34">
      <c r="A34" s="1"/>
      <c r="B34" s="1" t="s">
        <v>139</v>
      </c>
      <c r="C34" s="5"/>
      <c r="D34" s="5"/>
      <c r="E34" s="5"/>
      <c r="F34" s="5"/>
      <c r="G34" s="5"/>
      <c r="H34" s="5">
        <f>H33-C33</f>
        <v>-200.4000000000001</v>
      </c>
      <c r="I34" s="5">
        <f>I33-D33</f>
        <v>-188.69999999999982</v>
      </c>
      <c r="J34" s="15">
        <f>J33-E33</f>
        <v>-175.5488372093023</v>
      </c>
      <c r="K34" s="1"/>
      <c r="L34" s="1"/>
    </row>
    <row r="35">
      <c r="A35" s="1"/>
      <c r="B35" s="1" t="s">
        <v>140</v>
      </c>
      <c r="C35" s="5"/>
      <c r="D35" s="5">
        <f>D33-C33</f>
        <v>-47.70000000000027</v>
      </c>
      <c r="E35" s="5">
        <f>E33-D33</f>
        <v>-50.5</v>
      </c>
      <c r="F35" s="5">
        <f>F33-E33</f>
        <v>-68.39999999999964</v>
      </c>
      <c r="G35" s="5"/>
      <c r="H35" s="5">
        <f>H33-F33</f>
        <v>-33.80000000000018</v>
      </c>
      <c r="I35" s="5">
        <f>I33-H33</f>
        <v>-36</v>
      </c>
      <c r="J35" s="15">
        <f>J33-I33</f>
        <v>-37.348837209302474</v>
      </c>
      <c r="K35" s="1"/>
      <c r="L35" s="1"/>
    </row>
    <row r="36" ht="42">
      <c r="A36" s="1"/>
      <c r="B36" s="191" t="s">
        <v>495</v>
      </c>
      <c r="C36" s="5">
        <f>C33-(C9+C16)/2</f>
        <v>5.099999999999909</v>
      </c>
      <c r="D36" s="5">
        <f>D33-(D9+D16)/2</f>
        <v>-8.350000000000364</v>
      </c>
      <c r="E36" s="5">
        <f>E33-(E9+E16)/2</f>
        <v>-2.450000000000273</v>
      </c>
      <c r="F36" s="5">
        <f>F33-(F9+F16)/2</f>
        <v>-6.949999999999818</v>
      </c>
      <c r="G36" s="5"/>
      <c r="H36" s="5">
        <f>H33-(H9+H16)/2</f>
        <v>1.550000000000182</v>
      </c>
      <c r="I36" s="5">
        <f>I33-(I9+I16)/2</f>
        <v>-2.400000000000091</v>
      </c>
      <c r="J36" s="38">
        <v>-3</v>
      </c>
      <c r="K36" s="1"/>
      <c r="L36" s="1"/>
    </row>
    <row r="37">
      <c r="A37" s="1"/>
      <c r="B37" s="1" t="s">
        <v>496</v>
      </c>
      <c r="C37" s="5"/>
      <c r="D37" s="5"/>
      <c r="E37" s="5"/>
      <c r="F37" s="5"/>
      <c r="G37" s="5"/>
      <c r="H37" s="5">
        <f>H36-C36</f>
        <v>-3.549999999999727</v>
      </c>
      <c r="I37" s="5">
        <f>I36-D36</f>
        <v>5.950000000000273</v>
      </c>
      <c r="J37" s="15">
        <f>J36-E36</f>
        <v>-0.5499999999997272</v>
      </c>
      <c r="K37" s="1"/>
      <c r="L37" s="1"/>
    </row>
    <row r="38">
      <c r="A38" s="1"/>
      <c r="B38" s="1" t="s">
        <v>497</v>
      </c>
      <c r="C38" s="5"/>
      <c r="D38" s="5">
        <f>D36-C36</f>
        <v>-13.450000000000273</v>
      </c>
      <c r="E38" s="5">
        <f>E36-D36</f>
        <v>5.900000000000091</v>
      </c>
      <c r="F38" s="5">
        <f>F36-E36</f>
        <v>-4.499999999999545</v>
      </c>
      <c r="G38" s="5"/>
      <c r="H38" s="5">
        <f>H36-F36</f>
        <v>8.5</v>
      </c>
      <c r="I38" s="5">
        <f>I36-H36</f>
        <v>-3.950000000000273</v>
      </c>
      <c r="J38" s="15">
        <f>J36-I36</f>
        <v>-0.599999999999909</v>
      </c>
      <c r="K38" s="1"/>
      <c r="L38" s="1"/>
    </row>
    <row r="39" ht="29.25">
      <c r="A39" s="1"/>
      <c r="B39" s="191" t="s">
        <v>498</v>
      </c>
      <c r="C39" s="5">
        <f>C42-C33</f>
        <v>41.19999999999982</v>
      </c>
      <c r="D39" s="5">
        <f>D42-D33</f>
        <v>34.30000000000018</v>
      </c>
      <c r="E39" s="5">
        <f>E42-E33</f>
        <v>41.30000000000018</v>
      </c>
      <c r="F39" s="5">
        <f>F42-F33</f>
        <v>45.19999999999982</v>
      </c>
      <c r="G39" s="5">
        <f>G42-G33</f>
        <v>40.5</v>
      </c>
      <c r="H39" s="5">
        <f>H42-H33</f>
        <v>37.69999999999982</v>
      </c>
      <c r="I39" s="5">
        <f>I42-I33</f>
        <v>30.59999999999991</v>
      </c>
      <c r="J39" s="38">
        <v>31</v>
      </c>
      <c r="K39" s="1"/>
      <c r="L39" s="1"/>
    </row>
    <row r="40">
      <c r="A40" s="1"/>
      <c r="B40" s="1" t="s">
        <v>139</v>
      </c>
      <c r="C40" s="5"/>
      <c r="D40" s="5"/>
      <c r="E40" s="5"/>
      <c r="F40" s="5"/>
      <c r="G40" s="5"/>
      <c r="H40" s="5">
        <f>H39-C39</f>
        <v>-3.5</v>
      </c>
      <c r="I40" s="5">
        <f>I39-D39</f>
        <v>-3.700000000000273</v>
      </c>
      <c r="J40" s="15">
        <f>J39-E39</f>
        <v>-10.300000000000182</v>
      </c>
      <c r="K40" s="1"/>
      <c r="L40" s="1"/>
    </row>
    <row r="41">
      <c r="A41" s="1"/>
      <c r="B41" s="1" t="s">
        <v>140</v>
      </c>
      <c r="C41" s="5"/>
      <c r="D41" s="5">
        <f>D39-C39</f>
        <v>-6.899999999999636</v>
      </c>
      <c r="E41" s="5">
        <f>E39-D39</f>
        <v>7</v>
      </c>
      <c r="F41" s="5">
        <f>F39-E39</f>
        <v>3.899999999999636</v>
      </c>
      <c r="G41" s="5"/>
      <c r="H41" s="5">
        <f>H39-F39</f>
        <v>-7.5</v>
      </c>
      <c r="I41" s="5">
        <f>I39-H39</f>
        <v>-7.099999999999909</v>
      </c>
      <c r="J41" s="15">
        <f>J39-I39</f>
        <v>0.40000000000009095</v>
      </c>
      <c r="K41" s="1"/>
      <c r="L41" s="1"/>
    </row>
    <row r="42">
      <c r="A42" s="1"/>
      <c r="B42" s="9" t="s">
        <v>499</v>
      </c>
      <c r="C42" s="22">
        <v>3321.6</v>
      </c>
      <c r="D42" s="22">
        <v>3267</v>
      </c>
      <c r="E42" s="22">
        <v>3223.5</v>
      </c>
      <c r="F42" s="22">
        <v>3159</v>
      </c>
      <c r="G42" s="22">
        <v>3242.3</v>
      </c>
      <c r="H42" s="22">
        <v>3117.7</v>
      </c>
      <c r="I42" s="22">
        <v>3074.6</v>
      </c>
      <c r="J42" s="42">
        <f>J33+J39</f>
        <v>3037.6511627906975</v>
      </c>
      <c r="K42" s="1" t="s">
        <v>318</v>
      </c>
      <c r="L42" s="1"/>
    </row>
    <row r="43">
      <c r="A43" s="1"/>
      <c r="B43" s="1" t="s">
        <v>139</v>
      </c>
      <c r="C43" s="5"/>
      <c r="D43" s="5"/>
      <c r="E43" s="5"/>
      <c r="F43" s="5"/>
      <c r="G43" s="5"/>
      <c r="H43" s="5">
        <f>H42-C42</f>
        <v>-203.9000000000001</v>
      </c>
      <c r="I43" s="5">
        <f>I42-D42</f>
        <v>-192.4000000000001</v>
      </c>
      <c r="J43" s="15">
        <f>J42-E42</f>
        <v>-185.84883720930247</v>
      </c>
      <c r="K43" s="1"/>
      <c r="L43" s="1"/>
    </row>
    <row r="44">
      <c r="A44" s="1"/>
      <c r="B44" s="1" t="s">
        <v>140</v>
      </c>
      <c r="C44" s="5"/>
      <c r="D44" s="5">
        <f>D42-C42</f>
        <v>-54.59999999999991</v>
      </c>
      <c r="E44" s="5">
        <f>E42-D42</f>
        <v>-43.5</v>
      </c>
      <c r="F44" s="5">
        <f>F42-E42</f>
        <v>-64.5</v>
      </c>
      <c r="G44" s="5"/>
      <c r="H44" s="5">
        <f>H42-F42</f>
        <v>-41.30000000000018</v>
      </c>
      <c r="I44" s="5">
        <f>I42-H42</f>
        <v>-43.09999999999991</v>
      </c>
      <c r="J44" s="15">
        <f>J42-I42</f>
        <v>-36.94883720930238</v>
      </c>
      <c r="K44" s="1"/>
      <c r="L44" s="1"/>
    </row>
    <row r="45" ht="29.25">
      <c r="A45" s="1"/>
      <c r="B45" s="193" t="s">
        <v>500</v>
      </c>
      <c r="C45" s="17">
        <f>C42</f>
        <v>3321.6</v>
      </c>
      <c r="D45" s="17">
        <f>D42</f>
        <v>3267</v>
      </c>
      <c r="E45" s="17">
        <f>E42</f>
        <v>3223.5</v>
      </c>
      <c r="F45" s="17">
        <f>F42</f>
        <v>3159</v>
      </c>
      <c r="G45" s="17">
        <f>G42</f>
        <v>3242.3</v>
      </c>
      <c r="H45" s="17">
        <f>H42</f>
        <v>3117.7</v>
      </c>
      <c r="I45" s="17">
        <f>I42</f>
        <v>3074.6</v>
      </c>
      <c r="J45" s="42">
        <f>J42</f>
        <v>3037.6511627906975</v>
      </c>
      <c r="K45" s="1"/>
      <c r="L45" s="1"/>
    </row>
    <row r="46">
      <c r="A46" s="1"/>
      <c r="B46" s="1"/>
      <c r="C46" s="13"/>
      <c r="D46" s="13"/>
      <c r="E46" s="13"/>
      <c r="F46" s="13"/>
      <c r="G46" s="13"/>
      <c r="H46" s="13"/>
      <c r="I46" s="13"/>
      <c r="J46" s="27"/>
      <c r="K46" s="1"/>
      <c r="L46" s="1"/>
    </row>
    <row r="47">
      <c r="A47" s="1"/>
      <c r="B47" s="1"/>
      <c r="C47" s="13"/>
      <c r="D47" s="13"/>
      <c r="E47" s="13"/>
      <c r="F47" s="13"/>
      <c r="G47" s="13"/>
      <c r="H47" s="13"/>
      <c r="I47" s="13"/>
      <c r="J47" s="27"/>
      <c r="K47" s="1"/>
      <c r="L47" s="1"/>
    </row>
  </sheetData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44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14" customWidth="1"/>
  </cols>
  <sheetData>
    <row r="1">
      <c r="A1" s="1"/>
      <c r="B1" s="3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9" t="s">
        <v>501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137"/>
      <c r="C4" s="123"/>
      <c r="D4" s="123"/>
      <c r="E4" s="123"/>
      <c r="F4" s="123"/>
      <c r="G4" s="123"/>
      <c r="H4" s="123"/>
      <c r="I4" s="123"/>
      <c r="J4" s="123"/>
      <c r="K4" s="131" t="s">
        <v>3</v>
      </c>
      <c r="L4" s="1"/>
    </row>
    <row r="5">
      <c r="A5" s="1"/>
      <c r="B5" s="126"/>
      <c r="C5" s="124"/>
      <c r="D5" s="124"/>
      <c r="E5" s="124"/>
      <c r="F5" s="124"/>
      <c r="G5" s="124"/>
      <c r="H5" s="124"/>
      <c r="I5" s="124"/>
      <c r="J5" s="124"/>
      <c r="K5" s="71"/>
      <c r="L5" s="1"/>
    </row>
    <row r="6">
      <c r="A6" s="1"/>
      <c r="B6" s="134"/>
      <c r="C6" s="128"/>
      <c r="D6" s="128"/>
      <c r="E6" s="128"/>
      <c r="F6" s="128"/>
      <c r="G6" s="128"/>
      <c r="H6" s="128"/>
      <c r="I6" s="128"/>
      <c r="J6" s="128"/>
      <c r="K6" s="7"/>
      <c r="L6" s="1"/>
    </row>
    <row r="7">
      <c r="A7" s="1"/>
      <c r="B7" s="1"/>
      <c r="C7" s="1"/>
      <c r="D7" s="1"/>
      <c r="E7" s="1"/>
      <c r="F7" s="1"/>
      <c r="G7" s="1"/>
      <c r="H7" s="1"/>
      <c r="I7" s="1"/>
      <c r="J7" s="121"/>
      <c r="K7" s="1"/>
      <c r="L7" s="1"/>
    </row>
    <row r="8" ht="29.25">
      <c r="A8" s="1"/>
      <c r="B8" s="9" t="s">
        <v>502</v>
      </c>
      <c r="C8" s="59" t="s">
        <v>503</v>
      </c>
      <c r="D8" s="59" t="s">
        <v>62</v>
      </c>
      <c r="E8" s="152" t="s">
        <v>504</v>
      </c>
      <c r="F8" s="59" t="s">
        <v>505</v>
      </c>
      <c r="G8" s="59" t="s">
        <v>506</v>
      </c>
      <c r="H8" s="59" t="s">
        <v>507</v>
      </c>
      <c r="I8" s="59" t="s">
        <v>508</v>
      </c>
      <c r="J8" s="125" t="s">
        <v>509</v>
      </c>
      <c r="K8" s="1"/>
      <c r="L8" s="1"/>
    </row>
    <row r="9">
      <c r="A9" s="1"/>
      <c r="B9" s="9" t="s">
        <v>510</v>
      </c>
      <c r="C9" s="59"/>
      <c r="D9" s="59"/>
      <c r="E9" s="59"/>
      <c r="F9" s="25"/>
      <c r="G9" s="25"/>
      <c r="H9" s="25"/>
      <c r="I9" s="25"/>
      <c r="J9" s="144"/>
      <c r="K9" s="1"/>
      <c r="L9" s="1"/>
    </row>
    <row r="10" ht="29.25">
      <c r="A10" s="1"/>
      <c r="B10" s="191" t="s">
        <v>511</v>
      </c>
      <c r="C10" s="53">
        <v>45672</v>
      </c>
      <c r="D10" s="13" t="s">
        <v>512</v>
      </c>
      <c r="E10" s="13" t="s">
        <v>513</v>
      </c>
      <c r="F10" s="35">
        <v>48153</v>
      </c>
      <c r="G10" s="35">
        <v>49106</v>
      </c>
      <c r="H10" s="5">
        <f>(F10+G10)/2</f>
        <v>48629.5</v>
      </c>
      <c r="I10" s="14">
        <f>'Income Statement'!G42</f>
        <v>47484</v>
      </c>
      <c r="J10" s="136" t="str">
        <f>IF(I10&gt;G10,"Beat",IF(I10&lt;F10,"Miss","In range"))</f>
        <v>Miss</v>
      </c>
      <c r="K10" s="1" t="s">
        <v>514</v>
      </c>
      <c r="L10" s="1"/>
    </row>
    <row r="11" ht="42">
      <c r="A11" s="1"/>
      <c r="B11" s="191" t="s">
        <v>515</v>
      </c>
      <c r="C11" s="53">
        <v>45672</v>
      </c>
      <c r="D11" s="13" t="s">
        <v>512</v>
      </c>
      <c r="E11" s="192" t="s">
        <v>516</v>
      </c>
      <c r="F11" s="35">
        <v>54200</v>
      </c>
      <c r="G11" s="35">
        <v>54200</v>
      </c>
      <c r="H11" s="5">
        <f>(F11+G11)/2</f>
        <v>54200</v>
      </c>
      <c r="I11" s="14">
        <f>'Income Statement'!G187</f>
        <v>54842</v>
      </c>
      <c r="J11" s="136" t="str">
        <f>IF(I11&gt;G11,"Above guide",IF(I11&lt;F11,"Below guide","In range"))</f>
        <v>Above guide</v>
      </c>
      <c r="K11" s="1" t="s">
        <v>514</v>
      </c>
      <c r="L11" s="1"/>
    </row>
    <row r="12">
      <c r="A12" s="1"/>
      <c r="B12" s="9" t="s">
        <v>517</v>
      </c>
      <c r="C12" s="59"/>
      <c r="D12" s="59"/>
      <c r="E12" s="59"/>
      <c r="F12" s="25"/>
      <c r="G12" s="25"/>
      <c r="H12" s="25"/>
      <c r="I12" s="25"/>
      <c r="J12" s="144"/>
      <c r="K12" s="1"/>
      <c r="L12" s="1"/>
    </row>
    <row r="13" ht="29.25">
      <c r="A13" s="1"/>
      <c r="B13" s="191" t="s">
        <v>518</v>
      </c>
      <c r="C13" s="53">
        <v>46036</v>
      </c>
      <c r="D13" s="13" t="s">
        <v>519</v>
      </c>
      <c r="E13" s="13" t="s">
        <v>513</v>
      </c>
      <c r="F13" s="35">
        <v>50000</v>
      </c>
      <c r="G13" s="35">
        <v>50000</v>
      </c>
      <c r="H13" s="5">
        <f>(F13+G13)/2</f>
        <v>50000</v>
      </c>
      <c r="I13" s="5"/>
      <c r="J13" s="136" t="s">
        <v>520</v>
      </c>
      <c r="K13" s="1" t="s">
        <v>391</v>
      </c>
      <c r="L13" s="1"/>
    </row>
    <row r="14" ht="29.25">
      <c r="A14" s="1"/>
      <c r="B14" s="191" t="s">
        <v>521</v>
      </c>
      <c r="C14" s="53">
        <v>46036</v>
      </c>
      <c r="D14" s="13" t="s">
        <v>519</v>
      </c>
      <c r="E14" s="192" t="s">
        <v>516</v>
      </c>
      <c r="F14" s="35">
        <v>55700</v>
      </c>
      <c r="G14" s="35">
        <v>55700</v>
      </c>
      <c r="H14" s="5">
        <f>(F14+G14)/2</f>
        <v>55700</v>
      </c>
      <c r="I14" s="5"/>
      <c r="J14" s="136" t="s">
        <v>520</v>
      </c>
      <c r="K14" s="1" t="s">
        <v>391</v>
      </c>
      <c r="L14" s="1"/>
    </row>
    <row r="15">
      <c r="A15" s="1"/>
      <c r="B15" s="1" t="s">
        <v>522</v>
      </c>
      <c r="C15" s="53">
        <v>46217</v>
      </c>
      <c r="D15" s="13" t="s">
        <v>519</v>
      </c>
      <c r="E15" s="13" t="s">
        <v>513</v>
      </c>
      <c r="F15" s="35">
        <v>50000</v>
      </c>
      <c r="G15" s="35">
        <v>50000</v>
      </c>
      <c r="H15" s="5">
        <f>(F15+G15)/2</f>
        <v>50000</v>
      </c>
      <c r="I15" s="5"/>
      <c r="J15" s="136" t="s">
        <v>520</v>
      </c>
      <c r="K15" s="1" t="s">
        <v>523</v>
      </c>
      <c r="L15" s="1"/>
    </row>
    <row r="16" ht="29.25">
      <c r="A16" s="1"/>
      <c r="B16" s="191" t="s">
        <v>524</v>
      </c>
      <c r="C16" s="53">
        <v>46217</v>
      </c>
      <c r="D16" s="13" t="s">
        <v>519</v>
      </c>
      <c r="E16" s="192" t="s">
        <v>516</v>
      </c>
      <c r="F16" s="35">
        <v>55700</v>
      </c>
      <c r="G16" s="35">
        <v>55700</v>
      </c>
      <c r="H16" s="5">
        <f>(F16+G16)/2</f>
        <v>55700</v>
      </c>
      <c r="I16" s="5"/>
      <c r="J16" s="136" t="s">
        <v>520</v>
      </c>
      <c r="K16" s="1" t="s">
        <v>523</v>
      </c>
      <c r="L16" s="1"/>
    </row>
    <row r="17" ht="29.25">
      <c r="A17" s="1"/>
      <c r="B17" s="191" t="s">
        <v>525</v>
      </c>
      <c r="C17" s="53">
        <v>46217</v>
      </c>
      <c r="D17" s="13" t="s">
        <v>526</v>
      </c>
      <c r="E17" s="13" t="s">
        <v>527</v>
      </c>
      <c r="F17" s="35">
        <v>-4</v>
      </c>
      <c r="G17" s="35">
        <v>-3</v>
      </c>
      <c r="H17" s="5">
        <f>(F17+G17)/2</f>
        <v>-3.5</v>
      </c>
      <c r="I17" s="5"/>
      <c r="J17" s="136" t="s">
        <v>520</v>
      </c>
      <c r="K17" s="1" t="s">
        <v>320</v>
      </c>
      <c r="L17" s="1"/>
    </row>
    <row r="18">
      <c r="A18" s="1"/>
      <c r="B18" s="1" t="s">
        <v>528</v>
      </c>
      <c r="C18" s="53">
        <v>46280</v>
      </c>
      <c r="D18" s="13" t="s">
        <v>526</v>
      </c>
      <c r="E18" s="13" t="s">
        <v>527</v>
      </c>
      <c r="F18" s="35">
        <v>-1</v>
      </c>
      <c r="G18" s="198">
        <v>0</v>
      </c>
      <c r="H18" s="5">
        <f>(F18+G18)/2</f>
        <v>-0.5</v>
      </c>
      <c r="I18" s="5"/>
      <c r="J18" s="136" t="s">
        <v>520</v>
      </c>
      <c r="K18" s="1" t="s">
        <v>529</v>
      </c>
      <c r="L18" s="1"/>
    </row>
    <row r="19" ht="29.25">
      <c r="A19" s="1"/>
      <c r="B19" s="191" t="s">
        <v>530</v>
      </c>
      <c r="C19" s="53">
        <v>46280</v>
      </c>
      <c r="D19" s="13" t="s">
        <v>519</v>
      </c>
      <c r="E19" s="13" t="s">
        <v>513</v>
      </c>
      <c r="F19" s="35">
        <v>50000</v>
      </c>
      <c r="G19" s="35">
        <v>50000</v>
      </c>
      <c r="H19" s="5">
        <f>(F19+G19)/2</f>
        <v>50000</v>
      </c>
      <c r="I19" s="5"/>
      <c r="J19" s="136" t="s">
        <v>520</v>
      </c>
      <c r="K19" s="1" t="s">
        <v>320</v>
      </c>
      <c r="L19" s="1"/>
    </row>
    <row r="20" ht="29.25">
      <c r="A20" s="1"/>
      <c r="B20" s="191" t="s">
        <v>531</v>
      </c>
      <c r="C20" s="53">
        <v>46280</v>
      </c>
      <c r="D20" s="13" t="s">
        <v>519</v>
      </c>
      <c r="E20" s="192" t="s">
        <v>532</v>
      </c>
      <c r="F20" s="35">
        <v>2000</v>
      </c>
      <c r="G20" s="35">
        <v>2000</v>
      </c>
      <c r="H20" s="5">
        <f>(F20+G20)/2</f>
        <v>2000</v>
      </c>
      <c r="I20" s="5"/>
      <c r="J20" s="136" t="s">
        <v>520</v>
      </c>
      <c r="K20" s="1" t="s">
        <v>320</v>
      </c>
      <c r="L20" s="1"/>
    </row>
    <row r="21" ht="29.25">
      <c r="A21" s="1"/>
      <c r="B21" s="191" t="s">
        <v>533</v>
      </c>
      <c r="C21" s="53">
        <v>46280</v>
      </c>
      <c r="D21" s="13" t="s">
        <v>519</v>
      </c>
      <c r="E21" s="192" t="s">
        <v>516</v>
      </c>
      <c r="F21" s="35">
        <v>55700</v>
      </c>
      <c r="G21" s="35">
        <v>55700</v>
      </c>
      <c r="H21" s="5">
        <f>(F21+G21)/2</f>
        <v>55700</v>
      </c>
      <c r="I21" s="5"/>
      <c r="J21" s="136" t="s">
        <v>520</v>
      </c>
      <c r="K21" s="1" t="s">
        <v>320</v>
      </c>
      <c r="L21" s="1"/>
    </row>
    <row r="22" ht="29.25">
      <c r="A22" s="1"/>
      <c r="B22" s="194" t="s">
        <v>534</v>
      </c>
      <c r="C22" s="60">
        <v>46280</v>
      </c>
      <c r="D22" s="58" t="s">
        <v>526</v>
      </c>
      <c r="E22" s="58" t="s">
        <v>535</v>
      </c>
      <c r="F22" s="65">
        <v>0.03</v>
      </c>
      <c r="G22" s="65">
        <v>0.07</v>
      </c>
      <c r="H22" s="26">
        <f>(F22+G22)/2</f>
        <v>0.05</v>
      </c>
      <c r="I22" s="26"/>
      <c r="J22" s="130" t="s">
        <v>520</v>
      </c>
      <c r="K22" s="1" t="s">
        <v>320</v>
      </c>
      <c r="L22" s="1"/>
    </row>
    <row r="23" ht="29.25">
      <c r="A23" s="1"/>
      <c r="B23" s="194" t="s">
        <v>536</v>
      </c>
      <c r="C23" s="60">
        <v>46280</v>
      </c>
      <c r="D23" s="58" t="s">
        <v>526</v>
      </c>
      <c r="E23" s="58" t="s">
        <v>535</v>
      </c>
      <c r="F23" s="65">
        <v>0.03</v>
      </c>
      <c r="G23" s="65">
        <v>0.07</v>
      </c>
      <c r="H23" s="26">
        <f>(F23+G23)/2</f>
        <v>0.05</v>
      </c>
      <c r="I23" s="26"/>
      <c r="J23" s="130" t="s">
        <v>520</v>
      </c>
      <c r="K23" s="1" t="s">
        <v>320</v>
      </c>
      <c r="L23" s="1"/>
    </row>
    <row r="24">
      <c r="A24" s="1"/>
      <c r="B24" s="6" t="s">
        <v>537</v>
      </c>
      <c r="C24" s="60">
        <v>46217</v>
      </c>
      <c r="D24" s="58" t="s">
        <v>538</v>
      </c>
      <c r="E24" s="58" t="s">
        <v>539</v>
      </c>
      <c r="F24" s="141">
        <v>0.1</v>
      </c>
      <c r="G24" s="141">
        <v>0.105</v>
      </c>
      <c r="H24" s="138">
        <f>(F24+G24)/2</f>
        <v>0.10250000000000001</v>
      </c>
      <c r="I24" s="151">
        <f>'Balance Sheet'!I127</f>
        <v>0.103</v>
      </c>
      <c r="J24" s="130" t="str">
        <f>IF(I24&gt;G24,"Beat",IF(I24&lt;F24,"Miss","In range"))</f>
        <v>In range</v>
      </c>
      <c r="K24" s="1" t="s">
        <v>523</v>
      </c>
      <c r="L24" s="1"/>
    </row>
    <row r="25">
      <c r="A25" s="1"/>
      <c r="B25" s="1" t="s">
        <v>540</v>
      </c>
      <c r="C25" s="53">
        <v>46217</v>
      </c>
      <c r="D25" s="13" t="s">
        <v>526</v>
      </c>
      <c r="E25" s="13" t="s">
        <v>541</v>
      </c>
      <c r="F25" s="143">
        <v>0.5</v>
      </c>
      <c r="G25" s="143">
        <v>0.5</v>
      </c>
      <c r="H25" s="127">
        <f>(F25+G25)/2</f>
        <v>0.5</v>
      </c>
      <c r="I25" s="19"/>
      <c r="J25" s="127" t="s">
        <v>520</v>
      </c>
      <c r="K25" s="1" t="s">
        <v>542</v>
      </c>
      <c r="L25" s="1"/>
    </row>
    <row r="26" ht="29.25">
      <c r="A26" s="1"/>
      <c r="B26" s="191" t="s">
        <v>543</v>
      </c>
      <c r="C26" s="53">
        <v>46280</v>
      </c>
      <c r="D26" s="13" t="s">
        <v>526</v>
      </c>
      <c r="E26" s="13" t="s">
        <v>544</v>
      </c>
      <c r="F26" s="70"/>
      <c r="G26" s="70"/>
      <c r="H26" s="70"/>
      <c r="I26" s="70"/>
      <c r="J26" s="153" t="s">
        <v>520</v>
      </c>
      <c r="K26" s="1" t="s">
        <v>320</v>
      </c>
      <c r="L26" s="1"/>
    </row>
    <row r="27" ht="42">
      <c r="A27" s="1"/>
      <c r="B27" s="191" t="s">
        <v>545</v>
      </c>
      <c r="C27" s="53">
        <v>46280</v>
      </c>
      <c r="D27" s="13" t="s">
        <v>519</v>
      </c>
      <c r="E27" s="13" t="s">
        <v>544</v>
      </c>
      <c r="F27" s="70"/>
      <c r="G27" s="70"/>
      <c r="H27" s="70"/>
      <c r="I27" s="70"/>
      <c r="J27" s="153" t="s">
        <v>520</v>
      </c>
      <c r="K27" s="1" t="s">
        <v>320</v>
      </c>
      <c r="L27" s="1"/>
    </row>
    <row r="28">
      <c r="A28" s="1"/>
      <c r="B28" s="1"/>
      <c r="C28" s="13"/>
      <c r="D28" s="13"/>
      <c r="E28" s="13"/>
      <c r="F28" s="13"/>
      <c r="G28" s="13"/>
      <c r="H28" s="13"/>
      <c r="I28" s="13"/>
      <c r="J28" s="140"/>
      <c r="K28" s="1"/>
      <c r="L28" s="1"/>
    </row>
    <row r="29" ht="29.25">
      <c r="A29" s="1"/>
      <c r="B29" s="28" t="s">
        <v>546</v>
      </c>
      <c r="C29" s="59"/>
      <c r="D29" s="59"/>
      <c r="E29" s="59"/>
      <c r="F29" s="25"/>
      <c r="G29" s="25"/>
      <c r="H29" s="25"/>
      <c r="I29" s="25"/>
      <c r="J29" s="144"/>
      <c r="K29" s="1"/>
      <c r="L29" s="1"/>
    </row>
    <row r="30">
      <c r="A30" s="1"/>
      <c r="B30" s="6" t="s">
        <v>547</v>
      </c>
      <c r="C30" s="58"/>
      <c r="D30" s="58"/>
      <c r="E30" s="58"/>
      <c r="F30" s="26"/>
      <c r="G30" s="26"/>
      <c r="H30" s="41">
        <f>('Income Statement'!H42+'Income Statement'!I42)/H19</f>
        <v>0.48826</v>
      </c>
      <c r="I30" s="26"/>
      <c r="J30" s="130"/>
      <c r="K30" s="1"/>
      <c r="L30" s="1"/>
    </row>
    <row r="31" ht="29.25">
      <c r="A31" s="1"/>
      <c r="B31" s="194" t="s">
        <v>548</v>
      </c>
      <c r="C31" s="58"/>
      <c r="D31" s="58"/>
      <c r="E31" s="58"/>
      <c r="F31" s="26"/>
      <c r="G31" s="26"/>
      <c r="H31" s="41">
        <f>('Income Statement'!H187+'Income Statement'!I187)/H21</f>
        <v>0.5025314183123878</v>
      </c>
      <c r="I31" s="26"/>
      <c r="J31" s="130"/>
      <c r="K31" s="1"/>
      <c r="L31" s="1"/>
    </row>
    <row r="32" ht="29.25">
      <c r="A32" s="1"/>
      <c r="B32" s="191" t="s">
        <v>549</v>
      </c>
      <c r="C32" s="13"/>
      <c r="D32" s="13"/>
      <c r="E32" s="13"/>
      <c r="F32" s="5"/>
      <c r="G32" s="5"/>
      <c r="H32" s="14">
        <f>'Income Statement'!J14</f>
        <v>-0.5</v>
      </c>
      <c r="I32" s="5"/>
      <c r="J32" s="136"/>
      <c r="K32" s="1"/>
      <c r="L32" s="1"/>
    </row>
    <row r="33">
      <c r="A33" s="1"/>
      <c r="B33" s="1"/>
      <c r="C33" s="13"/>
      <c r="D33" s="13"/>
      <c r="E33" s="13"/>
      <c r="F33" s="13"/>
      <c r="G33" s="13"/>
      <c r="H33" s="13"/>
      <c r="I33" s="13"/>
      <c r="J33" s="140"/>
      <c r="K33" s="1"/>
      <c r="L33" s="1"/>
    </row>
    <row r="34" ht="42">
      <c r="A34" s="1"/>
      <c r="B34" s="28" t="s">
        <v>550</v>
      </c>
      <c r="C34" s="59"/>
      <c r="D34" s="59"/>
      <c r="E34" s="59"/>
      <c r="F34" s="25"/>
      <c r="G34" s="25"/>
      <c r="H34" s="25"/>
      <c r="I34" s="25"/>
      <c r="J34" s="144"/>
      <c r="K34" s="1"/>
      <c r="L34" s="1"/>
    </row>
    <row r="35" ht="29.25">
      <c r="A35" s="1"/>
      <c r="B35" s="191" t="s">
        <v>551</v>
      </c>
      <c r="C35" s="13"/>
      <c r="D35" s="13"/>
      <c r="E35" s="13"/>
      <c r="F35" s="5"/>
      <c r="G35" s="5"/>
      <c r="H35" s="14">
        <f>(H19-'Income Statement'!H42-'Income Statement'!I42)/2</f>
        <v>12793.5</v>
      </c>
      <c r="I35" s="5"/>
      <c r="J35" s="136"/>
      <c r="K35" s="1"/>
      <c r="L35" s="1"/>
    </row>
    <row r="36" ht="29.25">
      <c r="A36" s="1"/>
      <c r="B36" s="191" t="s">
        <v>552</v>
      </c>
      <c r="C36" s="13"/>
      <c r="D36" s="13"/>
      <c r="E36" s="13"/>
      <c r="F36" s="5"/>
      <c r="G36" s="5"/>
      <c r="H36" s="14">
        <f>(H21-'Income Statement'!H187-'Income Statement'!I187)/2</f>
        <v>13854.5</v>
      </c>
      <c r="I36" s="5"/>
      <c r="J36" s="136"/>
      <c r="K36" s="1"/>
      <c r="L36" s="1"/>
    </row>
    <row r="37" ht="42">
      <c r="A37" s="1"/>
      <c r="B37" s="193" t="s">
        <v>553</v>
      </c>
      <c r="C37" s="56"/>
      <c r="D37" s="56"/>
      <c r="E37" s="56"/>
      <c r="F37" s="17"/>
      <c r="G37" s="17"/>
      <c r="H37" s="33">
        <f>H35+'Income Statement'!J130</f>
        <v>22331.385999619644</v>
      </c>
      <c r="I37" s="17"/>
      <c r="J37" s="147"/>
      <c r="K37" s="1"/>
      <c r="L37" s="1"/>
    </row>
    <row r="38" ht="29.25">
      <c r="A38" s="1"/>
      <c r="B38" s="191" t="s">
        <v>554</v>
      </c>
      <c r="C38" s="13"/>
      <c r="D38" s="13"/>
      <c r="E38" s="13"/>
      <c r="F38" s="5"/>
      <c r="G38" s="5"/>
      <c r="H38" s="14">
        <f>H37-'Income Statement'!J158-H36</f>
        <v>7362.09892064704</v>
      </c>
      <c r="I38" s="5"/>
      <c r="J38" s="136"/>
      <c r="K38" s="1"/>
      <c r="L38" s="1"/>
    </row>
    <row r="39" ht="42">
      <c r="A39" s="1"/>
      <c r="B39" s="191" t="s">
        <v>555</v>
      </c>
      <c r="C39" s="13"/>
      <c r="D39" s="13"/>
      <c r="E39" s="13"/>
      <c r="F39" s="5"/>
      <c r="G39" s="5"/>
      <c r="H39" s="14">
        <f>H38*(1-'Income Statement'!J206)+'Income Statement'!J203-'Income Statement'!J214</f>
        <v>5933.300125724103</v>
      </c>
      <c r="I39" s="5"/>
      <c r="J39" s="136"/>
      <c r="K39" s="1"/>
      <c r="L39" s="1"/>
    </row>
    <row r="40" ht="29.25">
      <c r="A40" s="1"/>
      <c r="B40" s="193" t="s">
        <v>556</v>
      </c>
      <c r="C40" s="56"/>
      <c r="D40" s="56"/>
      <c r="E40" s="56"/>
      <c r="F40" s="17"/>
      <c r="G40" s="17"/>
      <c r="H40" s="33">
        <f>H39-'Income Statement'!J222</f>
        <v>5686.300125724103</v>
      </c>
      <c r="I40" s="17"/>
      <c r="J40" s="147"/>
      <c r="K40" s="1"/>
      <c r="L40" s="1"/>
    </row>
    <row r="41" ht="29.25">
      <c r="A41" s="1"/>
      <c r="B41" s="193" t="s">
        <v>557</v>
      </c>
      <c r="C41" s="56"/>
      <c r="D41" s="56"/>
      <c r="E41" s="56"/>
      <c r="F41" s="75"/>
      <c r="G41" s="75"/>
      <c r="H41" s="146">
        <f>H40/'Income Statement'!J234</f>
        <v>1.8719398051289355</v>
      </c>
      <c r="I41" s="75"/>
      <c r="J41" s="156"/>
      <c r="K41" s="1"/>
      <c r="L41" s="1"/>
    </row>
    <row r="42" ht="29.25">
      <c r="A42" s="1"/>
      <c r="B42" s="191" t="s">
        <v>558</v>
      </c>
      <c r="C42" s="13"/>
      <c r="D42" s="13"/>
      <c r="E42" s="13"/>
      <c r="F42" s="5"/>
      <c r="G42" s="5"/>
      <c r="H42" s="14">
        <f>'Income Statement'!J42-H35</f>
        <v>-89.96283817123367</v>
      </c>
      <c r="I42" s="5"/>
      <c r="J42" s="136"/>
      <c r="K42" s="1"/>
      <c r="L42" s="1"/>
    </row>
    <row r="43">
      <c r="A43" s="1"/>
      <c r="B43" s="1"/>
      <c r="C43" s="13"/>
      <c r="D43" s="13"/>
      <c r="E43" s="13"/>
      <c r="F43" s="13"/>
      <c r="G43" s="13"/>
      <c r="H43" s="13"/>
      <c r="I43" s="13"/>
      <c r="J43" s="140"/>
      <c r="K43" s="1"/>
      <c r="L43" s="1"/>
    </row>
    <row r="44">
      <c r="A44" s="1"/>
      <c r="B44" s="1"/>
      <c r="C44" s="13"/>
      <c r="D44" s="13"/>
      <c r="E44" s="13"/>
      <c r="F44" s="13"/>
      <c r="G44" s="13"/>
      <c r="H44" s="13"/>
      <c r="I44" s="13"/>
      <c r="J44" s="140"/>
      <c r="K44" s="1"/>
      <c r="L44" s="1"/>
    </row>
  </sheetData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39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1"/>
      <c r="B1" s="3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9" t="s">
        <v>559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137"/>
      <c r="C4" s="123"/>
      <c r="D4" s="123"/>
      <c r="E4" s="123"/>
      <c r="F4" s="123"/>
      <c r="G4" s="123"/>
      <c r="H4" s="123"/>
      <c r="I4" s="123"/>
      <c r="J4" s="123"/>
      <c r="K4" s="131" t="s">
        <v>3</v>
      </c>
      <c r="L4" s="1"/>
    </row>
    <row r="5">
      <c r="A5" s="1"/>
      <c r="B5" s="126"/>
      <c r="C5" s="124"/>
      <c r="D5" s="124"/>
      <c r="E5" s="124"/>
      <c r="F5" s="124"/>
      <c r="G5" s="124"/>
      <c r="H5" s="124"/>
      <c r="I5" s="124"/>
      <c r="J5" s="124"/>
      <c r="K5" s="71"/>
      <c r="L5" s="1"/>
    </row>
    <row r="6">
      <c r="A6" s="1"/>
      <c r="B6" s="134"/>
      <c r="C6" s="128"/>
      <c r="D6" s="128"/>
      <c r="E6" s="128"/>
      <c r="F6" s="128"/>
      <c r="G6" s="128"/>
      <c r="H6" s="128"/>
      <c r="I6" s="128"/>
      <c r="J6" s="128"/>
      <c r="K6" s="7"/>
      <c r="L6" s="1"/>
    </row>
    <row r="7">
      <c r="A7" s="1"/>
      <c r="B7" s="1"/>
      <c r="C7" s="1"/>
      <c r="D7" s="1"/>
      <c r="E7" s="1"/>
      <c r="F7" s="1"/>
      <c r="G7" s="1"/>
      <c r="H7" s="1"/>
      <c r="I7" s="1"/>
      <c r="J7" s="121"/>
      <c r="K7" s="1"/>
      <c r="L7" s="1"/>
    </row>
    <row r="8" ht="42">
      <c r="A8" s="1"/>
      <c r="B8" s="9" t="s">
        <v>560</v>
      </c>
      <c r="C8" s="9" t="s">
        <v>561</v>
      </c>
      <c r="D8" s="125" t="s">
        <v>562</v>
      </c>
      <c r="E8" s="188" t="s">
        <v>563</v>
      </c>
      <c r="F8" s="9" t="s">
        <v>564</v>
      </c>
      <c r="G8" s="9" t="s">
        <v>565</v>
      </c>
      <c r="H8" s="9"/>
      <c r="I8" s="9"/>
      <c r="J8" s="135"/>
      <c r="K8" s="1" t="s">
        <v>566</v>
      </c>
      <c r="L8" s="1"/>
    </row>
    <row r="9" ht="29.25">
      <c r="A9" s="1"/>
      <c r="B9" s="18" t="s">
        <v>567</v>
      </c>
      <c r="C9" s="1" t="s">
        <v>568</v>
      </c>
      <c r="D9" s="24">
        <v>46306</v>
      </c>
      <c r="E9" s="24">
        <v>46306</v>
      </c>
      <c r="F9" s="18" t="s">
        <v>569</v>
      </c>
      <c r="G9" s="1" t="s">
        <v>570</v>
      </c>
      <c r="H9" s="1"/>
      <c r="I9" s="1"/>
      <c r="J9" s="121"/>
      <c r="K9" s="186" t="s">
        <v>571</v>
      </c>
      <c r="L9" s="1"/>
    </row>
    <row r="10" ht="29.25">
      <c r="A10" s="1"/>
      <c r="B10" s="18" t="s">
        <v>572</v>
      </c>
      <c r="C10" s="1" t="s">
        <v>573</v>
      </c>
      <c r="D10" s="24">
        <v>46306</v>
      </c>
      <c r="E10" s="24">
        <v>46306</v>
      </c>
      <c r="F10" s="18" t="s">
        <v>569</v>
      </c>
      <c r="G10" s="1" t="s">
        <v>574</v>
      </c>
      <c r="H10" s="1"/>
      <c r="I10" s="1"/>
      <c r="J10" s="121"/>
      <c r="K10" s="186" t="s">
        <v>575</v>
      </c>
      <c r="L10" s="1"/>
    </row>
    <row r="11" ht="29.25">
      <c r="A11" s="1"/>
      <c r="B11" s="18" t="s">
        <v>576</v>
      </c>
      <c r="C11" s="1" t="s">
        <v>334</v>
      </c>
      <c r="D11" s="24">
        <v>46217</v>
      </c>
      <c r="E11" s="24">
        <v>46306</v>
      </c>
      <c r="F11" s="18" t="s">
        <v>577</v>
      </c>
      <c r="G11" s="1" t="s">
        <v>578</v>
      </c>
      <c r="H11" s="1"/>
      <c r="I11" s="1"/>
      <c r="J11" s="121"/>
      <c r="K11" s="186" t="s">
        <v>579</v>
      </c>
      <c r="L11" s="1"/>
    </row>
    <row r="12" ht="42">
      <c r="A12" s="1"/>
      <c r="B12" s="18" t="s">
        <v>580</v>
      </c>
      <c r="C12" s="1" t="s">
        <v>581</v>
      </c>
      <c r="D12" s="24">
        <v>46217</v>
      </c>
      <c r="E12" s="24">
        <v>46306</v>
      </c>
      <c r="F12" s="18" t="s">
        <v>577</v>
      </c>
      <c r="G12" s="1" t="s">
        <v>582</v>
      </c>
      <c r="H12" s="1"/>
      <c r="I12" s="1"/>
      <c r="J12" s="121"/>
      <c r="K12" s="186" t="s">
        <v>583</v>
      </c>
      <c r="L12" s="1"/>
    </row>
    <row r="13" ht="29.25">
      <c r="A13" s="1"/>
      <c r="B13" s="18" t="s">
        <v>584</v>
      </c>
      <c r="C13" s="1" t="s">
        <v>542</v>
      </c>
      <c r="D13" s="24">
        <v>46217</v>
      </c>
      <c r="E13" s="24">
        <v>46306</v>
      </c>
      <c r="F13" s="18" t="s">
        <v>577</v>
      </c>
      <c r="G13" s="1" t="s">
        <v>585</v>
      </c>
      <c r="H13" s="1"/>
      <c r="I13" s="1"/>
      <c r="J13" s="121"/>
      <c r="K13" s="186" t="s">
        <v>586</v>
      </c>
      <c r="L13" s="1"/>
    </row>
    <row r="14" ht="29.25">
      <c r="A14" s="1"/>
      <c r="B14" s="18" t="s">
        <v>587</v>
      </c>
      <c r="C14" s="1" t="s">
        <v>588</v>
      </c>
      <c r="D14" s="24">
        <v>46126</v>
      </c>
      <c r="E14" s="24">
        <v>46306</v>
      </c>
      <c r="F14" s="18" t="s">
        <v>577</v>
      </c>
      <c r="G14" s="1" t="s">
        <v>589</v>
      </c>
      <c r="H14" s="1"/>
      <c r="I14" s="1"/>
      <c r="J14" s="121"/>
      <c r="K14" s="186" t="s">
        <v>590</v>
      </c>
      <c r="L14" s="1"/>
    </row>
    <row r="15" ht="42">
      <c r="A15" s="1"/>
      <c r="B15" s="18" t="s">
        <v>591</v>
      </c>
      <c r="C15" s="1" t="s">
        <v>592</v>
      </c>
      <c r="D15" s="24">
        <v>46126</v>
      </c>
      <c r="E15" s="24">
        <v>46306</v>
      </c>
      <c r="F15" s="18" t="s">
        <v>577</v>
      </c>
      <c r="G15" s="1" t="s">
        <v>593</v>
      </c>
      <c r="H15" s="1"/>
      <c r="I15" s="1"/>
      <c r="J15" s="121"/>
      <c r="K15" s="186" t="s">
        <v>594</v>
      </c>
      <c r="L15" s="1"/>
    </row>
    <row r="16" ht="29.25">
      <c r="A16" s="1"/>
      <c r="B16" s="18" t="s">
        <v>595</v>
      </c>
      <c r="C16" s="1" t="s">
        <v>482</v>
      </c>
      <c r="D16" s="24">
        <v>46036</v>
      </c>
      <c r="E16" s="24">
        <v>46306</v>
      </c>
      <c r="F16" s="18" t="s">
        <v>577</v>
      </c>
      <c r="G16" s="1" t="s">
        <v>596</v>
      </c>
      <c r="H16" s="1"/>
      <c r="I16" s="1"/>
      <c r="J16" s="121"/>
      <c r="K16" s="186" t="s">
        <v>597</v>
      </c>
      <c r="L16" s="1"/>
    </row>
    <row r="17" ht="42">
      <c r="A17" s="1"/>
      <c r="B17" s="18" t="s">
        <v>598</v>
      </c>
      <c r="C17" s="1" t="s">
        <v>391</v>
      </c>
      <c r="D17" s="24">
        <v>46036</v>
      </c>
      <c r="E17" s="24">
        <v>46306</v>
      </c>
      <c r="F17" s="18" t="s">
        <v>577</v>
      </c>
      <c r="G17" s="1" t="s">
        <v>599</v>
      </c>
      <c r="H17" s="1"/>
      <c r="I17" s="1"/>
      <c r="J17" s="121"/>
      <c r="K17" s="186" t="s">
        <v>600</v>
      </c>
      <c r="L17" s="1"/>
    </row>
    <row r="18" ht="29.25">
      <c r="A18" s="1"/>
      <c r="B18" s="18" t="s">
        <v>601</v>
      </c>
      <c r="C18" s="1" t="s">
        <v>602</v>
      </c>
      <c r="D18" s="24">
        <v>45944</v>
      </c>
      <c r="E18" s="24">
        <v>46306</v>
      </c>
      <c r="F18" s="18" t="s">
        <v>603</v>
      </c>
      <c r="G18" s="1" t="s">
        <v>582</v>
      </c>
      <c r="H18" s="1"/>
      <c r="I18" s="1"/>
      <c r="J18" s="121"/>
      <c r="K18" s="186" t="s">
        <v>604</v>
      </c>
      <c r="L18" s="1"/>
    </row>
    <row r="19" ht="42">
      <c r="A19" s="1"/>
      <c r="B19" s="18" t="s">
        <v>605</v>
      </c>
      <c r="C19" s="1" t="s">
        <v>606</v>
      </c>
      <c r="D19" s="24">
        <v>45853</v>
      </c>
      <c r="E19" s="24">
        <v>46306</v>
      </c>
      <c r="F19" s="18" t="s">
        <v>577</v>
      </c>
      <c r="G19" s="1" t="s">
        <v>582</v>
      </c>
      <c r="H19" s="1"/>
      <c r="I19" s="1"/>
      <c r="J19" s="121"/>
      <c r="K19" s="186" t="s">
        <v>607</v>
      </c>
      <c r="L19" s="1"/>
    </row>
    <row r="20" ht="42">
      <c r="A20" s="1"/>
      <c r="B20" s="18" t="s">
        <v>608</v>
      </c>
      <c r="C20" s="1" t="s">
        <v>609</v>
      </c>
      <c r="D20" s="24">
        <v>45758</v>
      </c>
      <c r="E20" s="24">
        <v>46306</v>
      </c>
      <c r="F20" s="18" t="s">
        <v>577</v>
      </c>
      <c r="G20" s="1" t="s">
        <v>582</v>
      </c>
      <c r="H20" s="1"/>
      <c r="I20" s="1"/>
      <c r="J20" s="121"/>
      <c r="K20" s="186" t="s">
        <v>610</v>
      </c>
      <c r="L20" s="1"/>
    </row>
    <row r="21" ht="54.75">
      <c r="A21" s="1"/>
      <c r="B21" s="18" t="s">
        <v>611</v>
      </c>
      <c r="C21" s="1" t="s">
        <v>444</v>
      </c>
      <c r="D21" s="24">
        <v>46231</v>
      </c>
      <c r="E21" s="24">
        <v>46306</v>
      </c>
      <c r="F21" s="1" t="s">
        <v>612</v>
      </c>
      <c r="G21" s="1" t="s">
        <v>613</v>
      </c>
      <c r="H21" s="1"/>
      <c r="I21" s="1"/>
      <c r="J21" s="121"/>
      <c r="K21" s="186" t="s">
        <v>614</v>
      </c>
      <c r="L21" s="1"/>
    </row>
    <row r="22" ht="54.75">
      <c r="A22" s="1"/>
      <c r="B22" s="18" t="s">
        <v>615</v>
      </c>
      <c r="C22" s="1" t="s">
        <v>320</v>
      </c>
      <c r="D22" s="24">
        <v>46280</v>
      </c>
      <c r="E22" s="24">
        <v>46306</v>
      </c>
      <c r="F22" s="18" t="s">
        <v>616</v>
      </c>
      <c r="G22" s="1" t="s">
        <v>617</v>
      </c>
      <c r="H22" s="1"/>
      <c r="I22" s="1"/>
      <c r="J22" s="121"/>
      <c r="K22" s="186" t="s">
        <v>618</v>
      </c>
      <c r="L22" s="1"/>
    </row>
    <row r="23" ht="42">
      <c r="A23" s="1"/>
      <c r="B23" s="18" t="s">
        <v>619</v>
      </c>
      <c r="C23" s="1" t="s">
        <v>620</v>
      </c>
      <c r="D23" s="24">
        <v>46283</v>
      </c>
      <c r="E23" s="24">
        <v>46306</v>
      </c>
      <c r="F23" s="18" t="s">
        <v>621</v>
      </c>
      <c r="G23" s="1" t="s">
        <v>622</v>
      </c>
      <c r="H23" s="1"/>
      <c r="I23" s="1"/>
      <c r="J23" s="121"/>
      <c r="K23" s="186" t="s">
        <v>623</v>
      </c>
      <c r="L23" s="1"/>
    </row>
    <row r="24" ht="42">
      <c r="A24" s="1"/>
      <c r="B24" s="18" t="s">
        <v>624</v>
      </c>
      <c r="C24" s="1" t="s">
        <v>523</v>
      </c>
      <c r="D24" s="24">
        <v>46217</v>
      </c>
      <c r="E24" s="24">
        <v>46306</v>
      </c>
      <c r="F24" s="18" t="s">
        <v>625</v>
      </c>
      <c r="G24" s="1" t="s">
        <v>622</v>
      </c>
      <c r="H24" s="1"/>
      <c r="I24" s="1"/>
      <c r="J24" s="121"/>
      <c r="K24" s="186" t="s">
        <v>626</v>
      </c>
      <c r="L24" s="1"/>
    </row>
    <row r="25" ht="42">
      <c r="A25" s="1"/>
      <c r="B25" s="18" t="s">
        <v>627</v>
      </c>
      <c r="C25" s="1" t="s">
        <v>49</v>
      </c>
      <c r="D25" s="24">
        <v>46303</v>
      </c>
      <c r="E25" s="24">
        <v>46306</v>
      </c>
      <c r="F25" s="18" t="s">
        <v>628</v>
      </c>
      <c r="G25" s="1" t="s">
        <v>629</v>
      </c>
      <c r="H25" s="1"/>
      <c r="I25" s="1"/>
      <c r="J25" s="121"/>
      <c r="K25" s="186" t="s">
        <v>630</v>
      </c>
      <c r="L25" s="1"/>
    </row>
    <row r="26" ht="42">
      <c r="A26" s="1"/>
      <c r="B26" s="18" t="s">
        <v>631</v>
      </c>
      <c r="C26" s="1" t="s">
        <v>58</v>
      </c>
      <c r="D26" s="24">
        <v>46306</v>
      </c>
      <c r="E26" s="24">
        <v>46306</v>
      </c>
      <c r="F26" s="18" t="s">
        <v>632</v>
      </c>
      <c r="G26" s="1" t="s">
        <v>633</v>
      </c>
      <c r="H26" s="1"/>
      <c r="I26" s="1"/>
      <c r="J26" s="121"/>
      <c r="K26" s="186" t="s">
        <v>634</v>
      </c>
      <c r="L26" s="1"/>
    </row>
    <row r="27" ht="29.25">
      <c r="A27" s="1"/>
      <c r="B27" s="18" t="s">
        <v>635</v>
      </c>
      <c r="C27" s="1" t="s">
        <v>636</v>
      </c>
      <c r="D27" s="24">
        <v>46304</v>
      </c>
      <c r="E27" s="24">
        <v>46306</v>
      </c>
      <c r="F27" s="18" t="s">
        <v>637</v>
      </c>
      <c r="G27" s="1" t="s">
        <v>638</v>
      </c>
      <c r="H27" s="1"/>
      <c r="I27" s="1"/>
      <c r="J27" s="121"/>
      <c r="K27" s="186" t="s">
        <v>639</v>
      </c>
      <c r="L27" s="1"/>
    </row>
    <row r="28" ht="42">
      <c r="A28" s="1"/>
      <c r="B28" s="18" t="s">
        <v>640</v>
      </c>
      <c r="C28" s="1" t="s">
        <v>491</v>
      </c>
      <c r="D28" s="24">
        <v>46304</v>
      </c>
      <c r="E28" s="24">
        <v>46306</v>
      </c>
      <c r="F28" s="18" t="s">
        <v>641</v>
      </c>
      <c r="G28" s="1" t="s">
        <v>642</v>
      </c>
      <c r="H28" s="1"/>
      <c r="I28" s="1"/>
      <c r="J28" s="121"/>
      <c r="K28" s="186" t="s">
        <v>643</v>
      </c>
      <c r="L28" s="1"/>
    </row>
    <row r="29" ht="42">
      <c r="A29" s="1"/>
      <c r="B29" s="18" t="s">
        <v>644</v>
      </c>
      <c r="C29" s="1" t="s">
        <v>645</v>
      </c>
      <c r="D29" s="24">
        <v>46280</v>
      </c>
      <c r="E29" s="24">
        <v>46306</v>
      </c>
      <c r="F29" s="1" t="s">
        <v>646</v>
      </c>
      <c r="G29" s="1" t="s">
        <v>647</v>
      </c>
      <c r="H29" s="1"/>
      <c r="I29" s="1"/>
      <c r="J29" s="121"/>
      <c r="K29" s="186" t="s">
        <v>648</v>
      </c>
      <c r="L29" s="1"/>
    </row>
    <row r="30" ht="29.25">
      <c r="A30" s="1"/>
      <c r="B30" s="18" t="s">
        <v>649</v>
      </c>
      <c r="C30" s="1" t="s">
        <v>514</v>
      </c>
      <c r="D30" s="24">
        <v>45672</v>
      </c>
      <c r="E30" s="24">
        <v>46306</v>
      </c>
      <c r="F30" s="1" t="s">
        <v>650</v>
      </c>
      <c r="G30" s="1" t="s">
        <v>622</v>
      </c>
      <c r="H30" s="1"/>
      <c r="I30" s="1"/>
      <c r="J30" s="121"/>
      <c r="K30" s="186" t="s">
        <v>651</v>
      </c>
      <c r="L30" s="1"/>
    </row>
    <row r="31" ht="42">
      <c r="A31" s="1"/>
      <c r="B31" s="18" t="s">
        <v>652</v>
      </c>
      <c r="C31" s="1" t="s">
        <v>653</v>
      </c>
      <c r="D31" s="24">
        <v>46300</v>
      </c>
      <c r="E31" s="24">
        <v>46306</v>
      </c>
      <c r="F31" s="18" t="s">
        <v>654</v>
      </c>
      <c r="G31" s="1" t="s">
        <v>633</v>
      </c>
      <c r="H31" s="1"/>
      <c r="I31" s="1"/>
      <c r="J31" s="121"/>
      <c r="K31" s="186" t="s">
        <v>655</v>
      </c>
      <c r="L31" s="1"/>
    </row>
    <row r="32" ht="54.75">
      <c r="A32" s="1"/>
      <c r="B32" s="18" t="s">
        <v>656</v>
      </c>
      <c r="C32" s="1" t="s">
        <v>53</v>
      </c>
      <c r="D32" s="24">
        <v>46305</v>
      </c>
      <c r="E32" s="24">
        <v>46306</v>
      </c>
      <c r="F32" s="18" t="s">
        <v>657</v>
      </c>
      <c r="G32" s="1" t="s">
        <v>658</v>
      </c>
      <c r="H32" s="1"/>
      <c r="I32" s="1"/>
      <c r="J32" s="121"/>
      <c r="K32" s="186" t="s">
        <v>659</v>
      </c>
      <c r="L32" s="1"/>
    </row>
    <row r="33" ht="29.25">
      <c r="A33" s="1"/>
      <c r="B33" s="18" t="s">
        <v>660</v>
      </c>
      <c r="C33" s="1" t="s">
        <v>661</v>
      </c>
      <c r="D33" s="24">
        <v>46077</v>
      </c>
      <c r="E33" s="24">
        <v>46306</v>
      </c>
      <c r="F33" s="18" t="s">
        <v>577</v>
      </c>
      <c r="G33" s="1" t="s">
        <v>662</v>
      </c>
      <c r="H33" s="1"/>
      <c r="I33" s="1"/>
      <c r="J33" s="121"/>
      <c r="K33" s="186" t="s">
        <v>663</v>
      </c>
      <c r="L33" s="1"/>
    </row>
    <row r="34" ht="42">
      <c r="A34" s="1"/>
      <c r="B34" s="18" t="s">
        <v>664</v>
      </c>
      <c r="C34" s="1" t="s">
        <v>665</v>
      </c>
      <c r="D34" s="24">
        <v>46234</v>
      </c>
      <c r="E34" s="24">
        <v>46306</v>
      </c>
      <c r="F34" s="18" t="s">
        <v>666</v>
      </c>
      <c r="G34" s="1" t="s">
        <v>667</v>
      </c>
      <c r="H34" s="1"/>
      <c r="I34" s="1"/>
      <c r="J34" s="121"/>
      <c r="K34" s="186" t="s">
        <v>668</v>
      </c>
      <c r="L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21"/>
      <c r="K35" s="1"/>
      <c r="L35" s="1"/>
    </row>
    <row r="36" ht="67.5">
      <c r="A36" s="1"/>
      <c r="B36" s="36" t="s">
        <v>669</v>
      </c>
      <c r="C36" s="6"/>
      <c r="D36" s="6"/>
      <c r="E36" s="6"/>
      <c r="F36" s="6"/>
      <c r="G36" s="6"/>
      <c r="H36" s="6"/>
      <c r="I36" s="6"/>
      <c r="J36" s="122"/>
      <c r="K36" s="1"/>
      <c r="L36" s="1"/>
    </row>
    <row r="37" ht="144">
      <c r="A37" s="1"/>
      <c r="B37" s="36" t="s">
        <v>670</v>
      </c>
      <c r="C37" s="6"/>
      <c r="D37" s="6"/>
      <c r="E37" s="6"/>
      <c r="F37" s="6"/>
      <c r="G37" s="6"/>
      <c r="H37" s="6"/>
      <c r="I37" s="6"/>
      <c r="J37" s="122"/>
      <c r="K37" s="1"/>
      <c r="L37" s="1"/>
    </row>
    <row r="38" ht="131.25">
      <c r="A38" s="1"/>
      <c r="B38" s="187" t="s">
        <v>671</v>
      </c>
      <c r="C38" s="1"/>
      <c r="D38" s="1"/>
      <c r="E38" s="1"/>
      <c r="F38" s="1"/>
      <c r="G38" s="1"/>
      <c r="H38" s="1"/>
      <c r="I38" s="1"/>
      <c r="J38" s="121"/>
      <c r="K38" s="1"/>
      <c r="L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21"/>
      <c r="K39" s="1"/>
      <c r="L39" s="1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dimension ref="A1:L127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14" customWidth="1"/>
  </cols>
  <sheetData>
    <row r="1">
      <c r="A1" s="1"/>
      <c r="B1" s="3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9" t="s">
        <v>672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137"/>
      <c r="C4" s="123"/>
      <c r="D4" s="123"/>
      <c r="E4" s="123"/>
      <c r="F4" s="123"/>
      <c r="G4" s="123"/>
      <c r="H4" s="123"/>
      <c r="I4" s="123"/>
      <c r="J4" s="123"/>
      <c r="K4" s="131" t="s">
        <v>3</v>
      </c>
      <c r="L4" s="1"/>
    </row>
    <row r="5">
      <c r="A5" s="1"/>
      <c r="B5" s="126"/>
      <c r="C5" s="124"/>
      <c r="D5" s="124"/>
      <c r="E5" s="124"/>
      <c r="F5" s="124"/>
      <c r="G5" s="124"/>
      <c r="H5" s="124"/>
      <c r="I5" s="124"/>
      <c r="J5" s="124"/>
      <c r="K5" s="71"/>
      <c r="L5" s="1"/>
    </row>
    <row r="6">
      <c r="A6" s="1"/>
      <c r="B6" s="134"/>
      <c r="C6" s="128"/>
      <c r="D6" s="128"/>
      <c r="E6" s="128"/>
      <c r="F6" s="128"/>
      <c r="G6" s="128"/>
      <c r="H6" s="128"/>
      <c r="I6" s="128"/>
      <c r="J6" s="128"/>
      <c r="K6" s="7"/>
      <c r="L6" s="1"/>
    </row>
    <row r="7">
      <c r="A7" s="1"/>
      <c r="B7" s="1"/>
      <c r="C7" s="1"/>
      <c r="D7" s="1"/>
      <c r="E7" s="1"/>
      <c r="F7" s="1"/>
      <c r="G7" s="1"/>
      <c r="H7" s="1"/>
      <c r="I7" s="1"/>
      <c r="J7" s="121"/>
      <c r="K7" s="1"/>
      <c r="L7" s="1"/>
    </row>
    <row r="8" ht="29.25">
      <c r="A8" s="1"/>
      <c r="B8" s="28" t="s">
        <v>673</v>
      </c>
      <c r="C8" s="21"/>
      <c r="D8" s="21"/>
      <c r="E8" s="21"/>
      <c r="F8" s="21"/>
      <c r="G8" s="21"/>
      <c r="H8" s="21"/>
      <c r="I8" s="21"/>
      <c r="J8" s="160"/>
      <c r="K8" s="1"/>
      <c r="L8" s="1"/>
    </row>
    <row r="9">
      <c r="A9" s="1"/>
      <c r="B9" s="1" t="s">
        <v>674</v>
      </c>
      <c r="C9" s="3" t="s">
        <v>569</v>
      </c>
      <c r="D9" s="3"/>
      <c r="E9" s="3"/>
      <c r="F9" s="3"/>
      <c r="G9" s="3"/>
      <c r="H9" s="3"/>
      <c r="I9" s="3"/>
      <c r="J9" s="157"/>
      <c r="K9" s="1" t="s">
        <v>568</v>
      </c>
      <c r="L9" s="1"/>
    </row>
    <row r="10">
      <c r="A10" s="1"/>
      <c r="B10" s="1" t="s">
        <v>675</v>
      </c>
      <c r="C10" s="3" t="s">
        <v>676</v>
      </c>
      <c r="D10" s="3"/>
      <c r="E10" s="3"/>
      <c r="F10" s="3"/>
      <c r="G10" s="3"/>
      <c r="H10" s="3"/>
      <c r="I10" s="3"/>
      <c r="J10" s="157"/>
      <c r="K10" s="1" t="s">
        <v>568</v>
      </c>
      <c r="L10" s="1"/>
    </row>
    <row r="11">
      <c r="A11" s="1"/>
      <c r="B11" s="1" t="s">
        <v>677</v>
      </c>
      <c r="C11" s="3" t="s">
        <v>5</v>
      </c>
      <c r="D11" s="3"/>
      <c r="E11" s="3"/>
      <c r="F11" s="3"/>
      <c r="G11" s="3"/>
      <c r="H11" s="3"/>
      <c r="I11" s="3"/>
      <c r="J11" s="157"/>
      <c r="K11" s="1" t="s">
        <v>568</v>
      </c>
      <c r="L11" s="1"/>
    </row>
    <row r="12">
      <c r="A12" s="1"/>
      <c r="B12" s="1" t="s">
        <v>678</v>
      </c>
      <c r="C12" s="3" t="s">
        <v>679</v>
      </c>
      <c r="D12" s="3"/>
      <c r="E12" s="3"/>
      <c r="F12" s="3"/>
      <c r="G12" s="3"/>
      <c r="H12" s="3"/>
      <c r="I12" s="3"/>
      <c r="J12" s="157"/>
      <c r="K12" s="1" t="s">
        <v>568</v>
      </c>
      <c r="L12" s="1"/>
    </row>
    <row r="13">
      <c r="A13" s="1"/>
      <c r="B13" s="1" t="s">
        <v>680</v>
      </c>
      <c r="C13" s="24">
        <v>46295</v>
      </c>
      <c r="D13" s="3"/>
      <c r="E13" s="3"/>
      <c r="F13" s="3"/>
      <c r="G13" s="3"/>
      <c r="H13" s="3"/>
      <c r="I13" s="3"/>
      <c r="J13" s="157"/>
      <c r="K13" s="1" t="s">
        <v>568</v>
      </c>
      <c r="L13" s="1"/>
    </row>
    <row r="14">
      <c r="A14" s="1"/>
      <c r="B14" s="1" t="s">
        <v>681</v>
      </c>
      <c r="C14" s="24">
        <v>46306</v>
      </c>
      <c r="D14" s="3"/>
      <c r="E14" s="3"/>
      <c r="F14" s="3"/>
      <c r="G14" s="3"/>
      <c r="H14" s="3"/>
      <c r="I14" s="3"/>
      <c r="J14" s="157"/>
      <c r="K14" s="1" t="s">
        <v>568</v>
      </c>
      <c r="L14" s="1"/>
    </row>
    <row r="15">
      <c r="A15" s="1"/>
      <c r="B15" s="1" t="s">
        <v>682</v>
      </c>
      <c r="C15" s="62">
        <v>11</v>
      </c>
      <c r="D15" s="4"/>
      <c r="E15" s="4"/>
      <c r="F15" s="4"/>
      <c r="G15" s="4"/>
      <c r="H15" s="4"/>
      <c r="I15" s="4"/>
      <c r="J15" s="162"/>
      <c r="K15" s="1" t="s">
        <v>568</v>
      </c>
      <c r="L15" s="1"/>
    </row>
    <row r="16">
      <c r="A16" s="1"/>
      <c r="B16" s="1" t="s">
        <v>683</v>
      </c>
      <c r="C16" s="139">
        <v>1.83</v>
      </c>
      <c r="D16" s="49"/>
      <c r="E16" s="49"/>
      <c r="F16" s="49"/>
      <c r="G16" s="49"/>
      <c r="H16" s="49"/>
      <c r="I16" s="49"/>
      <c r="J16" s="161"/>
      <c r="K16" s="1" t="s">
        <v>568</v>
      </c>
      <c r="L16" s="1"/>
    </row>
    <row r="17">
      <c r="A17" s="1"/>
      <c r="B17" s="1" t="s">
        <v>684</v>
      </c>
      <c r="C17" s="3" t="s">
        <v>685</v>
      </c>
      <c r="D17" s="3"/>
      <c r="E17" s="3"/>
      <c r="F17" s="3"/>
      <c r="G17" s="3"/>
      <c r="H17" s="3"/>
      <c r="I17" s="3"/>
      <c r="J17" s="157"/>
      <c r="K17" s="1" t="s">
        <v>568</v>
      </c>
      <c r="L17" s="1"/>
    </row>
    <row r="18">
      <c r="A18" s="1"/>
      <c r="B18" s="1" t="s">
        <v>686</v>
      </c>
      <c r="C18" s="62">
        <v>22324.43</v>
      </c>
      <c r="D18" s="4"/>
      <c r="E18" s="4"/>
      <c r="F18" s="4"/>
      <c r="G18" s="4"/>
      <c r="H18" s="4"/>
      <c r="I18" s="4"/>
      <c r="J18" s="162"/>
      <c r="K18" s="1" t="s">
        <v>568</v>
      </c>
      <c r="L18" s="1"/>
    </row>
    <row r="19">
      <c r="A19" s="1"/>
      <c r="B19" s="1" t="s">
        <v>687</v>
      </c>
      <c r="C19" s="3" t="s">
        <v>11</v>
      </c>
      <c r="D19" s="3"/>
      <c r="E19" s="3"/>
      <c r="F19" s="3"/>
      <c r="G19" s="3"/>
      <c r="H19" s="3"/>
      <c r="I19" s="3"/>
      <c r="J19" s="157"/>
      <c r="K19" s="1" t="s">
        <v>568</v>
      </c>
      <c r="L19" s="1"/>
    </row>
    <row r="20">
      <c r="A20" s="1"/>
      <c r="B20" s="1" t="s">
        <v>688</v>
      </c>
      <c r="C20" s="3" t="s">
        <v>689</v>
      </c>
      <c r="D20" s="3"/>
      <c r="E20" s="3"/>
      <c r="F20" s="3"/>
      <c r="G20" s="3"/>
      <c r="H20" s="3"/>
      <c r="I20" s="3"/>
      <c r="J20" s="157"/>
      <c r="K20" s="1" t="s">
        <v>568</v>
      </c>
      <c r="L20" s="1"/>
    </row>
    <row r="21">
      <c r="A21" s="1"/>
      <c r="B21" s="1" t="s">
        <v>690</v>
      </c>
      <c r="C21" s="3" t="s">
        <v>691</v>
      </c>
      <c r="D21" s="3"/>
      <c r="E21" s="3"/>
      <c r="F21" s="3"/>
      <c r="G21" s="3"/>
      <c r="H21" s="3"/>
      <c r="I21" s="3"/>
      <c r="J21" s="157"/>
      <c r="K21" s="1" t="s">
        <v>568</v>
      </c>
      <c r="L21" s="1"/>
    </row>
    <row r="22">
      <c r="A22" s="1"/>
      <c r="B22" s="1" t="s">
        <v>692</v>
      </c>
      <c r="C22" s="3" t="s">
        <v>693</v>
      </c>
      <c r="D22" s="3"/>
      <c r="E22" s="3"/>
      <c r="F22" s="3"/>
      <c r="G22" s="3"/>
      <c r="H22" s="3"/>
      <c r="I22" s="3"/>
      <c r="J22" s="157"/>
      <c r="K22" s="1" t="s">
        <v>568</v>
      </c>
      <c r="L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21"/>
      <c r="K23" s="1"/>
      <c r="L23" s="1"/>
    </row>
    <row r="24" ht="42">
      <c r="A24" s="1"/>
      <c r="B24" s="28" t="s">
        <v>694</v>
      </c>
      <c r="C24" s="21"/>
      <c r="D24" s="21"/>
      <c r="E24" s="21"/>
      <c r="F24" s="21"/>
      <c r="G24" s="21"/>
      <c r="H24" s="21"/>
      <c r="I24" s="21"/>
      <c r="J24" s="160"/>
      <c r="K24" s="1"/>
      <c r="L24" s="1"/>
    </row>
    <row r="25">
      <c r="A25" s="1"/>
      <c r="B25" s="1" t="s">
        <v>675</v>
      </c>
      <c r="C25" s="3" t="s">
        <v>676</v>
      </c>
      <c r="D25" s="3"/>
      <c r="E25" s="3"/>
      <c r="F25" s="3"/>
      <c r="G25" s="3"/>
      <c r="H25" s="3"/>
      <c r="I25" s="3"/>
      <c r="J25" s="157"/>
      <c r="K25" s="1" t="s">
        <v>568</v>
      </c>
      <c r="L25" s="1"/>
    </row>
    <row r="26">
      <c r="A26" s="1"/>
      <c r="B26" s="1" t="s">
        <v>695</v>
      </c>
      <c r="C26" s="3" t="s">
        <v>5</v>
      </c>
      <c r="D26" s="3"/>
      <c r="E26" s="3"/>
      <c r="F26" s="3"/>
      <c r="G26" s="3"/>
      <c r="H26" s="3"/>
      <c r="I26" s="3"/>
      <c r="J26" s="157"/>
      <c r="K26" s="1" t="s">
        <v>568</v>
      </c>
      <c r="L26" s="1"/>
    </row>
    <row r="27">
      <c r="A27" s="1"/>
      <c r="B27" s="1" t="s">
        <v>696</v>
      </c>
      <c r="C27" s="3" t="s">
        <v>697</v>
      </c>
      <c r="D27" s="3"/>
      <c r="E27" s="3"/>
      <c r="F27" s="3"/>
      <c r="G27" s="3"/>
      <c r="H27" s="3"/>
      <c r="I27" s="3"/>
      <c r="J27" s="157"/>
      <c r="K27" s="1" t="s">
        <v>568</v>
      </c>
      <c r="L27" s="1"/>
    </row>
    <row r="28">
      <c r="A28" s="1"/>
      <c r="B28" s="1" t="s">
        <v>698</v>
      </c>
      <c r="C28" s="111">
        <v>292891</v>
      </c>
      <c r="D28" s="3"/>
      <c r="E28" s="3"/>
      <c r="F28" s="3"/>
      <c r="G28" s="3"/>
      <c r="H28" s="3"/>
      <c r="I28" s="3"/>
      <c r="J28" s="157"/>
      <c r="K28" s="1" t="s">
        <v>568</v>
      </c>
      <c r="L28" s="1"/>
    </row>
    <row r="29">
      <c r="A29" s="1"/>
      <c r="B29" s="1" t="s">
        <v>699</v>
      </c>
      <c r="C29" s="3" t="s">
        <v>700</v>
      </c>
      <c r="D29" s="3"/>
      <c r="E29" s="3"/>
      <c r="F29" s="3"/>
      <c r="G29" s="3"/>
      <c r="H29" s="3"/>
      <c r="I29" s="3"/>
      <c r="J29" s="157"/>
      <c r="K29" s="1" t="s">
        <v>568</v>
      </c>
      <c r="L29" s="1"/>
    </row>
    <row r="30">
      <c r="A30" s="1"/>
      <c r="B30" s="1" t="s">
        <v>701</v>
      </c>
      <c r="C30" s="3"/>
      <c r="D30" s="3"/>
      <c r="E30" s="3"/>
      <c r="F30" s="3"/>
      <c r="G30" s="3"/>
      <c r="H30" s="3"/>
      <c r="I30" s="3"/>
      <c r="J30" s="157"/>
      <c r="K30" s="1" t="s">
        <v>568</v>
      </c>
      <c r="L30" s="1"/>
    </row>
    <row r="31">
      <c r="A31" s="1"/>
      <c r="B31" s="1" t="s">
        <v>702</v>
      </c>
      <c r="C31" s="3" t="s">
        <v>679</v>
      </c>
      <c r="D31" s="3"/>
      <c r="E31" s="3"/>
      <c r="F31" s="3"/>
      <c r="G31" s="3"/>
      <c r="H31" s="3"/>
      <c r="I31" s="3"/>
      <c r="J31" s="157"/>
      <c r="K31" s="1" t="s">
        <v>568</v>
      </c>
      <c r="L31" s="1"/>
    </row>
    <row r="32">
      <c r="A32" s="1"/>
      <c r="B32" s="1" t="s">
        <v>703</v>
      </c>
      <c r="C32" s="24">
        <v>46295</v>
      </c>
      <c r="D32" s="3"/>
      <c r="E32" s="3"/>
      <c r="F32" s="3"/>
      <c r="G32" s="3"/>
      <c r="H32" s="3"/>
      <c r="I32" s="3"/>
      <c r="J32" s="157"/>
      <c r="K32" s="1" t="s">
        <v>568</v>
      </c>
      <c r="L32" s="1"/>
    </row>
    <row r="33">
      <c r="A33" s="1"/>
      <c r="B33" s="1" t="s">
        <v>704</v>
      </c>
      <c r="C33" s="24">
        <v>46308</v>
      </c>
      <c r="D33" s="3"/>
      <c r="E33" s="3"/>
      <c r="F33" s="3"/>
      <c r="G33" s="3"/>
      <c r="H33" s="3"/>
      <c r="I33" s="3"/>
      <c r="J33" s="157"/>
      <c r="K33" s="1" t="s">
        <v>568</v>
      </c>
      <c r="L33" s="1"/>
    </row>
    <row r="34">
      <c r="A34" s="1"/>
      <c r="B34" s="1" t="s">
        <v>705</v>
      </c>
      <c r="C34" s="3" t="s">
        <v>706</v>
      </c>
      <c r="D34" s="3"/>
      <c r="E34" s="3"/>
      <c r="F34" s="3"/>
      <c r="G34" s="3"/>
      <c r="H34" s="3"/>
      <c r="I34" s="3"/>
      <c r="J34" s="157"/>
      <c r="K34" s="1" t="s">
        <v>568</v>
      </c>
      <c r="L34" s="1"/>
    </row>
    <row r="35">
      <c r="A35" s="1"/>
      <c r="B35" s="1" t="s">
        <v>707</v>
      </c>
      <c r="C35" s="95">
        <v>27</v>
      </c>
      <c r="D35" s="93"/>
      <c r="E35" s="93"/>
      <c r="F35" s="93"/>
      <c r="G35" s="93"/>
      <c r="H35" s="93"/>
      <c r="I35" s="93"/>
      <c r="J35" s="158"/>
      <c r="K35" s="1" t="s">
        <v>568</v>
      </c>
      <c r="L35" s="1"/>
    </row>
    <row r="36">
      <c r="A36" s="1"/>
      <c r="B36" s="1" t="s">
        <v>708</v>
      </c>
      <c r="C36" s="139">
        <v>1.83</v>
      </c>
      <c r="D36" s="49"/>
      <c r="E36" s="49"/>
      <c r="F36" s="49"/>
      <c r="G36" s="49"/>
      <c r="H36" s="49"/>
      <c r="I36" s="49"/>
      <c r="J36" s="161"/>
      <c r="K36" s="1" t="s">
        <v>568</v>
      </c>
      <c r="L36" s="1"/>
    </row>
    <row r="37">
      <c r="A37" s="1"/>
      <c r="B37" s="1" t="s">
        <v>709</v>
      </c>
      <c r="C37" s="139">
        <v>1.84</v>
      </c>
      <c r="D37" s="49"/>
      <c r="E37" s="49"/>
      <c r="F37" s="49"/>
      <c r="G37" s="49"/>
      <c r="H37" s="49"/>
      <c r="I37" s="49"/>
      <c r="J37" s="161"/>
      <c r="K37" s="1" t="s">
        <v>568</v>
      </c>
      <c r="L37" s="1"/>
    </row>
    <row r="38">
      <c r="A38" s="1"/>
      <c r="B38" s="1" t="s">
        <v>710</v>
      </c>
      <c r="C38" s="139">
        <v>1.91</v>
      </c>
      <c r="D38" s="49"/>
      <c r="E38" s="49"/>
      <c r="F38" s="49"/>
      <c r="G38" s="49"/>
      <c r="H38" s="49"/>
      <c r="I38" s="49"/>
      <c r="J38" s="161"/>
      <c r="K38" s="1" t="s">
        <v>568</v>
      </c>
      <c r="L38" s="1"/>
    </row>
    <row r="39">
      <c r="A39" s="1"/>
      <c r="B39" s="1" t="s">
        <v>711</v>
      </c>
      <c r="C39" s="139">
        <v>1.71</v>
      </c>
      <c r="D39" s="49"/>
      <c r="E39" s="49"/>
      <c r="F39" s="49"/>
      <c r="G39" s="49"/>
      <c r="H39" s="49"/>
      <c r="I39" s="49"/>
      <c r="J39" s="161"/>
      <c r="K39" s="1" t="s">
        <v>568</v>
      </c>
      <c r="L39" s="1"/>
    </row>
    <row r="40">
      <c r="A40" s="1"/>
      <c r="B40" s="1" t="s">
        <v>712</v>
      </c>
      <c r="C40" s="139">
        <v>0.05</v>
      </c>
      <c r="D40" s="49"/>
      <c r="E40" s="49"/>
      <c r="F40" s="49"/>
      <c r="G40" s="49"/>
      <c r="H40" s="49"/>
      <c r="I40" s="49"/>
      <c r="J40" s="161"/>
      <c r="K40" s="1" t="s">
        <v>568</v>
      </c>
      <c r="L40" s="1"/>
    </row>
    <row r="41">
      <c r="A41" s="1"/>
      <c r="B41" s="1" t="s">
        <v>713</v>
      </c>
      <c r="C41" s="95">
        <v>11</v>
      </c>
      <c r="D41" s="93"/>
      <c r="E41" s="93"/>
      <c r="F41" s="93"/>
      <c r="G41" s="93"/>
      <c r="H41" s="93"/>
      <c r="I41" s="93"/>
      <c r="J41" s="158"/>
      <c r="K41" s="1" t="s">
        <v>568</v>
      </c>
      <c r="L41" s="1"/>
    </row>
    <row r="42">
      <c r="A42" s="1"/>
      <c r="B42" s="1" t="s">
        <v>714</v>
      </c>
      <c r="C42" s="3"/>
      <c r="D42" s="3"/>
      <c r="E42" s="3"/>
      <c r="F42" s="3"/>
      <c r="G42" s="3"/>
      <c r="H42" s="3"/>
      <c r="I42" s="3"/>
      <c r="J42" s="157"/>
      <c r="K42" s="1" t="s">
        <v>568</v>
      </c>
      <c r="L42" s="1"/>
    </row>
    <row r="43">
      <c r="A43" s="1"/>
      <c r="B43" s="1" t="s">
        <v>715</v>
      </c>
      <c r="C43" s="3"/>
      <c r="D43" s="3"/>
      <c r="E43" s="3"/>
      <c r="F43" s="3"/>
      <c r="G43" s="3"/>
      <c r="H43" s="3"/>
      <c r="I43" s="3"/>
      <c r="J43" s="157"/>
      <c r="K43" s="1" t="s">
        <v>568</v>
      </c>
      <c r="L43" s="1"/>
    </row>
    <row r="44">
      <c r="A44" s="1"/>
      <c r="B44" s="1" t="s">
        <v>716</v>
      </c>
      <c r="C44" s="3"/>
      <c r="D44" s="3"/>
      <c r="E44" s="3"/>
      <c r="F44" s="3"/>
      <c r="G44" s="3"/>
      <c r="H44" s="3"/>
      <c r="I44" s="3"/>
      <c r="J44" s="157"/>
      <c r="K44" s="1" t="s">
        <v>568</v>
      </c>
      <c r="L44" s="1"/>
    </row>
    <row r="45">
      <c r="A45" s="1"/>
      <c r="B45" s="1" t="s">
        <v>717</v>
      </c>
      <c r="C45" s="139">
        <v>1.86</v>
      </c>
      <c r="D45" s="49"/>
      <c r="E45" s="49"/>
      <c r="F45" s="49"/>
      <c r="G45" s="49"/>
      <c r="H45" s="49"/>
      <c r="I45" s="49"/>
      <c r="J45" s="161"/>
      <c r="K45" s="1" t="s">
        <v>568</v>
      </c>
      <c r="L45" s="1"/>
    </row>
    <row r="46">
      <c r="A46" s="1"/>
      <c r="B46" s="1" t="s">
        <v>718</v>
      </c>
      <c r="C46" s="139">
        <v>1.85</v>
      </c>
      <c r="D46" s="49"/>
      <c r="E46" s="49"/>
      <c r="F46" s="49"/>
      <c r="G46" s="49"/>
      <c r="H46" s="49"/>
      <c r="I46" s="49"/>
      <c r="J46" s="161"/>
      <c r="K46" s="1" t="s">
        <v>568</v>
      </c>
      <c r="L46" s="1"/>
    </row>
    <row r="47">
      <c r="A47" s="1"/>
      <c r="B47" s="1" t="s">
        <v>719</v>
      </c>
      <c r="C47" s="139">
        <v>1.92</v>
      </c>
      <c r="D47" s="49"/>
      <c r="E47" s="49"/>
      <c r="F47" s="49"/>
      <c r="G47" s="49"/>
      <c r="H47" s="49"/>
      <c r="I47" s="49"/>
      <c r="J47" s="161"/>
      <c r="K47" s="1" t="s">
        <v>568</v>
      </c>
      <c r="L47" s="1"/>
    </row>
    <row r="48">
      <c r="A48" s="1"/>
      <c r="B48" s="1" t="s">
        <v>720</v>
      </c>
      <c r="C48" s="139">
        <v>1.83</v>
      </c>
      <c r="D48" s="49"/>
      <c r="E48" s="49"/>
      <c r="F48" s="49"/>
      <c r="G48" s="49"/>
      <c r="H48" s="49"/>
      <c r="I48" s="49"/>
      <c r="J48" s="161"/>
      <c r="K48" s="1" t="s">
        <v>568</v>
      </c>
      <c r="L48" s="1"/>
    </row>
    <row r="49">
      <c r="A49" s="1"/>
      <c r="B49" s="1" t="s">
        <v>721</v>
      </c>
      <c r="C49" s="139">
        <v>0.03</v>
      </c>
      <c r="D49" s="49"/>
      <c r="E49" s="49"/>
      <c r="F49" s="49"/>
      <c r="G49" s="49"/>
      <c r="H49" s="49"/>
      <c r="I49" s="49"/>
      <c r="J49" s="161"/>
      <c r="K49" s="1" t="s">
        <v>568</v>
      </c>
      <c r="L49" s="1"/>
    </row>
    <row r="50">
      <c r="A50" s="1"/>
      <c r="B50" s="1" t="s">
        <v>722</v>
      </c>
      <c r="C50" s="95">
        <v>19</v>
      </c>
      <c r="D50" s="93"/>
      <c r="E50" s="93"/>
      <c r="F50" s="93"/>
      <c r="G50" s="93"/>
      <c r="H50" s="93"/>
      <c r="I50" s="93"/>
      <c r="J50" s="158"/>
      <c r="K50" s="1" t="s">
        <v>568</v>
      </c>
      <c r="L50" s="1"/>
    </row>
    <row r="51">
      <c r="A51" s="1"/>
      <c r="B51" s="1" t="s">
        <v>723</v>
      </c>
      <c r="C51" s="3"/>
      <c r="D51" s="3"/>
      <c r="E51" s="3"/>
      <c r="F51" s="3"/>
      <c r="G51" s="3"/>
      <c r="H51" s="3"/>
      <c r="I51" s="3"/>
      <c r="J51" s="157"/>
      <c r="K51" s="1" t="s">
        <v>568</v>
      </c>
      <c r="L51" s="1"/>
    </row>
    <row r="52">
      <c r="A52" s="1"/>
      <c r="B52" s="1" t="s">
        <v>724</v>
      </c>
      <c r="C52" s="62">
        <v>22324.43</v>
      </c>
      <c r="D52" s="4"/>
      <c r="E52" s="4"/>
      <c r="F52" s="4"/>
      <c r="G52" s="4"/>
      <c r="H52" s="4"/>
      <c r="I52" s="4"/>
      <c r="J52" s="162"/>
      <c r="K52" s="1" t="s">
        <v>568</v>
      </c>
      <c r="L52" s="1"/>
    </row>
    <row r="53">
      <c r="A53" s="1"/>
      <c r="B53" s="1" t="s">
        <v>725</v>
      </c>
      <c r="C53" s="62">
        <v>22324</v>
      </c>
      <c r="D53" s="4"/>
      <c r="E53" s="4"/>
      <c r="F53" s="4"/>
      <c r="G53" s="4"/>
      <c r="H53" s="4"/>
      <c r="I53" s="4"/>
      <c r="J53" s="162"/>
      <c r="K53" s="1" t="s">
        <v>568</v>
      </c>
      <c r="L53" s="1"/>
    </row>
    <row r="54">
      <c r="A54" s="1"/>
      <c r="B54" s="1" t="s">
        <v>726</v>
      </c>
      <c r="C54" s="62">
        <v>22483</v>
      </c>
      <c r="D54" s="4"/>
      <c r="E54" s="4"/>
      <c r="F54" s="4"/>
      <c r="G54" s="4"/>
      <c r="H54" s="4"/>
      <c r="I54" s="4"/>
      <c r="J54" s="162"/>
      <c r="K54" s="1" t="s">
        <v>568</v>
      </c>
      <c r="L54" s="1"/>
    </row>
    <row r="55">
      <c r="A55" s="1"/>
      <c r="B55" s="1" t="s">
        <v>727</v>
      </c>
      <c r="C55" s="62">
        <v>22145</v>
      </c>
      <c r="D55" s="4"/>
      <c r="E55" s="4"/>
      <c r="F55" s="4"/>
      <c r="G55" s="4"/>
      <c r="H55" s="4"/>
      <c r="I55" s="4"/>
      <c r="J55" s="162"/>
      <c r="K55" s="1" t="s">
        <v>568</v>
      </c>
      <c r="L55" s="1"/>
    </row>
    <row r="56">
      <c r="A56" s="1"/>
      <c r="B56" s="1" t="s">
        <v>728</v>
      </c>
      <c r="C56" s="96">
        <v>98.02</v>
      </c>
      <c r="D56" s="87"/>
      <c r="E56" s="87"/>
      <c r="F56" s="87"/>
      <c r="G56" s="87"/>
      <c r="H56" s="87"/>
      <c r="I56" s="87"/>
      <c r="J56" s="159"/>
      <c r="K56" s="1" t="s">
        <v>568</v>
      </c>
      <c r="L56" s="1"/>
    </row>
    <row r="57">
      <c r="A57" s="1"/>
      <c r="B57" s="1" t="s">
        <v>729</v>
      </c>
      <c r="C57" s="95">
        <v>7</v>
      </c>
      <c r="D57" s="93"/>
      <c r="E57" s="93"/>
      <c r="F57" s="93"/>
      <c r="G57" s="93"/>
      <c r="H57" s="93"/>
      <c r="I57" s="93"/>
      <c r="J57" s="158"/>
      <c r="K57" s="1" t="s">
        <v>568</v>
      </c>
      <c r="L57" s="1"/>
    </row>
    <row r="58">
      <c r="A58" s="1"/>
      <c r="B58" s="1" t="s">
        <v>730</v>
      </c>
      <c r="C58" s="3"/>
      <c r="D58" s="3"/>
      <c r="E58" s="3"/>
      <c r="F58" s="3"/>
      <c r="G58" s="3"/>
      <c r="H58" s="3"/>
      <c r="I58" s="3"/>
      <c r="J58" s="157"/>
      <c r="K58" s="1" t="s">
        <v>568</v>
      </c>
      <c r="L58" s="1"/>
    </row>
    <row r="59">
      <c r="A59" s="1"/>
      <c r="B59" s="1" t="s">
        <v>731</v>
      </c>
      <c r="C59" s="3"/>
      <c r="D59" s="3"/>
      <c r="E59" s="3"/>
      <c r="F59" s="3"/>
      <c r="G59" s="3"/>
      <c r="H59" s="3"/>
      <c r="I59" s="3"/>
      <c r="J59" s="157"/>
      <c r="K59" s="1" t="s">
        <v>568</v>
      </c>
      <c r="L59" s="1"/>
    </row>
    <row r="60">
      <c r="A60" s="1"/>
      <c r="B60" s="1" t="s">
        <v>732</v>
      </c>
      <c r="C60" s="3"/>
      <c r="D60" s="3"/>
      <c r="E60" s="3"/>
      <c r="F60" s="3"/>
      <c r="G60" s="3"/>
      <c r="H60" s="3"/>
      <c r="I60" s="3"/>
      <c r="J60" s="157"/>
      <c r="K60" s="1" t="s">
        <v>568</v>
      </c>
      <c r="L60" s="1"/>
    </row>
    <row r="61">
      <c r="A61" s="1"/>
      <c r="B61" s="1" t="s">
        <v>733</v>
      </c>
      <c r="C61" s="3"/>
      <c r="D61" s="3"/>
      <c r="E61" s="3"/>
      <c r="F61" s="3"/>
      <c r="G61" s="3"/>
      <c r="H61" s="3"/>
      <c r="I61" s="3"/>
      <c r="J61" s="157"/>
      <c r="K61" s="1" t="s">
        <v>568</v>
      </c>
      <c r="L61" s="1"/>
    </row>
    <row r="62">
      <c r="A62" s="1"/>
      <c r="B62" s="1" t="s">
        <v>734</v>
      </c>
      <c r="C62" s="62">
        <v>8481</v>
      </c>
      <c r="D62" s="4"/>
      <c r="E62" s="4"/>
      <c r="F62" s="4"/>
      <c r="G62" s="4"/>
      <c r="H62" s="4"/>
      <c r="I62" s="4"/>
      <c r="J62" s="162"/>
      <c r="K62" s="1" t="s">
        <v>568</v>
      </c>
      <c r="L62" s="1"/>
    </row>
    <row r="63">
      <c r="A63" s="1"/>
      <c r="B63" s="1" t="s">
        <v>735</v>
      </c>
      <c r="C63" s="62">
        <v>7288.88</v>
      </c>
      <c r="D63" s="4"/>
      <c r="E63" s="4"/>
      <c r="F63" s="4"/>
      <c r="G63" s="4"/>
      <c r="H63" s="4"/>
      <c r="I63" s="4"/>
      <c r="J63" s="162"/>
      <c r="K63" s="1" t="s">
        <v>568</v>
      </c>
      <c r="L63" s="1"/>
    </row>
    <row r="64">
      <c r="A64" s="1"/>
      <c r="B64" s="1" t="s">
        <v>736</v>
      </c>
      <c r="C64" s="62">
        <v>7294.85</v>
      </c>
      <c r="D64" s="4"/>
      <c r="E64" s="4"/>
      <c r="F64" s="4"/>
      <c r="G64" s="4"/>
      <c r="H64" s="4"/>
      <c r="I64" s="4"/>
      <c r="J64" s="162"/>
      <c r="K64" s="1" t="s">
        <v>568</v>
      </c>
      <c r="L64" s="1"/>
    </row>
    <row r="65">
      <c r="A65" s="1"/>
      <c r="B65" s="1" t="s">
        <v>737</v>
      </c>
      <c r="C65" s="62">
        <v>5663.98</v>
      </c>
      <c r="D65" s="4"/>
      <c r="E65" s="4"/>
      <c r="F65" s="4"/>
      <c r="G65" s="4"/>
      <c r="H65" s="4"/>
      <c r="I65" s="4"/>
      <c r="J65" s="162"/>
      <c r="K65" s="1" t="s">
        <v>568</v>
      </c>
      <c r="L65" s="1"/>
    </row>
    <row r="66">
      <c r="A66" s="1"/>
      <c r="B66" s="1" t="s">
        <v>738</v>
      </c>
      <c r="C66" s="62">
        <v>5657.62</v>
      </c>
      <c r="D66" s="4"/>
      <c r="E66" s="4"/>
      <c r="F66" s="4"/>
      <c r="G66" s="4"/>
      <c r="H66" s="4"/>
      <c r="I66" s="4"/>
      <c r="J66" s="162"/>
      <c r="K66" s="1" t="s">
        <v>568</v>
      </c>
      <c r="L66" s="1"/>
    </row>
    <row r="67">
      <c r="A67" s="1"/>
      <c r="B67" s="1" t="s">
        <v>739</v>
      </c>
      <c r="C67" s="96">
        <v>2.42</v>
      </c>
      <c r="D67" s="87"/>
      <c r="E67" s="87"/>
      <c r="F67" s="87"/>
      <c r="G67" s="87"/>
      <c r="H67" s="87"/>
      <c r="I67" s="87"/>
      <c r="J67" s="159"/>
      <c r="K67" s="1" t="s">
        <v>568</v>
      </c>
      <c r="L67" s="1"/>
    </row>
    <row r="68">
      <c r="A68" s="1"/>
      <c r="B68" s="1" t="s">
        <v>740</v>
      </c>
      <c r="C68" s="96">
        <v>18.64</v>
      </c>
      <c r="D68" s="87"/>
      <c r="E68" s="87"/>
      <c r="F68" s="87"/>
      <c r="G68" s="87"/>
      <c r="H68" s="87"/>
      <c r="I68" s="87"/>
      <c r="J68" s="159"/>
      <c r="K68" s="1" t="s">
        <v>568</v>
      </c>
      <c r="L68" s="1"/>
    </row>
    <row r="69">
      <c r="A69" s="1"/>
      <c r="B69" s="1" t="s">
        <v>741</v>
      </c>
      <c r="C69" s="3"/>
      <c r="D69" s="3"/>
      <c r="E69" s="3"/>
      <c r="F69" s="3"/>
      <c r="G69" s="3"/>
      <c r="H69" s="3"/>
      <c r="I69" s="3"/>
      <c r="J69" s="157"/>
      <c r="K69" s="1" t="s">
        <v>568</v>
      </c>
      <c r="L69" s="1"/>
    </row>
    <row r="70">
      <c r="A70" s="1"/>
      <c r="B70" s="1" t="s">
        <v>742</v>
      </c>
      <c r="C70" s="3"/>
      <c r="D70" s="3"/>
      <c r="E70" s="3"/>
      <c r="F70" s="3"/>
      <c r="G70" s="3"/>
      <c r="H70" s="3"/>
      <c r="I70" s="3"/>
      <c r="J70" s="157"/>
      <c r="K70" s="1" t="s">
        <v>568</v>
      </c>
      <c r="L70" s="1"/>
    </row>
    <row r="71">
      <c r="A71" s="1"/>
      <c r="B71" s="1" t="s">
        <v>743</v>
      </c>
      <c r="C71" s="3"/>
      <c r="D71" s="3"/>
      <c r="E71" s="3"/>
      <c r="F71" s="3"/>
      <c r="G71" s="3"/>
      <c r="H71" s="3"/>
      <c r="I71" s="3"/>
      <c r="J71" s="157"/>
      <c r="K71" s="1" t="s">
        <v>568</v>
      </c>
      <c r="L71" s="1"/>
    </row>
    <row r="72">
      <c r="A72" s="1"/>
      <c r="B72" s="1" t="s">
        <v>744</v>
      </c>
      <c r="C72" s="3"/>
      <c r="D72" s="3"/>
      <c r="E72" s="3"/>
      <c r="F72" s="3"/>
      <c r="G72" s="3"/>
      <c r="H72" s="3"/>
      <c r="I72" s="3"/>
      <c r="J72" s="157"/>
      <c r="K72" s="1" t="s">
        <v>568</v>
      </c>
      <c r="L72" s="1"/>
    </row>
    <row r="73">
      <c r="A73" s="1"/>
      <c r="B73" s="1" t="s">
        <v>745</v>
      </c>
      <c r="C73" s="3"/>
      <c r="D73" s="3"/>
      <c r="E73" s="3"/>
      <c r="F73" s="3"/>
      <c r="G73" s="3"/>
      <c r="H73" s="3"/>
      <c r="I73" s="3"/>
      <c r="J73" s="157"/>
      <c r="K73" s="1" t="s">
        <v>568</v>
      </c>
      <c r="L73" s="1"/>
    </row>
    <row r="74">
      <c r="A74" s="1"/>
      <c r="B74" s="1" t="s">
        <v>746</v>
      </c>
      <c r="C74" s="3"/>
      <c r="D74" s="3"/>
      <c r="E74" s="3"/>
      <c r="F74" s="3"/>
      <c r="G74" s="3"/>
      <c r="H74" s="3"/>
      <c r="I74" s="3"/>
      <c r="J74" s="157"/>
      <c r="K74" s="1" t="s">
        <v>568</v>
      </c>
      <c r="L74" s="1"/>
    </row>
    <row r="75">
      <c r="A75" s="1"/>
      <c r="B75" s="1" t="s">
        <v>747</v>
      </c>
      <c r="C75" s="3"/>
      <c r="D75" s="3"/>
      <c r="E75" s="3"/>
      <c r="F75" s="3"/>
      <c r="G75" s="3"/>
      <c r="H75" s="3"/>
      <c r="I75" s="3"/>
      <c r="J75" s="157"/>
      <c r="K75" s="1" t="s">
        <v>568</v>
      </c>
      <c r="L75" s="1"/>
    </row>
    <row r="76">
      <c r="A76" s="1"/>
      <c r="B76" s="1" t="s">
        <v>748</v>
      </c>
      <c r="C76" s="3"/>
      <c r="D76" s="3"/>
      <c r="E76" s="3"/>
      <c r="F76" s="3"/>
      <c r="G76" s="3"/>
      <c r="H76" s="3"/>
      <c r="I76" s="3"/>
      <c r="J76" s="157"/>
      <c r="K76" s="1" t="s">
        <v>568</v>
      </c>
      <c r="L76" s="1"/>
    </row>
    <row r="77">
      <c r="A77" s="1"/>
      <c r="B77" s="1" t="s">
        <v>749</v>
      </c>
      <c r="C77" s="3"/>
      <c r="D77" s="3"/>
      <c r="E77" s="3"/>
      <c r="F77" s="3"/>
      <c r="G77" s="3"/>
      <c r="H77" s="3"/>
      <c r="I77" s="3"/>
      <c r="J77" s="157"/>
      <c r="K77" s="1" t="s">
        <v>568</v>
      </c>
      <c r="L77" s="1"/>
    </row>
    <row r="78">
      <c r="A78" s="1"/>
      <c r="B78" s="1" t="s">
        <v>750</v>
      </c>
      <c r="C78" s="62">
        <v>140796.25</v>
      </c>
      <c r="D78" s="4"/>
      <c r="E78" s="4"/>
      <c r="F78" s="4"/>
      <c r="G78" s="4"/>
      <c r="H78" s="4"/>
      <c r="I78" s="4"/>
      <c r="J78" s="162"/>
      <c r="K78" s="1" t="s">
        <v>568</v>
      </c>
      <c r="L78" s="1"/>
    </row>
    <row r="79">
      <c r="A79" s="1"/>
      <c r="B79" s="1" t="s">
        <v>751</v>
      </c>
      <c r="C79" s="3"/>
      <c r="D79" s="3"/>
      <c r="E79" s="3"/>
      <c r="F79" s="3"/>
      <c r="G79" s="3"/>
      <c r="H79" s="3"/>
      <c r="I79" s="3"/>
      <c r="J79" s="157"/>
      <c r="K79" s="1" t="s">
        <v>568</v>
      </c>
      <c r="L79" s="1"/>
    </row>
    <row r="80">
      <c r="A80" s="1"/>
      <c r="B80" s="1" t="s">
        <v>752</v>
      </c>
      <c r="C80" s="96">
        <v>13.76</v>
      </c>
      <c r="D80" s="87"/>
      <c r="E80" s="87"/>
      <c r="F80" s="87"/>
      <c r="G80" s="87"/>
      <c r="H80" s="87"/>
      <c r="I80" s="87"/>
      <c r="J80" s="159"/>
      <c r="K80" s="1" t="s">
        <v>568</v>
      </c>
      <c r="L80" s="1"/>
    </row>
    <row r="81">
      <c r="A81" s="1"/>
      <c r="B81" s="1" t="s">
        <v>753</v>
      </c>
      <c r="C81" s="96">
        <v>98.73</v>
      </c>
      <c r="D81" s="87"/>
      <c r="E81" s="87"/>
      <c r="F81" s="87"/>
      <c r="G81" s="87"/>
      <c r="H81" s="87"/>
      <c r="I81" s="87"/>
      <c r="J81" s="159"/>
      <c r="K81" s="1" t="s">
        <v>568</v>
      </c>
      <c r="L81" s="1"/>
    </row>
    <row r="82">
      <c r="A82" s="1"/>
      <c r="B82" s="1" t="s">
        <v>754</v>
      </c>
      <c r="C82" s="96">
        <v>97</v>
      </c>
      <c r="D82" s="87"/>
      <c r="E82" s="87"/>
      <c r="F82" s="87"/>
      <c r="G82" s="87"/>
      <c r="H82" s="87"/>
      <c r="I82" s="87"/>
      <c r="J82" s="159"/>
      <c r="K82" s="1" t="s">
        <v>568</v>
      </c>
      <c r="L82" s="1"/>
    </row>
    <row r="83">
      <c r="A83" s="1"/>
      <c r="B83" s="1" t="s">
        <v>755</v>
      </c>
      <c r="C83" s="96">
        <v>115</v>
      </c>
      <c r="D83" s="87"/>
      <c r="E83" s="87"/>
      <c r="F83" s="87"/>
      <c r="G83" s="87"/>
      <c r="H83" s="87"/>
      <c r="I83" s="87"/>
      <c r="J83" s="159"/>
      <c r="K83" s="1" t="s">
        <v>568</v>
      </c>
      <c r="L83" s="1"/>
    </row>
    <row r="84">
      <c r="A84" s="1"/>
      <c r="B84" s="1" t="s">
        <v>756</v>
      </c>
      <c r="C84" s="96">
        <v>90</v>
      </c>
      <c r="D84" s="87"/>
      <c r="E84" s="87"/>
      <c r="F84" s="87"/>
      <c r="G84" s="87"/>
      <c r="H84" s="87"/>
      <c r="I84" s="87"/>
      <c r="J84" s="159"/>
      <c r="K84" s="1" t="s">
        <v>568</v>
      </c>
      <c r="L84" s="1"/>
    </row>
    <row r="85">
      <c r="A85" s="1"/>
      <c r="B85" s="1" t="s">
        <v>757</v>
      </c>
      <c r="C85" s="96">
        <v>6.74</v>
      </c>
      <c r="D85" s="87"/>
      <c r="E85" s="87"/>
      <c r="F85" s="87"/>
      <c r="G85" s="87"/>
      <c r="H85" s="87"/>
      <c r="I85" s="87"/>
      <c r="J85" s="159"/>
      <c r="K85" s="1" t="s">
        <v>568</v>
      </c>
      <c r="L85" s="1"/>
    </row>
    <row r="86">
      <c r="A86" s="1"/>
      <c r="B86" s="1" t="s">
        <v>758</v>
      </c>
      <c r="C86" s="95">
        <v>24</v>
      </c>
      <c r="D86" s="93"/>
      <c r="E86" s="93"/>
      <c r="F86" s="93"/>
      <c r="G86" s="93"/>
      <c r="H86" s="93"/>
      <c r="I86" s="93"/>
      <c r="J86" s="158"/>
      <c r="K86" s="1" t="s">
        <v>568</v>
      </c>
      <c r="L86" s="1"/>
    </row>
    <row r="87">
      <c r="A87" s="1"/>
      <c r="B87" s="1" t="s">
        <v>759</v>
      </c>
      <c r="C87" s="3" t="s">
        <v>760</v>
      </c>
      <c r="D87" s="3"/>
      <c r="E87" s="3"/>
      <c r="F87" s="3"/>
      <c r="G87" s="3"/>
      <c r="H87" s="3"/>
      <c r="I87" s="3"/>
      <c r="J87" s="157"/>
      <c r="K87" s="1" t="s">
        <v>568</v>
      </c>
      <c r="L87" s="1"/>
    </row>
    <row r="88">
      <c r="A88" s="1"/>
      <c r="B88" s="1" t="s">
        <v>761</v>
      </c>
      <c r="C88" s="96">
        <v>1.78</v>
      </c>
      <c r="D88" s="87"/>
      <c r="E88" s="87"/>
      <c r="F88" s="87"/>
      <c r="G88" s="87"/>
      <c r="H88" s="87"/>
      <c r="I88" s="87"/>
      <c r="J88" s="159"/>
      <c r="K88" s="1" t="s">
        <v>568</v>
      </c>
      <c r="L88" s="1"/>
    </row>
    <row r="89">
      <c r="A89" s="1"/>
      <c r="B89" s="1" t="s">
        <v>762</v>
      </c>
      <c r="C89" s="96">
        <v>83.55</v>
      </c>
      <c r="D89" s="87"/>
      <c r="E89" s="87"/>
      <c r="F89" s="87"/>
      <c r="G89" s="87"/>
      <c r="H89" s="87"/>
      <c r="I89" s="87"/>
      <c r="J89" s="159"/>
      <c r="K89" s="1" t="s">
        <v>568</v>
      </c>
      <c r="L89" s="1"/>
    </row>
    <row r="90">
      <c r="A90" s="1"/>
      <c r="B90" s="1" t="s">
        <v>763</v>
      </c>
      <c r="C90" s="3" t="s">
        <v>764</v>
      </c>
      <c r="D90" s="3"/>
      <c r="E90" s="3"/>
      <c r="F90" s="3"/>
      <c r="G90" s="3"/>
      <c r="H90" s="3"/>
      <c r="I90" s="3"/>
      <c r="J90" s="157"/>
      <c r="K90" s="1" t="s">
        <v>568</v>
      </c>
      <c r="L90" s="1"/>
    </row>
    <row r="91">
      <c r="A91" s="1"/>
      <c r="B91" s="1" t="s">
        <v>687</v>
      </c>
      <c r="C91" s="3" t="s">
        <v>11</v>
      </c>
      <c r="D91" s="3"/>
      <c r="E91" s="3"/>
      <c r="F91" s="3"/>
      <c r="G91" s="3"/>
      <c r="H91" s="3"/>
      <c r="I91" s="3"/>
      <c r="J91" s="157"/>
      <c r="K91" s="1" t="s">
        <v>568</v>
      </c>
      <c r="L91" s="1"/>
    </row>
    <row r="92">
      <c r="A92" s="1"/>
      <c r="B92" s="1" t="s">
        <v>765</v>
      </c>
      <c r="C92" s="3" t="s">
        <v>693</v>
      </c>
      <c r="D92" s="3"/>
      <c r="E92" s="3"/>
      <c r="F92" s="3"/>
      <c r="G92" s="3"/>
      <c r="H92" s="3"/>
      <c r="I92" s="3"/>
      <c r="J92" s="157"/>
      <c r="K92" s="1" t="s">
        <v>568</v>
      </c>
      <c r="L92" s="1"/>
    </row>
    <row r="93">
      <c r="A93" s="1"/>
      <c r="B93" s="1" t="s">
        <v>766</v>
      </c>
      <c r="C93" s="24">
        <v>46306</v>
      </c>
      <c r="D93" s="3"/>
      <c r="E93" s="3"/>
      <c r="F93" s="3"/>
      <c r="G93" s="3"/>
      <c r="H93" s="3"/>
      <c r="I93" s="3"/>
      <c r="J93" s="157"/>
      <c r="K93" s="1" t="s">
        <v>568</v>
      </c>
      <c r="L93" s="1"/>
    </row>
    <row r="94">
      <c r="A94" s="1"/>
      <c r="B94" s="1" t="s">
        <v>767</v>
      </c>
      <c r="C94" s="3"/>
      <c r="D94" s="3"/>
      <c r="E94" s="3"/>
      <c r="F94" s="3"/>
      <c r="G94" s="3"/>
      <c r="H94" s="3"/>
      <c r="I94" s="3"/>
      <c r="J94" s="157"/>
      <c r="K94" s="1" t="s">
        <v>568</v>
      </c>
      <c r="L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21"/>
      <c r="K95" s="1"/>
      <c r="L95" s="1"/>
    </row>
    <row r="96" ht="29.25">
      <c r="A96" s="1"/>
      <c r="B96" s="28" t="s">
        <v>768</v>
      </c>
      <c r="C96" s="21"/>
      <c r="D96" s="21"/>
      <c r="E96" s="21"/>
      <c r="F96" s="21"/>
      <c r="G96" s="21"/>
      <c r="H96" s="21"/>
      <c r="I96" s="21"/>
      <c r="J96" s="160"/>
      <c r="K96" s="1"/>
      <c r="L96" s="1"/>
    </row>
    <row r="97" ht="42">
      <c r="A97" s="1"/>
      <c r="B97" s="182" t="s">
        <v>769</v>
      </c>
      <c r="C97" s="164" t="s">
        <v>770</v>
      </c>
      <c r="D97" s="185" t="s">
        <v>771</v>
      </c>
      <c r="E97" s="164" t="s">
        <v>772</v>
      </c>
      <c r="F97" s="164" t="s">
        <v>773</v>
      </c>
      <c r="G97" s="164" t="s">
        <v>774</v>
      </c>
      <c r="H97" s="164" t="s">
        <v>775</v>
      </c>
      <c r="I97" s="164" t="s">
        <v>776</v>
      </c>
      <c r="J97" s="164" t="s">
        <v>777</v>
      </c>
      <c r="K97" s="1"/>
      <c r="L97" s="1"/>
    </row>
    <row r="98">
      <c r="A98" s="1"/>
      <c r="B98" s="1" t="s">
        <v>778</v>
      </c>
      <c r="C98" s="24">
        <v>45747</v>
      </c>
      <c r="D98" s="24">
        <v>45758</v>
      </c>
      <c r="E98" s="92">
        <v>1.22</v>
      </c>
      <c r="F98" s="92">
        <v>1.28</v>
      </c>
      <c r="G98" s="92">
        <v>1.23</v>
      </c>
      <c r="H98" s="92">
        <v>1.39</v>
      </c>
      <c r="I98" s="92">
        <v>20759.56</v>
      </c>
      <c r="J98" s="165">
        <v>20149</v>
      </c>
      <c r="K98" s="1" t="s">
        <v>573</v>
      </c>
      <c r="L98" s="1"/>
    </row>
    <row r="99">
      <c r="A99" s="1"/>
      <c r="B99" s="1" t="s">
        <v>779</v>
      </c>
      <c r="C99" s="24">
        <v>45838</v>
      </c>
      <c r="D99" s="24">
        <v>45853</v>
      </c>
      <c r="E99" s="92">
        <v>1.4</v>
      </c>
      <c r="F99" s="92">
        <v>1.54</v>
      </c>
      <c r="G99" s="92">
        <v>1.41</v>
      </c>
      <c r="H99" s="92">
        <v>1.6</v>
      </c>
      <c r="I99" s="92">
        <v>20806.84</v>
      </c>
      <c r="J99" s="165">
        <v>20822</v>
      </c>
      <c r="K99" s="1" t="s">
        <v>573</v>
      </c>
      <c r="L99" s="1"/>
    </row>
    <row r="100">
      <c r="A100" s="1"/>
      <c r="B100" s="1" t="s">
        <v>780</v>
      </c>
      <c r="C100" s="24">
        <v>45930</v>
      </c>
      <c r="D100" s="24">
        <v>45944</v>
      </c>
      <c r="E100" s="92">
        <v>1.54</v>
      </c>
      <c r="F100" s="92">
        <v>1.73</v>
      </c>
      <c r="G100" s="92">
        <v>1.55</v>
      </c>
      <c r="H100" s="92">
        <v>1.66</v>
      </c>
      <c r="I100" s="92">
        <v>21163.67</v>
      </c>
      <c r="J100" s="165">
        <v>21436</v>
      </c>
      <c r="K100" s="1" t="s">
        <v>573</v>
      </c>
      <c r="L100" s="1"/>
    </row>
    <row r="101">
      <c r="A101" s="1"/>
      <c r="B101" s="1" t="s">
        <v>781</v>
      </c>
      <c r="C101" s="24">
        <v>46022</v>
      </c>
      <c r="D101" s="24">
        <v>46036</v>
      </c>
      <c r="E101" s="92">
        <v>1.69</v>
      </c>
      <c r="F101" s="92">
        <v>1.76</v>
      </c>
      <c r="G101" s="92">
        <v>1.67</v>
      </c>
      <c r="H101" s="92">
        <v>1.62</v>
      </c>
      <c r="I101" s="92">
        <v>21680.83</v>
      </c>
      <c r="J101" s="165">
        <v>21292</v>
      </c>
      <c r="K101" s="1" t="s">
        <v>573</v>
      </c>
      <c r="L101" s="1"/>
    </row>
    <row r="102">
      <c r="A102" s="1"/>
      <c r="B102" s="1" t="s">
        <v>782</v>
      </c>
      <c r="C102" s="24">
        <v>46112</v>
      </c>
      <c r="D102" s="24">
        <v>46126</v>
      </c>
      <c r="E102" s="92">
        <v>1.6</v>
      </c>
      <c r="F102" s="92">
        <v>1.56</v>
      </c>
      <c r="G102" s="92">
        <v>1.58</v>
      </c>
      <c r="H102" s="92">
        <v>1.6</v>
      </c>
      <c r="I102" s="92">
        <v>21791</v>
      </c>
      <c r="J102" s="165">
        <v>21446</v>
      </c>
      <c r="K102" s="1" t="s">
        <v>573</v>
      </c>
      <c r="L102" s="1"/>
    </row>
    <row r="103">
      <c r="A103" s="1"/>
      <c r="B103" s="1" t="s">
        <v>783</v>
      </c>
      <c r="C103" s="24">
        <v>46203</v>
      </c>
      <c r="D103" s="24">
        <v>46217</v>
      </c>
      <c r="E103" s="92">
        <v>1.7</v>
      </c>
      <c r="F103" s="92">
        <v>1.96</v>
      </c>
      <c r="G103" s="92">
        <v>1.72</v>
      </c>
      <c r="H103" s="92">
        <v>2</v>
      </c>
      <c r="I103" s="92">
        <v>21850.17</v>
      </c>
      <c r="J103" s="165">
        <v>22622</v>
      </c>
      <c r="K103" s="1" t="s">
        <v>573</v>
      </c>
      <c r="L103" s="1"/>
    </row>
    <row r="104" ht="29.25">
      <c r="A104" s="1"/>
      <c r="B104" s="36" t="s">
        <v>784</v>
      </c>
      <c r="C104" s="98"/>
      <c r="D104" s="98"/>
      <c r="E104" s="98"/>
      <c r="F104" s="98"/>
      <c r="G104" s="98"/>
      <c r="H104" s="98"/>
      <c r="I104" s="98"/>
      <c r="J104" s="166"/>
      <c r="K104" s="1"/>
      <c r="L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21"/>
      <c r="K105" s="1"/>
      <c r="L105" s="1"/>
    </row>
    <row r="106" ht="42">
      <c r="A106" s="1"/>
      <c r="B106" s="28" t="s">
        <v>785</v>
      </c>
      <c r="C106" s="21"/>
      <c r="D106" s="21"/>
      <c r="E106" s="21"/>
      <c r="F106" s="21"/>
      <c r="G106" s="21"/>
      <c r="H106" s="21"/>
      <c r="I106" s="21"/>
      <c r="J106" s="160"/>
      <c r="K106" s="1"/>
      <c r="L106" s="1"/>
    </row>
    <row r="107">
      <c r="A107" s="1"/>
      <c r="B107" s="9" t="s">
        <v>786</v>
      </c>
      <c r="C107" s="155" t="s">
        <v>787</v>
      </c>
      <c r="D107" s="155" t="s">
        <v>788</v>
      </c>
      <c r="E107" s="155" t="s">
        <v>789</v>
      </c>
      <c r="F107" s="155" t="s">
        <v>512</v>
      </c>
      <c r="G107" s="155"/>
      <c r="H107" s="155" t="s">
        <v>790</v>
      </c>
      <c r="I107" s="155" t="s">
        <v>791</v>
      </c>
      <c r="J107" s="145"/>
      <c r="K107" s="1"/>
      <c r="L107" s="1"/>
    </row>
    <row r="108" ht="29.25">
      <c r="A108" s="1"/>
      <c r="B108" s="191" t="s">
        <v>792</v>
      </c>
      <c r="C108" s="62">
        <v>-11037</v>
      </c>
      <c r="D108" s="62">
        <v>-22253</v>
      </c>
      <c r="E108" s="62">
        <v>-23122</v>
      </c>
      <c r="F108" s="62">
        <v>-19001</v>
      </c>
      <c r="G108" s="4"/>
      <c r="H108" s="62">
        <v>9143</v>
      </c>
      <c r="I108" s="62">
        <v>15918</v>
      </c>
      <c r="J108" s="162"/>
      <c r="K108" s="1" t="s">
        <v>444</v>
      </c>
      <c r="L108" s="1"/>
    </row>
    <row r="109" ht="29.25">
      <c r="A109" s="1"/>
      <c r="B109" s="191" t="s">
        <v>793</v>
      </c>
      <c r="C109" s="62">
        <v>-27508</v>
      </c>
      <c r="D109" s="62">
        <v>-19460</v>
      </c>
      <c r="E109" s="62">
        <v>-102325</v>
      </c>
      <c r="F109" s="62">
        <v>-187895</v>
      </c>
      <c r="G109" s="4"/>
      <c r="H109" s="62">
        <v>-55567</v>
      </c>
      <c r="I109" s="62">
        <v>-85437</v>
      </c>
      <c r="J109" s="162"/>
      <c r="K109" s="1" t="s">
        <v>444</v>
      </c>
      <c r="L109" s="1"/>
    </row>
    <row r="110" ht="29.25">
      <c r="A110" s="1"/>
      <c r="B110" s="191" t="s">
        <v>794</v>
      </c>
      <c r="C110" s="62">
        <v>12821</v>
      </c>
      <c r="D110" s="62">
        <v>32944</v>
      </c>
      <c r="E110" s="62">
        <v>96061</v>
      </c>
      <c r="F110" s="62">
        <v>177587</v>
      </c>
      <c r="G110" s="4"/>
      <c r="H110" s="62">
        <v>47104</v>
      </c>
      <c r="I110" s="62">
        <v>98387</v>
      </c>
      <c r="J110" s="162"/>
      <c r="K110" s="1" t="s">
        <v>444</v>
      </c>
      <c r="L110" s="1"/>
    </row>
    <row r="111" ht="29.25">
      <c r="A111" s="1"/>
      <c r="B111" s="191" t="s">
        <v>795</v>
      </c>
      <c r="C111" s="62">
        <v>-25724</v>
      </c>
      <c r="D111" s="62">
        <v>-8769</v>
      </c>
      <c r="E111" s="62">
        <v>-29386</v>
      </c>
      <c r="F111" s="62">
        <v>-29309</v>
      </c>
      <c r="G111" s="4"/>
      <c r="H111" s="62">
        <v>680</v>
      </c>
      <c r="I111" s="62">
        <v>28868</v>
      </c>
      <c r="J111" s="162"/>
      <c r="K111" s="1" t="s">
        <v>444</v>
      </c>
      <c r="L111" s="1"/>
    </row>
    <row r="112" ht="29.25">
      <c r="A112" s="1"/>
      <c r="B112" s="191" t="s">
        <v>796</v>
      </c>
      <c r="C112" s="62">
        <v>3500</v>
      </c>
      <c r="D112" s="62">
        <v>6516</v>
      </c>
      <c r="E112" s="62">
        <v>12516</v>
      </c>
      <c r="F112" s="62">
        <v>17516</v>
      </c>
      <c r="G112" s="4"/>
      <c r="H112" s="62">
        <v>4000</v>
      </c>
      <c r="I112" s="62">
        <v>7015</v>
      </c>
      <c r="J112" s="162"/>
      <c r="K112" s="1" t="s">
        <v>444</v>
      </c>
      <c r="L112" s="1"/>
    </row>
    <row r="113">
      <c r="A113" s="1"/>
      <c r="B113" s="1" t="s">
        <v>797</v>
      </c>
      <c r="C113" s="62">
        <v>1318</v>
      </c>
      <c r="D113" s="62">
        <v>2605</v>
      </c>
      <c r="E113" s="62">
        <v>4036</v>
      </c>
      <c r="F113" s="62">
        <v>5434</v>
      </c>
      <c r="G113" s="4"/>
      <c r="H113" s="62">
        <v>1387</v>
      </c>
      <c r="I113" s="62">
        <v>2753</v>
      </c>
      <c r="J113" s="162"/>
      <c r="K113" s="1" t="s">
        <v>444</v>
      </c>
      <c r="L113" s="1"/>
    </row>
    <row r="114" ht="42">
      <c r="A114" s="1"/>
      <c r="B114" s="191" t="s">
        <v>798</v>
      </c>
      <c r="C114" s="62">
        <v>201902</v>
      </c>
      <c r="D114" s="4"/>
      <c r="E114" s="4"/>
      <c r="F114" s="4"/>
      <c r="G114" s="4"/>
      <c r="H114" s="4"/>
      <c r="I114" s="4"/>
      <c r="J114" s="162"/>
      <c r="K114" s="1" t="s">
        <v>444</v>
      </c>
      <c r="L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21"/>
      <c r="K115" s="1"/>
      <c r="L115" s="1"/>
    </row>
    <row r="116" ht="42">
      <c r="A116" s="1"/>
      <c r="B116" s="28" t="s">
        <v>799</v>
      </c>
      <c r="C116" s="21"/>
      <c r="D116" s="21"/>
      <c r="E116" s="21"/>
      <c r="F116" s="21"/>
      <c r="G116" s="21"/>
      <c r="H116" s="21"/>
      <c r="I116" s="21"/>
      <c r="J116" s="160"/>
      <c r="K116" s="1"/>
      <c r="L116" s="1"/>
    </row>
    <row r="117" ht="29.25">
      <c r="A117" s="1"/>
      <c r="B117" s="191" t="s">
        <v>800</v>
      </c>
      <c r="C117" s="62">
        <v>252660</v>
      </c>
      <c r="D117" s="4"/>
      <c r="E117" s="4"/>
      <c r="F117" s="4"/>
      <c r="G117" s="4"/>
      <c r="H117" s="4"/>
      <c r="I117" s="4"/>
      <c r="J117" s="162"/>
      <c r="K117" s="1" t="s">
        <v>636</v>
      </c>
      <c r="L117" s="1"/>
    </row>
    <row r="118" ht="29.25">
      <c r="A118" s="1"/>
      <c r="B118" s="191" t="s">
        <v>801</v>
      </c>
      <c r="C118" s="3" t="s">
        <v>802</v>
      </c>
      <c r="D118" s="3"/>
      <c r="E118" s="3"/>
      <c r="F118" s="3"/>
      <c r="G118" s="3"/>
      <c r="H118" s="3"/>
      <c r="I118" s="3"/>
      <c r="J118" s="157"/>
      <c r="K118" s="1" t="s">
        <v>803</v>
      </c>
      <c r="L118" s="1"/>
    </row>
    <row r="119" ht="29.25">
      <c r="A119" s="1"/>
      <c r="B119" s="194" t="s">
        <v>804</v>
      </c>
      <c r="C119" s="110">
        <v>0.78</v>
      </c>
      <c r="D119" s="43"/>
      <c r="E119" s="43"/>
      <c r="F119" s="43"/>
      <c r="G119" s="43"/>
      <c r="H119" s="43"/>
      <c r="I119" s="43"/>
      <c r="J119" s="163"/>
      <c r="K119" s="1" t="s">
        <v>805</v>
      </c>
      <c r="L119" s="1"/>
    </row>
    <row r="120" ht="29.25">
      <c r="A120" s="1"/>
      <c r="B120" s="191" t="s">
        <v>806</v>
      </c>
      <c r="C120" s="104">
        <v>8</v>
      </c>
      <c r="D120" s="57"/>
      <c r="E120" s="57"/>
      <c r="F120" s="57"/>
      <c r="G120" s="57"/>
      <c r="H120" s="57"/>
      <c r="I120" s="57"/>
      <c r="J120" s="172"/>
      <c r="K120" s="1" t="s">
        <v>807</v>
      </c>
      <c r="L120" s="1"/>
    </row>
    <row r="121" ht="29.25">
      <c r="A121" s="1"/>
      <c r="B121" s="191" t="s">
        <v>808</v>
      </c>
      <c r="C121" s="57">
        <f>SUMPRODUCT(--(F98:F103&gt;E98:E103))</f>
        <v>5</v>
      </c>
      <c r="D121" s="57"/>
      <c r="E121" s="57"/>
      <c r="F121" s="57"/>
      <c r="G121" s="57"/>
      <c r="H121" s="57"/>
      <c r="I121" s="57"/>
      <c r="J121" s="172"/>
      <c r="K121" s="1"/>
      <c r="L121" s="1"/>
    </row>
    <row r="122">
      <c r="A122" s="1"/>
      <c r="B122" s="1" t="s">
        <v>809</v>
      </c>
      <c r="C122" s="57">
        <f>IF(AND(ISNUMBER(E98),ISNUMBER(F98)),1,0)+IF(AND(ISNUMBER(E99),ISNUMBER(F99)),1,0)+IF(AND(ISNUMBER(E100),ISNUMBER(F100)),1,0)+IF(AND(ISNUMBER(E101),ISNUMBER(F101)),1,0)+IF(AND(ISNUMBER(E102),ISNUMBER(F102)),1,0)+IF(AND(ISNUMBER(E103),ISNUMBER(F103)),1,0)</f>
        <v>6</v>
      </c>
      <c r="D122" s="57"/>
      <c r="E122" s="57"/>
      <c r="F122" s="57"/>
      <c r="G122" s="57"/>
      <c r="H122" s="57"/>
      <c r="I122" s="57"/>
      <c r="J122" s="172"/>
      <c r="K122" s="1"/>
      <c r="L122" s="1"/>
    </row>
    <row r="123" ht="29.25">
      <c r="A123" s="1"/>
      <c r="B123" s="194" t="s">
        <v>810</v>
      </c>
      <c r="C123" s="43">
        <f>(C120*C119+C121)/(C120+C122)</f>
        <v>0.8028571428571428</v>
      </c>
      <c r="D123" s="43"/>
      <c r="E123" s="43"/>
      <c r="F123" s="43"/>
      <c r="G123" s="43"/>
      <c r="H123" s="43"/>
      <c r="I123" s="43"/>
      <c r="J123" s="163"/>
      <c r="K123" s="1"/>
      <c r="L123" s="1"/>
    </row>
    <row r="124" ht="42">
      <c r="A124" s="1"/>
      <c r="B124" s="194" t="s">
        <v>811</v>
      </c>
      <c r="C124" s="110">
        <v>0.65</v>
      </c>
      <c r="D124" s="43"/>
      <c r="E124" s="43"/>
      <c r="F124" s="43"/>
      <c r="G124" s="43"/>
      <c r="H124" s="43"/>
      <c r="I124" s="43"/>
      <c r="J124" s="163"/>
      <c r="K124" s="1" t="s">
        <v>812</v>
      </c>
      <c r="L124" s="1"/>
    </row>
    <row r="125">
      <c r="A125" s="1"/>
      <c r="B125" s="1" t="s">
        <v>813</v>
      </c>
      <c r="C125" s="3" t="s">
        <v>814</v>
      </c>
      <c r="D125" s="3"/>
      <c r="E125" s="3"/>
      <c r="F125" s="3"/>
      <c r="G125" s="3"/>
      <c r="H125" s="3"/>
      <c r="I125" s="3"/>
      <c r="J125" s="157"/>
      <c r="K125" s="1"/>
      <c r="L125" s="1"/>
    </row>
    <row r="126" ht="118.5">
      <c r="A126" s="1"/>
      <c r="B126" s="186" t="s">
        <v>815</v>
      </c>
      <c r="C126" s="121"/>
      <c r="D126" s="157"/>
      <c r="E126" s="157"/>
      <c r="F126" s="157"/>
      <c r="G126" s="157"/>
      <c r="H126" s="157"/>
      <c r="I126" s="157"/>
      <c r="J126" s="157"/>
      <c r="K126" s="121"/>
      <c r="L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21"/>
      <c r="K127" s="1"/>
      <c r="L127" s="1"/>
    </row>
  </sheetData>
  <legacyDrawing r:id="rId2"/>
</worksheet>
</file>