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over" sheetId="1" r:id="rId1"/>
    <sheet name="Revenue summary" sheetId="2" r:id="rId3"/>
    <sheet name="Segment - Americas" sheetId="3" r:id="rId4"/>
    <sheet name="Segment - EMEA" sheetId="4" r:id="rId5"/>
    <sheet name="Segment - Asia Pacific" sheetId="5" r:id="rId6"/>
    <sheet name="Income Statement" sheetId="6" r:id="rId7"/>
    <sheet name="Balance Sheet" sheetId="7" r:id="rId8"/>
    <sheet name="Cash Flow Statement" sheetId="8" r:id="rId9"/>
    <sheet name="Geo" sheetId="9" r:id="rId10"/>
    <sheet name="Share Count" sheetId="10" r:id="rId11"/>
    <sheet name="Guidance" sheetId="11" r:id="rId12"/>
    <sheet name="Inputs" sheetId="12" r:id="rId13"/>
    <sheet name="Sources" sheetId="13" r:id="rId14"/>
  </sheets>
  <calcPr calcId="0"/>
</workbook>
</file>

<file path=xl/sharedStrings.xml><?xml version="1.0" encoding="utf-8"?>
<sst xmlns="http://schemas.openxmlformats.org/spreadsheetml/2006/main" count="878" uniqueCount="558">
  <si>
    <t>Accenture plc  |  NYSE: ACN</t>
  </si>
  <si>
    <t>Cover</t>
  </si>
  <si>
    <t>$ millions, except per share</t>
  </si>
  <si>
    <t>Fiscal period</t>
  </si>
  <si>
    <t>4Q25A</t>
  </si>
  <si>
    <t>1Q26A</t>
  </si>
  <si>
    <t>2Q26A</t>
  </si>
  <si>
    <t>3Q26A</t>
  </si>
  <si>
    <t>FY25A</t>
  </si>
  <si>
    <t>4Q26E</t>
  </si>
  <si>
    <t>Period end</t>
  </si>
  <si>
    <t>Days in period</t>
  </si>
  <si>
    <t>Company Model — built by Shortcut</t>
  </si>
  <si>
    <t>Accenture plc  |  ACN  |  New York Stock Exchange</t>
  </si>
  <si>
    <t>Fiscal year end: August 31  |  Currency: USD  |  EPS: normalized diluted per Class A share</t>
  </si>
  <si>
    <t>Information cutoff: 2026-09-26 18:44:22 UTC  |  Expected report: 2026-10-01</t>
  </si>
  <si>
    <t>Metric</t>
  </si>
  <si>
    <t>Estimate</t>
  </si>
  <si>
    <t>CapIQ 09/24</t>
  </si>
  <si>
    <t>Variance</t>
  </si>
  <si>
    <t>Issuer guidance / implied</t>
  </si>
  <si>
    <t>Revenue ($ millions)</t>
  </si>
  <si>
    <t>Net income / EPS numerator ($ millions)</t>
  </si>
  <si>
    <t>Not guided</t>
  </si>
  <si>
    <t>Normalized diluted EPS (USD)</t>
  </si>
  <si>
    <t>GAAP diluted EPS (USD)</t>
  </si>
  <si>
    <t>P(beat consensus EPS)</t>
  </si>
  <si>
    <t>Confidence</t>
  </si>
  <si>
    <t>Overall model check</t>
  </si>
  <si>
    <t>Notes</t>
  </si>
  <si>
    <t>Forecast context</t>
  </si>
  <si>
    <t>Fiscal FY2026 adjusted EPS midpoint implies Q4 $3.17; downside assumes soft consulting and guarded EMEA.</t>
  </si>
  <si>
    <t>Data provenance</t>
  </si>
  <si>
    <t>Historical reported values from SEC; CapIQ normalized consensus captured September 24 (date only).</t>
  </si>
  <si>
    <t>Revenue summary</t>
  </si>
  <si>
    <t>Total revenues</t>
  </si>
  <si>
    <t xml:space="preserve">  Total growth Y/Y</t>
  </si>
  <si>
    <t xml:space="preserve">  Revenue Q/Q</t>
  </si>
  <si>
    <t xml:space="preserve">  Organic / local-currency growth (proxy)</t>
  </si>
  <si>
    <t xml:space="preserve">  M&amp;A / scope</t>
  </si>
  <si>
    <t xml:space="preserve">  FX impact</t>
  </si>
  <si>
    <t>Americas revenue</t>
  </si>
  <si>
    <t xml:space="preserve">  Organic growth</t>
  </si>
  <si>
    <t xml:space="preserve">  Total Y/Y</t>
  </si>
  <si>
    <t xml:space="preserve">  Q/Q</t>
  </si>
  <si>
    <t xml:space="preserve">  % of total revenue</t>
  </si>
  <si>
    <t>EMEA revenue</t>
  </si>
  <si>
    <t>Asia Pacific revenue</t>
  </si>
  <si>
    <t>Consulting revenue</t>
  </si>
  <si>
    <t>Managed Services revenue</t>
  </si>
  <si>
    <t>Communications, Media &amp; Technology revenue</t>
  </si>
  <si>
    <t>Financial Services revenue</t>
  </si>
  <si>
    <t>Health &amp; Public Service revenue</t>
  </si>
  <si>
    <t>Products revenue</t>
  </si>
  <si>
    <t>Resources revenue</t>
  </si>
  <si>
    <t>Consulting new bookings</t>
  </si>
  <si>
    <t>Managed Services new bookings</t>
  </si>
  <si>
    <t>Total new bookings</t>
  </si>
  <si>
    <t>Bookings / revenue</t>
  </si>
  <si>
    <t>Bookings Y/Y change</t>
  </si>
  <si>
    <t>Bookings Q/Q change</t>
  </si>
  <si>
    <t>CapIQ historical revenue reported ($m)</t>
  </si>
  <si>
    <t>Issuer revenue less CapIQ ($m; source precision)</t>
  </si>
  <si>
    <t>Segment reconciliation (zero)</t>
  </si>
  <si>
    <t>Industry reconciliation (zero)</t>
  </si>
  <si>
    <t>Type-of-work reconciliation (zero)</t>
  </si>
  <si>
    <t>Segment - Americas</t>
  </si>
  <si>
    <t>Source disclosure limits</t>
  </si>
  <si>
    <t>Customer/unit rollforward unavailable: filings do not disclose segment adds, churn, ARPU, or backlog.</t>
  </si>
  <si>
    <t>Segment new bookings — unavailable</t>
  </si>
  <si>
    <t>Billable volume / demand growth</t>
  </si>
  <si>
    <t>Realized price growth</t>
  </si>
  <si>
    <t>Acquisition / scope growth</t>
  </si>
  <si>
    <t>Foreign-exchange translation</t>
  </si>
  <si>
    <t>Combined reported growth</t>
  </si>
  <si>
    <t>Segment revenue</t>
  </si>
  <si>
    <t xml:space="preserve">  Revenue Δ sequential</t>
  </si>
  <si>
    <t>Payroll costs</t>
  </si>
  <si>
    <t xml:space="preserve">  Payroll Y/Y</t>
  </si>
  <si>
    <t xml:space="preserve">  Payroll Δ sequential</t>
  </si>
  <si>
    <t xml:space="preserve">  Payroll / revenue</t>
  </si>
  <si>
    <t xml:space="preserve">  Payroll rate Δ (bp)</t>
  </si>
  <si>
    <t>Non-payroll &amp; subcontractors</t>
  </si>
  <si>
    <t xml:space="preserve">  Non-payroll Y/Y</t>
  </si>
  <si>
    <t xml:space="preserve">  Non-payroll Δ sequential</t>
  </si>
  <si>
    <t xml:space="preserve">  Non-payroll / revenue</t>
  </si>
  <si>
    <t xml:space="preserve">  Non-payroll rate Δ (bp)</t>
  </si>
  <si>
    <t>Depreciation &amp; amortization</t>
  </si>
  <si>
    <t xml:space="preserve">  D&amp;A Y/Y</t>
  </si>
  <si>
    <t xml:space="preserve">  D&amp;A Δ sequential</t>
  </si>
  <si>
    <t xml:space="preserve">  D&amp;A / revenue</t>
  </si>
  <si>
    <t xml:space="preserve">  D&amp;A rate Δ (bp)</t>
  </si>
  <si>
    <t>Business optimization costs</t>
  </si>
  <si>
    <t xml:space="preserve">  Optimization Y/Y</t>
  </si>
  <si>
    <t>Operating profit</t>
  </si>
  <si>
    <t xml:space="preserve">  Operating profit Y/Y</t>
  </si>
  <si>
    <t xml:space="preserve">  Operating profit Δ sequential</t>
  </si>
  <si>
    <t xml:space="preserve">  Operating margin</t>
  </si>
  <si>
    <t xml:space="preserve">  Operating margin Δ (bp)</t>
  </si>
  <si>
    <t>Segment - EMEA</t>
  </si>
  <si>
    <t>Segment - Asia Pacific</t>
  </si>
  <si>
    <t>Income Statement</t>
  </si>
  <si>
    <t>Revenues</t>
  </si>
  <si>
    <t>Revenue growth Y/Y</t>
  </si>
  <si>
    <t>Revenue growth Q/Q</t>
  </si>
  <si>
    <t>Cost of services</t>
  </si>
  <si>
    <t>Gross profit</t>
  </si>
  <si>
    <t>Gross margin</t>
  </si>
  <si>
    <t>Gross margin Δ (bp)</t>
  </si>
  <si>
    <t>Sales and marketing</t>
  </si>
  <si>
    <t>General &amp; administrative</t>
  </si>
  <si>
    <t>Business optimization expense</t>
  </si>
  <si>
    <t>Operating income</t>
  </si>
  <si>
    <t>Operating margin</t>
  </si>
  <si>
    <t>Operating margin Δ (bp)</t>
  </si>
  <si>
    <t>Interest income</t>
  </si>
  <si>
    <t>Interest expense</t>
  </si>
  <si>
    <t>Other non-operating income / (expense)</t>
  </si>
  <si>
    <t>Income before taxes</t>
  </si>
  <si>
    <t>Income tax expense</t>
  </si>
  <si>
    <t>Effective tax rate</t>
  </si>
  <si>
    <t>Tax rate Δ (bp)</t>
  </si>
  <si>
    <t>Consolidated net income</t>
  </si>
  <si>
    <t>Canada noncontrolling interests</t>
  </si>
  <si>
    <t>Other noncontrolling interests</t>
  </si>
  <si>
    <t>Net income attributable to Accenture plc</t>
  </si>
  <si>
    <t>Diluted numerator: Canada NCI add-back</t>
  </si>
  <si>
    <t>GAAP diluted income numerator</t>
  </si>
  <si>
    <t>Basic shares (m)</t>
  </si>
  <si>
    <t>Diluted shares (m)</t>
  </si>
  <si>
    <t>GAAP basic EPS</t>
  </si>
  <si>
    <t>GAAP diluted EPS</t>
  </si>
  <si>
    <t>GAAP diluted EPS Y/Y</t>
  </si>
  <si>
    <t>Business optimization pretax add-back</t>
  </si>
  <si>
    <t>Related tax effect (negative)</t>
  </si>
  <si>
    <t>Other normalized adjustments</t>
  </si>
  <si>
    <t>Normalized diluted income</t>
  </si>
  <si>
    <t>Normalized diluted EPS</t>
  </si>
  <si>
    <t>EPS bridge check (zero)</t>
  </si>
  <si>
    <t>CapIQ historical GAAP diluted EPS</t>
  </si>
  <si>
    <t>CapIQ historical normalized EPS</t>
  </si>
  <si>
    <t>Issuer GAAP EPS vs CapIQ (unrounded)</t>
  </si>
  <si>
    <t>Issuer normalized EPS vs CapIQ (unrounded)</t>
  </si>
  <si>
    <t>Balance Sheet</t>
  </si>
  <si>
    <t>Cash and cash equivalents</t>
  </si>
  <si>
    <t>Short-term investments</t>
  </si>
  <si>
    <t>Receivables and contract assets</t>
  </si>
  <si>
    <t>Other current assets</t>
  </si>
  <si>
    <t>Contract assets</t>
  </si>
  <si>
    <t>Investments</t>
  </si>
  <si>
    <t>Property and equipment, net</t>
  </si>
  <si>
    <t>Lease assets</t>
  </si>
  <si>
    <t>Goodwill</t>
  </si>
  <si>
    <t>Deferred contract costs</t>
  </si>
  <si>
    <t>Deferred tax assets</t>
  </si>
  <si>
    <t>Intangibles</t>
  </si>
  <si>
    <t>Other non-current assets</t>
  </si>
  <si>
    <t>Total assets</t>
  </si>
  <si>
    <t>Current portion of long-term debt and bank borrowings</t>
  </si>
  <si>
    <t>Accounts payable</t>
  </si>
  <si>
    <t>Deferred revenues current</t>
  </si>
  <si>
    <t>Accrued payroll and related benefits</t>
  </si>
  <si>
    <t>Income taxes payable current</t>
  </si>
  <si>
    <t>Lease liabilities current</t>
  </si>
  <si>
    <t>Other accrued liabilities</t>
  </si>
  <si>
    <t>Long-term debt</t>
  </si>
  <si>
    <t>Deferred revenues noncurrent</t>
  </si>
  <si>
    <t>Retirement obligation</t>
  </si>
  <si>
    <t>Deferred tax liabilities</t>
  </si>
  <si>
    <t>Income taxes payable noncurrent</t>
  </si>
  <si>
    <t>Lease liabilities noncurrent</t>
  </si>
  <si>
    <t>Other non-current liabilities</t>
  </si>
  <si>
    <t>Total liabilities</t>
  </si>
  <si>
    <t>Redeemable noncontrolling interests</t>
  </si>
  <si>
    <t>Total shareholders equity</t>
  </si>
  <si>
    <t>Assets - liabilities - equity (zero)</t>
  </si>
  <si>
    <t>Cash Flow Statement</t>
  </si>
  <si>
    <t>Net income</t>
  </si>
  <si>
    <t>Share-based compensation</t>
  </si>
  <si>
    <t>Working capital / other</t>
  </si>
  <si>
    <t>Cash from operations</t>
  </si>
  <si>
    <t>Property &amp; equipment purchases</t>
  </si>
  <si>
    <t>Acquisitions</t>
  </si>
  <si>
    <t>Sales of businesses &amp; investments</t>
  </si>
  <si>
    <t>Other investing</t>
  </si>
  <si>
    <t>Cash from investing</t>
  </si>
  <si>
    <t>Share issuance</t>
  </si>
  <si>
    <t>Share repurchases</t>
  </si>
  <si>
    <t>Debt issuance/(repayment)</t>
  </si>
  <si>
    <t>Cash dividends</t>
  </si>
  <si>
    <t>Other financing</t>
  </si>
  <si>
    <t>Cash from financing</t>
  </si>
  <si>
    <t>Foreign exchange on cash</t>
  </si>
  <si>
    <t>Total change in cash</t>
  </si>
  <si>
    <t>Beginning cash balance</t>
  </si>
  <si>
    <t>Ending cash balance</t>
  </si>
  <si>
    <t>Cash movement / change in cash</t>
  </si>
  <si>
    <t>Cash flow-to-balance sheet check (zero)</t>
  </si>
  <si>
    <t>Free cash flow</t>
  </si>
  <si>
    <t>Geo</t>
  </si>
  <si>
    <t xml:space="preserve">  Revenue Y/Y</t>
  </si>
  <si>
    <t xml:space="preserve">  Operating income</t>
  </si>
  <si>
    <t xml:space="preserve">  Margin Δ (bp)</t>
  </si>
  <si>
    <t>Total geographic revenue</t>
  </si>
  <si>
    <t>Geography revenue check (zero)</t>
  </si>
  <si>
    <t>Total regional operating income</t>
  </si>
  <si>
    <t>Operating income check (zero)</t>
  </si>
  <si>
    <t>Americas + EMEA revenue</t>
  </si>
  <si>
    <t>Asia Pacific % of total</t>
  </si>
  <si>
    <t>Share Count</t>
  </si>
  <si>
    <t>Weighted-average basic shares (m)</t>
  </si>
  <si>
    <t xml:space="preserve">  Basic shares Y/Y</t>
  </si>
  <si>
    <t xml:space="preserve">  Basic shares Δ sequential</t>
  </si>
  <si>
    <t xml:space="preserve">  Basic shares Δ Y/Y</t>
  </si>
  <si>
    <t>Weighted-average diluted shares (m)</t>
  </si>
  <si>
    <t xml:space="preserve">  Diluted shares Y/Y</t>
  </si>
  <si>
    <t xml:space="preserve">  Diluted shares Δ sequential</t>
  </si>
  <si>
    <t xml:space="preserve">  Diluted shares Δ Y/Y</t>
  </si>
  <si>
    <t>Dilutive incremental shares (m)</t>
  </si>
  <si>
    <t xml:space="preserve">  Dilution / basic shares</t>
  </si>
  <si>
    <t xml:space="preserve">  Dilution rate Δ (bp)</t>
  </si>
  <si>
    <t>Opening basic weighted shares (m)</t>
  </si>
  <si>
    <t>Repurchased / redeemed shares (m)</t>
  </si>
  <si>
    <t xml:space="preserve">  Repurchases / opening shares</t>
  </si>
  <si>
    <t>Employee shares issued (m)</t>
  </si>
  <si>
    <t>Share timing weight</t>
  </si>
  <si>
    <t>Closing basic weighted shares (m)</t>
  </si>
  <si>
    <t>Forecast EPS share denominator (m)</t>
  </si>
  <si>
    <t>Guidance</t>
  </si>
  <si>
    <t>Disclosure date</t>
  </si>
  <si>
    <t>Period</t>
  </si>
  <si>
    <t>Low</t>
  </si>
  <si>
    <t>High</t>
  </si>
  <si>
    <t>Midpoint</t>
  </si>
  <si>
    <t>Reported actual</t>
  </si>
  <si>
    <t>Actual vs midpoint</t>
  </si>
  <si>
    <t>Model forecast</t>
  </si>
  <si>
    <t>Forecast vs midpoint</t>
  </si>
  <si>
    <t>Revenue ($m)</t>
  </si>
  <si>
    <t>Local-currency revenue growth</t>
  </si>
  <si>
    <t>FX impact</t>
  </si>
  <si>
    <t>FY26E</t>
  </si>
  <si>
    <t>Adjusted EPS (USD)</t>
  </si>
  <si>
    <t>GAAP EPS (USD)</t>
  </si>
  <si>
    <t>GAAP operating margin</t>
  </si>
  <si>
    <t>Adjusted operating margin</t>
  </si>
  <si>
    <t>Operating cash flow ($m)</t>
  </si>
  <si>
    <t>Capex ($m)</t>
  </si>
  <si>
    <t>Free cash flow ($m)</t>
  </si>
  <si>
    <t>Capital return ($m)</t>
  </si>
  <si>
    <t>Inputs</t>
  </si>
  <si>
    <t>S&amp;P CAPITAL IQ — supplied history (raw precision; reported 2025–26)</t>
  </si>
  <si>
    <t>period_end_date</t>
  </si>
  <si>
    <t>eps_normalized_consensus</t>
  </si>
  <si>
    <t>eps_normalized_actual</t>
  </si>
  <si>
    <t>eps_gaap_consensus</t>
  </si>
  <si>
    <t>eps_gaap_actual</t>
  </si>
  <si>
    <t>revenue_m_consensus</t>
  </si>
  <si>
    <t>revenue_m_actual</t>
  </si>
  <si>
    <t>report_date</t>
  </si>
  <si>
    <t>S&amp;P CAPITAL IQ — FULL SUMMARY ROW; captured 2026-09-24 (date only)</t>
  </si>
  <si>
    <t>ticker</t>
  </si>
  <si>
    <t>ACN</t>
  </si>
  <si>
    <t>company</t>
  </si>
  <si>
    <t>Accenture plc</t>
  </si>
  <si>
    <t>exchange_ticker</t>
  </si>
  <si>
    <t>NYSE:ACN</t>
  </si>
  <si>
    <t>capiq_company_id</t>
  </si>
  <si>
    <t>analyst_count</t>
  </si>
  <si>
    <t>fiscal_year_end</t>
  </si>
  <si>
    <t>Aug-31</t>
  </si>
  <si>
    <t>forward_quarter_label</t>
  </si>
  <si>
    <t>FQ4 2026 - Aug 2026</t>
  </si>
  <si>
    <t>expected_report_date</t>
  </si>
  <si>
    <t>eps_normalized_mean</t>
  </si>
  <si>
    <t>eps_normalized_median</t>
  </si>
  <si>
    <t>eps_normalized_high</t>
  </si>
  <si>
    <t>eps_normalized_low</t>
  </si>
  <si>
    <t>eps_normalized_std_dev</t>
  </si>
  <si>
    <t>eps_normalized_n_est</t>
  </si>
  <si>
    <t>eps_normalized_guidance</t>
  </si>
  <si>
    <t>eps_normalized_guidance_low</t>
  </si>
  <si>
    <t>eps_normalized_guidance_high</t>
  </si>
  <si>
    <t>eps_gaap_mean</t>
  </si>
  <si>
    <t>eps_gaap_median</t>
  </si>
  <si>
    <t>eps_gaap_high</t>
  </si>
  <si>
    <t>eps_gaap_low</t>
  </si>
  <si>
    <t>eps_gaap_std_dev</t>
  </si>
  <si>
    <t>eps_gaap_n_est</t>
  </si>
  <si>
    <t>eps_gaap_guidance_low</t>
  </si>
  <si>
    <t>eps_gaap_guidance_high</t>
  </si>
  <si>
    <t>revenue_m_mean</t>
  </si>
  <si>
    <t>revenue_m_median</t>
  </si>
  <si>
    <t>revenue_m_high</t>
  </si>
  <si>
    <t>revenue_m_low</t>
  </si>
  <si>
    <t>revenue_m_std_dev</t>
  </si>
  <si>
    <t>revenue_m_n_est</t>
  </si>
  <si>
    <t>revenue_m_guidance_low</t>
  </si>
  <si>
    <t>revenue_m_guidance_high</t>
  </si>
  <si>
    <t>ebitda_m_mean</t>
  </si>
  <si>
    <t>ebit_m_mean</t>
  </si>
  <si>
    <t>net_income_excl_excep_m_mean</t>
  </si>
  <si>
    <t>net_income_gaap_m_mean</t>
  </si>
  <si>
    <t>gross_margin_pct_mean</t>
  </si>
  <si>
    <t>effective_tax_rate_pct_mean</t>
  </si>
  <si>
    <t>capex_m_mean</t>
  </si>
  <si>
    <t>fcf_m_mean</t>
  </si>
  <si>
    <t>cfo_m_mean</t>
  </si>
  <si>
    <t>d_and_a_m_mean</t>
  </si>
  <si>
    <t>target_price_mean</t>
  </si>
  <si>
    <t>target_price_median</t>
  </si>
  <si>
    <t>target_price_high</t>
  </si>
  <si>
    <t>target_price_low</t>
  </si>
  <si>
    <t>target_price_std_dev</t>
  </si>
  <si>
    <t>target_price_n_est</t>
  </si>
  <si>
    <t>recommendation</t>
  </si>
  <si>
    <t>Outperform</t>
  </si>
  <si>
    <t>recommendation_score</t>
  </si>
  <si>
    <t>last_close_price</t>
  </si>
  <si>
    <t>notes</t>
  </si>
  <si>
    <t>Results before the 8 a.m. call Oct 1. 52wk range 291.09/118.15. Also listed DB:CSA (EUR 160.25). FY2026 EPSn guidance 13.78/13.90.</t>
  </si>
  <si>
    <t>ISSUER-REPORTED CANONICAL INPUTS (USD millions; share figures millions; cash flow is YTD in Q1–Q3)</t>
  </si>
  <si>
    <t>SEGMENTS | Americas</t>
  </si>
  <si>
    <t>SEGMENTS | EMEA</t>
  </si>
  <si>
    <t>SEGMENTS | Asia Pacific</t>
  </si>
  <si>
    <t>SEGMENTS | Communications, Media &amp; Technology</t>
  </si>
  <si>
    <t>SEGMENTS | Financial Services</t>
  </si>
  <si>
    <t>SEGMENTS | Health &amp; Public Service</t>
  </si>
  <si>
    <t>SEGMENTS | Products</t>
  </si>
  <si>
    <t>SEGMENTS | Resources</t>
  </si>
  <si>
    <t>SEGMENTS | Consulting</t>
  </si>
  <si>
    <t>SEGMENTS | Managed Services</t>
  </si>
  <si>
    <t>SEGMENTS | op_Americas</t>
  </si>
  <si>
    <t>SEGMENTS | op_EMEA</t>
  </si>
  <si>
    <t>SEGMENTS | op_Asia Pacific</t>
  </si>
  <si>
    <t>SEGMENTS | pay_Americas</t>
  </si>
  <si>
    <t>SEGMENTS | pay_EMEA</t>
  </si>
  <si>
    <t>SEGMENTS | pay_Asia Pacific</t>
  </si>
  <si>
    <t>SEGMENTS | nonpay_Americas</t>
  </si>
  <si>
    <t>SEGMENTS | nonpay_EMEA</t>
  </si>
  <si>
    <t>SEGMENTS | nonpay_Asia Pacific</t>
  </si>
  <si>
    <t>SEGMENTS | da_Americas</t>
  </si>
  <si>
    <t>SEGMENTS | da_EMEA</t>
  </si>
  <si>
    <t>SEGMENTS | da_Asia Pacific</t>
  </si>
  <si>
    <t>SEGMENTS | opt_Americas</t>
  </si>
  <si>
    <t>SEGMENTS | opt_EMEA</t>
  </si>
  <si>
    <t>SEGMENTS | opt_Asia Pacific</t>
  </si>
  <si>
    <t>INCOME | Revenues</t>
  </si>
  <si>
    <t>INCOME | Cost of services</t>
  </si>
  <si>
    <t>INCOME | Sales and marketing</t>
  </si>
  <si>
    <t>INCOME | General and administrative costs</t>
  </si>
  <si>
    <t>INCOME | Business optimization costs</t>
  </si>
  <si>
    <t>INCOME | Interest income</t>
  </si>
  <si>
    <t>INCOME | Interest expense</t>
  </si>
  <si>
    <t>INCOME | Other income (expense), net</t>
  </si>
  <si>
    <t>INCOME | Income tax expense</t>
  </si>
  <si>
    <t>INCOME | NET INCOME</t>
  </si>
  <si>
    <t>INCOME | NET INCOME ATTRIBUTABLE TO ACCENTURE PLC</t>
  </si>
  <si>
    <t>INCOME | Basic</t>
  </si>
  <si>
    <t>INCOME | Diluted</t>
  </si>
  <si>
    <t>BALANCE | Cash and cash equivalents</t>
  </si>
  <si>
    <t>BALANCE | Short-term investments</t>
  </si>
  <si>
    <t>BALANCE | Receivables and contract assets</t>
  </si>
  <si>
    <t>BALANCE | Other current assets</t>
  </si>
  <si>
    <t>BALANCE | Contract assets</t>
  </si>
  <si>
    <t>BALANCE | Investments</t>
  </si>
  <si>
    <t>BALANCE | Property and equipment, net</t>
  </si>
  <si>
    <t>BALANCE | Lease assets</t>
  </si>
  <si>
    <t>BALANCE | Goodwill</t>
  </si>
  <si>
    <t>BALANCE | Deferred contract costs</t>
  </si>
  <si>
    <t>BALANCE | Deferred tax assets</t>
  </si>
  <si>
    <t>BALANCE | Intangibles</t>
  </si>
  <si>
    <t>BALANCE | Other non-current assets</t>
  </si>
  <si>
    <t>BALANCE | Current portion of long-term debt and bank borrowings</t>
  </si>
  <si>
    <t>BALANCE | Accounts payable</t>
  </si>
  <si>
    <t>BALANCE | Accrued payroll and related benefits</t>
  </si>
  <si>
    <t>BALANCE | Other accrued liabilities</t>
  </si>
  <si>
    <t>BALANCE | Long-term debt</t>
  </si>
  <si>
    <t>BALANCE | Retirement obligation</t>
  </si>
  <si>
    <t>BALANCE | Deferred tax liabilities</t>
  </si>
  <si>
    <t>BALANCE | Other non-current liabilities</t>
  </si>
  <si>
    <t>BALANCE | Total shareholders’ equity</t>
  </si>
  <si>
    <t>BALANCE | Deferred revenues current</t>
  </si>
  <si>
    <t>BALANCE | Deferred revenues noncurrent</t>
  </si>
  <si>
    <t>BALANCE | Income taxes payable current</t>
  </si>
  <si>
    <t>BALANCE | Income taxes payable noncurrent</t>
  </si>
  <si>
    <t>BALANCE | Lease liabilities current</t>
  </si>
  <si>
    <t>BALANCE | Lease liabilities noncurrent</t>
  </si>
  <si>
    <t>BALANCE | Redeemable noncontrolling interests</t>
  </si>
  <si>
    <t>CASH | Net income</t>
  </si>
  <si>
    <t>CASH | Depreciation, amortization and other</t>
  </si>
  <si>
    <t>CASH | Share-based compensation expense</t>
  </si>
  <si>
    <t>CASH | Change in assets and liabilities/other, net</t>
  </si>
  <si>
    <t>CASH | Net cash provided by (used in) operating activities</t>
  </si>
  <si>
    <t>CASH | Purchases of property and equipment</t>
  </si>
  <si>
    <t>CASH | Purchases of businesses and investments, net of cash acquired</t>
  </si>
  <si>
    <t>CASH | Proceeds from the sale of businesses and investments, net of cash transferred</t>
  </si>
  <si>
    <t>CASH | Other investing, net</t>
  </si>
  <si>
    <t>CASH | Net cash provided by (used in) investing activities</t>
  </si>
  <si>
    <t>CASH | Proceeds from issuance of ordinary shares</t>
  </si>
  <si>
    <t>CASH | Purchases of shares</t>
  </si>
  <si>
    <t>CASH | Proceeds from (repayments of) debt, net</t>
  </si>
  <si>
    <t>CASH | Cash dividends paid</t>
  </si>
  <si>
    <t>CASH | Other financing, net</t>
  </si>
  <si>
    <t>CASH | Net cash provided by (used in) financing activities</t>
  </si>
  <si>
    <t>CASH | Effect of exchange rate changes on cash and cash equivalents</t>
  </si>
  <si>
    <t>CASH | NET INCREASE (DECREASE) IN CASH AND CASH EQUIVALENTS</t>
  </si>
  <si>
    <t>CASH | CASH AND CASH EQUIVALENTS, beginning of period</t>
  </si>
  <si>
    <t>CASH | CASH AND CASH EQUIVALENTS, end of period</t>
  </si>
  <si>
    <t>CASH | Deferred tax expense (benefit)</t>
  </si>
  <si>
    <t>CASH | Other, net</t>
  </si>
  <si>
    <t>CASH | Receivables and contract assets, current and non-current</t>
  </si>
  <si>
    <t>CASH | Other current and non-current assets</t>
  </si>
  <si>
    <t>CASH | Accounts payable</t>
  </si>
  <si>
    <t>CASH | Deferred revenues, current and non-current</t>
  </si>
  <si>
    <t>CASH | Accrued payroll and related benefits</t>
  </si>
  <si>
    <t>CASH | Income taxes payable, current and non-current</t>
  </si>
  <si>
    <t>CASH | Other current and non-current liabilities</t>
  </si>
  <si>
    <t>CASH | Proceeds from issuance of shares</t>
  </si>
  <si>
    <t>CASH | Proceeds from debt</t>
  </si>
  <si>
    <t>CASH | Repayments of debt</t>
  </si>
  <si>
    <t>FORECAST ASSUMPTIONS — judgments, not disclosed actuals</t>
  </si>
  <si>
    <t>Americas organic volume</t>
  </si>
  <si>
    <t>EMEA organic volume</t>
  </si>
  <si>
    <t>Asia Pacific organic volume</t>
  </si>
  <si>
    <t>Americas price</t>
  </si>
  <si>
    <t>EMEA price</t>
  </si>
  <si>
    <t>Asia Pacific price</t>
  </si>
  <si>
    <t>acquisitions</t>
  </si>
  <si>
    <t>Americas FX</t>
  </si>
  <si>
    <t>EMEA FX</t>
  </si>
  <si>
    <t>Asia Pacific FX</t>
  </si>
  <si>
    <t>Americas payroll ratio</t>
  </si>
  <si>
    <t>EMEA payroll ratio</t>
  </si>
  <si>
    <t>Asia Pacific payroll ratio</t>
  </si>
  <si>
    <t>Americas nonpay ratio</t>
  </si>
  <si>
    <t>EMEA nonpay ratio</t>
  </si>
  <si>
    <t>Asia Pacific nonpay ratio</t>
  </si>
  <si>
    <t>Americas D&amp;A ratio</t>
  </si>
  <si>
    <t>EMEA D&amp;A ratio</t>
  </si>
  <si>
    <t>Asia Pacific D&amp;A ratio</t>
  </si>
  <si>
    <t>cost services ratio</t>
  </si>
  <si>
    <t>sales ratio</t>
  </si>
  <si>
    <t>tax rate</t>
  </si>
  <si>
    <t>interest income</t>
  </si>
  <si>
    <t>interest expense</t>
  </si>
  <si>
    <t>other nonoperating</t>
  </si>
  <si>
    <t>Canada NCI addback</t>
  </si>
  <si>
    <t>other NCI</t>
  </si>
  <si>
    <t>q4 share repurchases m</t>
  </si>
  <si>
    <t>share issuance m</t>
  </si>
  <si>
    <t>share weighting</t>
  </si>
  <si>
    <t>consulting revenue mix</t>
  </si>
  <si>
    <t>CF D&amp;A</t>
  </si>
  <si>
    <t>CF stock compensation</t>
  </si>
  <si>
    <t>CF working capital</t>
  </si>
  <si>
    <t>CF capex</t>
  </si>
  <si>
    <t>CF acquisitions</t>
  </si>
  <si>
    <t>CF equity issuance</t>
  </si>
  <si>
    <t>CF repurchases</t>
  </si>
  <si>
    <t>CF dividends</t>
  </si>
  <si>
    <t>CF other financing</t>
  </si>
  <si>
    <t>CF FX</t>
  </si>
  <si>
    <t>beat probability</t>
  </si>
  <si>
    <t>confidence</t>
  </si>
  <si>
    <t>medium</t>
  </si>
  <si>
    <t>Q4 business optimization expense (completed)</t>
  </si>
  <si>
    <t>Q4 other EPS normalization items (none known)</t>
  </si>
  <si>
    <t>Issuer prior-year comparisons</t>
  </si>
  <si>
    <t>Prior-year revenue ($m) | Americas</t>
  </si>
  <si>
    <t>Prior-year revenue ($m) | EMEA</t>
  </si>
  <si>
    <t>Prior-year revenue ($m) | Asia Pacific</t>
  </si>
  <si>
    <t>Prior-year revenue ($m) | Consulting</t>
  </si>
  <si>
    <t>Prior-year revenue ($m) | Managed Services</t>
  </si>
  <si>
    <t>Prior-year revenue ($m) | Communications, Media &amp; Technology</t>
  </si>
  <si>
    <t>Prior-year revenue ($m) | Financial Services</t>
  </si>
  <si>
    <t>Prior-year revenue ($m) | Health &amp; Public Service</t>
  </si>
  <si>
    <t>Prior-year revenue ($m) | Products</t>
  </si>
  <si>
    <t>Prior-year revenue ($m) | Resources</t>
  </si>
  <si>
    <t>Local-currency Y/Y (issuer rounded) | Americas</t>
  </si>
  <si>
    <t>Local-currency Y/Y (issuer rounded) | EMEA</t>
  </si>
  <si>
    <t>Local-currency Y/Y (issuer rounded) | Asia Pacific</t>
  </si>
  <si>
    <t>Local-currency Y/Y (issuer rounded) | Consulting</t>
  </si>
  <si>
    <t>Local-currency Y/Y (issuer rounded) | Managed Services</t>
  </si>
  <si>
    <t>Local-currency Y/Y (issuer rounded) | Communications, Media &amp; Technology</t>
  </si>
  <si>
    <t>Local-currency Y/Y (issuer rounded) | Financial Services</t>
  </si>
  <si>
    <t>Local-currency Y/Y (issuer rounded) | Health &amp; Public Service</t>
  </si>
  <si>
    <t>Local-currency Y/Y (issuer rounded) | Products</t>
  </si>
  <si>
    <t>Local-currency Y/Y (issuer rounded) | Resources</t>
  </si>
  <si>
    <t>Q4 divestiture / disposal proceeds (assumed)</t>
  </si>
  <si>
    <t>Q4 other investing cash flow (assumed)</t>
  </si>
  <si>
    <t>Q4 debt issuance/repayment (assumed)</t>
  </si>
  <si>
    <t>Undisclosed historical category M&amp;A proxy (zero)</t>
  </si>
  <si>
    <t>Prior-year weighted basic shares (m)</t>
  </si>
  <si>
    <t>Prior-year weighted diluted shares (m)</t>
  </si>
  <si>
    <t>Americas | FY25 Q4 reported optimization charge ($m)</t>
  </si>
  <si>
    <t>EMEA | FY25 Q4 reported optimization charge ($m)</t>
  </si>
  <si>
    <t>Asia Pacific | FY25 Q4 reported optimization charge ($m)</t>
  </si>
  <si>
    <t>Sources</t>
  </si>
  <si>
    <t>ID</t>
  </si>
  <si>
    <t>Published / captured</t>
  </si>
  <si>
    <t>Publisher</t>
  </si>
  <si>
    <t>URL or file</t>
  </si>
  <si>
    <t>Workbook cells fed</t>
  </si>
  <si>
    <t>Notes / data limitations</t>
  </si>
  <si>
    <t>CAP1</t>
  </si>
  <si>
    <t>S&amp;P Capital IQ</t>
  </si>
  <si>
    <t>ACN_consensus.json</t>
  </si>
  <si>
    <t>Inputs!B21:C74; Cover!D16:D19</t>
  </si>
  <si>
    <t>CAP2</t>
  </si>
  <si>
    <t>ACN_history.csv</t>
  </si>
  <si>
    <t>Inputs!B10:I16; Income Statement!C39:F46</t>
  </si>
  <si>
    <t>SEC1</t>
  </si>
  <si>
    <t>Accenture / SEC</t>
  </si>
  <si>
    <t>https://www.sec.gov/Archives/edgar/data/1467373/000146737325000213/q4fy25earnings8-kexhibit.htm</t>
  </si>
  <si>
    <t>Inputs historical 4Q25A, FY25A; Guidance history</t>
  </si>
  <si>
    <t>SEC2</t>
  </si>
  <si>
    <t>https://www.sec.gov/Archives/edgar/data/1467373/000146737325000217/acn-20250831.htm</t>
  </si>
  <si>
    <t>FY25 annual filing; reportable segments</t>
  </si>
  <si>
    <t>SEC3</t>
  </si>
  <si>
    <t>https://www.sec.gov/Archives/edgar/data/1467373/000146737325000222/acn-20251130.htm</t>
  </si>
  <si>
    <t>Inputs!D83:D182</t>
  </si>
  <si>
    <t>SEC4</t>
  </si>
  <si>
    <t>https://www.sec.gov/Archives/edgar/data/1467373/000146737326000014/acn-20260228.htm</t>
  </si>
  <si>
    <t>Inputs!E83:E182</t>
  </si>
  <si>
    <t>SEC5</t>
  </si>
  <si>
    <t>https://www.sec.gov/Archives/edgar/data/1467373/000146737326000032/acn-20260531.htm</t>
  </si>
  <si>
    <t>Inputs!F83:F182</t>
  </si>
  <si>
    <t>SEC6</t>
  </si>
  <si>
    <t>https://www.sec.gov/Archives/edgar/data/1467373/000146737326000031/q3fy26earnings8-kexhibit.htm</t>
  </si>
  <si>
    <t>Guidance!B10:I22; Inputs!H186:H228</t>
  </si>
  <si>
    <t>TR1</t>
  </si>
  <si>
    <t>Q3 earnings transcript</t>
  </si>
  <si>
    <t>https://exa.ai/library/markets/stocks/ACN/earnings/FY2026/Q3/transcript</t>
  </si>
  <si>
    <t>Cover!B25; forecast organic assumptions</t>
  </si>
  <si>
    <t>EXT1</t>
  </si>
  <si>
    <t>Seeking Alpha preview</t>
  </si>
  <si>
    <t>https://seekingalpha.com/article/4947995-accenture-the-rally-has-only-just-begun-earnings-preview</t>
  </si>
  <si>
    <t>Cover!C20; Q4 revenue revisions</t>
  </si>
  <si>
    <t>EXT2</t>
  </si>
  <si>
    <t>Trefis industry analysis</t>
  </si>
  <si>
    <t>https://www.trefis.com/stock/acn/articles/614709/is-accentures-business-falling-as-fast-as-its-stock/2026-09-09</t>
  </si>
  <si>
    <t>Organic assumptions: consulting, Middle East</t>
  </si>
  <si>
    <t>ACN_history.csv SHA256</t>
  </si>
  <si>
    <t>d5eb5acbc11328378c843c49604944962f09475daf379e51abff005d8b7edc92</t>
  </si>
  <si>
    <t>ACN_consensus.json SHA256</t>
  </si>
  <si>
    <t>95a8d43f707d4662e0d679d1ce50020e17c31f7e7035ffe075a6ae2abf417e62</t>
  </si>
  <si>
    <t>CapIQ capture date</t>
  </si>
  <si>
    <t>CapIQ captured 2026-09-24 (date only); do not describe as September 26 consensus.</t>
  </si>
  <si>
    <t>Segment driver limits</t>
  </si>
  <si>
    <t>No customer adds, churn, ARPU or segment-level bookings published; no fabricated segment customer rollforward.</t>
  </si>
  <si>
    <t>Country detail limits</t>
  </si>
  <si>
    <t>Country-level revenue amounts not disclosed in SEC 2025 10-K; Geo shows three disclosed regions.</t>
  </si>
  <si>
    <t>Balance sheet method</t>
  </si>
  <si>
    <t>2026 Q4 unreported: cash tied to forecast cash flow; receivables, PPE and goodwill tied to cash-flow drivers; equity independently rolled forward from earnings and shareholder activity.</t>
  </si>
  <si>
    <t>Industry forecast mix</t>
  </si>
  <si>
    <t>Forward industry lines allocated at Q4 FY25 mix; geography is issuer-reportable operating segments.</t>
  </si>
  <si>
    <t>Historic local-currency growth is issuer-rounded and includes acquisitions where no separate group-by-region scope was published. Historical organic rows proxy local-currency growth with M&amp;A shown zero only because region/category contributions are not separately quantified.</t>
  </si>
</sst>
</file>

<file path=xl/styles.xml><?xml version="1.0" encoding="utf-8"?>
<styleSheet xmlns="http://schemas.openxmlformats.org/spreadsheetml/2006/main">
  <numFmts count="9">
    <numFmt numFmtId="164" formatCode="#,##0.0_);(#,##0.0);–_)"/>
    <numFmt numFmtId="165" formatCode="$0.00"/>
    <numFmt numFmtId="166" formatCode="yyyy-mm-dd"/>
    <numFmt numFmtId="167" formatCode="0.0%"/>
    <numFmt numFmtId="168" formatCode="0.0%_);(0.0%);–_)"/>
    <numFmt numFmtId="169" formatCode="0.0&quot;x&quot;"/>
    <numFmt numFmtId="170" formatCode="#,##0"/>
    <numFmt numFmtId="171" formatCode="#,##0.00"/>
    <numFmt numFmtId="172" formatCode="#,##0.0"/>
  </numFmts>
  <fonts count="11">
    <font>
      <sz val="11"/>
      <name val="Calibri"/>
    </font>
    <font>
      <b val="0"/>
      <i val="0"/>
      <strike val="0"/>
      <sz val="10"/>
      <color rgb="FF000000"/>
      <name val="Aptos Narrow"/>
    </font>
    <font>
      <b/>
      <i val="0"/>
      <strike val="0"/>
      <sz val="10"/>
      <color rgb="FF000000"/>
      <name val="Aptos Narrow"/>
    </font>
    <font>
      <b/>
      <i val="0"/>
      <strike val="0"/>
      <sz val="10"/>
      <color rgb="FF006100"/>
      <name val="Aptos Narrow"/>
    </font>
    <font>
      <b val="0"/>
      <i val="0"/>
      <strike val="0"/>
      <sz val="10"/>
      <color rgb="FF006100"/>
      <name val="Aptos Narrow"/>
    </font>
    <font>
      <b val="0"/>
      <i/>
      <strike val="0"/>
      <sz val="10"/>
      <color rgb="FF006100"/>
      <name val="Aptos Narrow"/>
    </font>
    <font>
      <b val="0"/>
      <i/>
      <strike val="0"/>
      <sz val="10"/>
      <color rgb="FF000000"/>
      <name val="Aptos Narrow"/>
    </font>
    <font>
      <b/>
      <i/>
      <strike val="0"/>
      <sz val="10"/>
      <color rgb="FF000000"/>
      <name val="Aptos Narrow"/>
    </font>
    <font>
      <b/>
      <i/>
      <strike val="0"/>
      <sz val="10"/>
      <color rgb="FF006100"/>
      <name val="Aptos Narrow"/>
    </font>
    <font>
      <b val="0"/>
      <i val="0"/>
      <strike val="0"/>
      <sz val="10"/>
      <color rgb="FF0000FF"/>
      <name val="Aptos Narrow"/>
    </font>
    <font>
      <b val="0"/>
      <i/>
      <strike val="0"/>
      <sz val="10"/>
      <color rgb="FF0000FF"/>
      <name val="Aptos Narrow"/>
    </font>
  </fonts>
  <fills count="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EAEAEA"/>
      </patternFill>
    </fill>
    <fill>
      <patternFill patternType="solid">
        <fgColor rgb="FFEFF4F9"/>
      </patternFill>
    </fill>
  </fills>
  <borders count="7">
    <border>
      <left/>
      <right/>
      <top/>
      <bottom/>
      <diagonal/>
    </border>
    <border>
      <top style="thin">
        <color rgb="FF808080"/>
      </top>
    </border>
    <border>
      <top style="thin">
        <color rgb="FFC6C6C6"/>
      </top>
      <bottom style="thin">
        <color rgb="FFC6C6C6"/>
      </bottom>
    </border>
    <border>
      <top style="thin">
        <color rgb="FFBBBBBB"/>
      </top>
      <bottom style="thin">
        <color rgb="FFBBBBBB"/>
      </bottom>
    </border>
    <border>
      <top style="thin">
        <color rgb="FF888888"/>
      </top>
      <bottom style="thin">
        <color rgb="FF888888"/>
      </bottom>
    </border>
    <border>
      <top style="thin">
        <color rgb="FF999999"/>
      </top>
      <bottom style="thin">
        <color rgb="FF999999"/>
      </bottom>
    </border>
    <border>
      <top style="thin">
        <color rgb="FF999999"/>
      </top>
    </border>
  </borders>
  <cellStyleXfs count="1">
    <xf numFmtId="0" fontId="0" fillId="0" borderId="0"/>
  </cellStyleXfs>
  <cellXfs count="66">
    <xf numFmtId="0" fontId="0" fillId="0" borderId="0" xfId="0"/>
    <xf numFmtId="164" fontId="1" fillId="0" borderId="0" xfId="0" applyNumberFormat="1" applyFont="1" applyFill="1" applyAlignment="1" applyProtection="1">
      <alignment horizontal="general" vertical="bottom"/>
      <protection locked="1" hidden="0"/>
    </xf>
    <xf numFmtId="0" fontId="2" fillId="0" borderId="1" xfId="0" applyFont="1" applyFill="1" applyBorder="1" applyAlignment="1" applyProtection="1">
      <alignment horizontal="general" vertical="bottom"/>
      <protection locked="1" hidden="0"/>
    </xf>
    <xf numFmtId="0" fontId="1" fillId="2" borderId="2" xfId="0" applyFont="1" applyFill="1" applyBorder="1" applyAlignment="1" applyProtection="1">
      <alignment horizontal="general" vertical="bottom"/>
      <protection locked="1" hidden="0"/>
    </xf>
    <xf numFmtId="165" fontId="3" fillId="0" borderId="1" xfId="0" applyNumberFormat="1" applyFont="1" applyFill="1" applyBorder="1" applyAlignment="1" applyProtection="1">
      <alignment horizontal="general" vertical="bottom"/>
      <protection locked="1" hidden="0"/>
    </xf>
    <xf numFmtId="0" fontId="2" fillId="3" borderId="3" xfId="0" applyFont="1" applyFill="1" applyBorder="1" applyAlignment="1" applyProtection="1">
      <alignment horizontal="general" vertical="bottom"/>
      <protection locked="1" hidden="0"/>
    </xf>
    <xf numFmtId="0" fontId="1" fillId="0" borderId="0" xfId="0" applyFont="1" applyFill="1" applyAlignment="1" applyProtection="1">
      <alignment horizontal="general" vertical="bottom"/>
      <protection locked="1" hidden="0"/>
    </xf>
    <xf numFmtId="165" fontId="2" fillId="0" borderId="1" xfId="0" applyNumberFormat="1" applyFont="1" applyFill="1" applyBorder="1" applyAlignment="1" applyProtection="1">
      <alignment horizontal="general" vertical="bottom"/>
      <protection locked="1" hidden="0"/>
    </xf>
    <xf numFmtId="0" fontId="1" fillId="4" borderId="0" xfId="0" applyFont="1" applyFill="1" applyAlignment="1" applyProtection="1">
      <alignment horizontal="general" vertical="bottom"/>
      <protection locked="1" hidden="0"/>
    </xf>
    <xf numFmtId="166" fontId="2" fillId="3" borderId="3" xfId="0" applyNumberFormat="1" applyFont="1" applyFill="1" applyBorder="1" applyAlignment="1" applyProtection="1">
      <alignment horizontal="general" vertical="bottom"/>
      <protection locked="1" hidden="0"/>
    </xf>
    <xf numFmtId="164" fontId="1" fillId="4" borderId="0" xfId="0" applyNumberFormat="1" applyFont="1" applyFill="1" applyAlignment="1" applyProtection="1">
      <alignment horizontal="general" vertical="bottom"/>
      <protection locked="1" hidden="0"/>
    </xf>
    <xf numFmtId="164" fontId="2" fillId="3" borderId="4" xfId="0" applyNumberFormat="1" applyFont="1" applyFill="1" applyBorder="1" applyAlignment="1" applyProtection="1">
      <alignment horizontal="general" vertical="bottom"/>
      <protection locked="1" hidden="0"/>
    </xf>
    <xf numFmtId="164" fontId="2" fillId="4" borderId="1" xfId="0" applyNumberFormat="1" applyFont="1" applyFill="1" applyBorder="1" applyAlignment="1" applyProtection="1">
      <alignment horizontal="general" vertical="bottom"/>
      <protection locked="1" hidden="0"/>
    </xf>
    <xf numFmtId="164" fontId="2" fillId="0" borderId="1" xfId="0" applyNumberFormat="1" applyFont="1" applyFill="1" applyBorder="1" applyAlignment="1" applyProtection="1">
      <alignment horizontal="general" vertical="bottom"/>
      <protection locked="1" hidden="0"/>
    </xf>
    <xf numFmtId="164" fontId="4" fillId="0" borderId="0" xfId="0" applyNumberFormat="1" applyFont="1" applyFill="1" applyAlignment="1" applyProtection="1">
      <alignment horizontal="general" vertical="bottom"/>
      <protection locked="1" hidden="0"/>
    </xf>
    <xf numFmtId="0" fontId="2" fillId="3" borderId="4" xfId="0" applyFont="1" applyFill="1" applyBorder="1" applyAlignment="1" applyProtection="1">
      <alignment horizontal="general" vertical="bottom"/>
      <protection locked="1" hidden="0"/>
    </xf>
    <xf numFmtId="164" fontId="3" fillId="0" borderId="1" xfId="0" applyNumberFormat="1" applyFont="1" applyFill="1" applyBorder="1" applyAlignment="1" applyProtection="1">
      <alignment horizontal="general" vertical="bottom"/>
      <protection locked="1" hidden="0"/>
    </xf>
    <xf numFmtId="0" fontId="1" fillId="0" borderId="0" xfId="0" applyFont="1" applyFill="1" applyAlignment="1" applyProtection="1">
      <alignment horizontal="general" vertical="bottom" wrapText="1"/>
      <protection locked="1" hidden="0"/>
    </xf>
    <xf numFmtId="167" fontId="5" fillId="0" borderId="0" xfId="0" applyNumberFormat="1" applyFont="1" applyFill="1" applyAlignment="1" applyProtection="1">
      <alignment horizontal="general" vertical="bottom"/>
      <protection locked="1" hidden="0"/>
    </xf>
    <xf numFmtId="164" fontId="4" fillId="4" borderId="0" xfId="0" applyNumberFormat="1" applyFont="1" applyFill="1" applyAlignment="1" applyProtection="1">
      <alignment horizontal="general" vertical="bottom"/>
      <protection locked="1" hidden="0"/>
    </xf>
    <xf numFmtId="165" fontId="2" fillId="4" borderId="1" xfId="0" applyNumberFormat="1" applyFont="1" applyFill="1" applyBorder="1" applyAlignment="1" applyProtection="1">
      <alignment horizontal="general" vertical="bottom"/>
      <protection locked="1" hidden="0"/>
    </xf>
    <xf numFmtId="0" fontId="2" fillId="0" borderId="1" xfId="0" applyFont="1" applyFill="1" applyBorder="1" applyAlignment="1" applyProtection="1">
      <alignment horizontal="general" vertical="bottom" wrapText="1"/>
      <protection locked="1" hidden="0"/>
    </xf>
    <xf numFmtId="164" fontId="3" fillId="4" borderId="1" xfId="0" applyNumberFormat="1" applyFont="1" applyFill="1" applyBorder="1" applyAlignment="1" applyProtection="1">
      <alignment horizontal="general" vertical="bottom"/>
      <protection locked="1" hidden="0"/>
    </xf>
    <xf numFmtId="164" fontId="6" fillId="0" borderId="0" xfId="0" applyNumberFormat="1" applyFont="1" applyFill="1" applyAlignment="1" applyProtection="1">
      <alignment horizontal="general" vertical="bottom"/>
      <protection locked="1" hidden="0"/>
    </xf>
    <xf numFmtId="168" fontId="6" fillId="0" borderId="0" xfId="0" applyNumberFormat="1" applyFont="1" applyFill="1" applyAlignment="1" applyProtection="1">
      <alignment horizontal="general" vertical="bottom"/>
      <protection locked="1" hidden="0"/>
    </xf>
    <xf numFmtId="168" fontId="5" fillId="0" borderId="0" xfId="0" applyNumberFormat="1" applyFont="1" applyFill="1" applyAlignment="1" applyProtection="1">
      <alignment horizontal="general" vertical="bottom"/>
      <protection locked="1" hidden="0"/>
    </xf>
    <xf numFmtId="168" fontId="6" fillId="4" borderId="0" xfId="0" applyNumberFormat="1" applyFont="1" applyFill="1" applyAlignment="1" applyProtection="1">
      <alignment horizontal="general" vertical="bottom"/>
      <protection locked="1" hidden="0"/>
    </xf>
    <xf numFmtId="164" fontId="5" fillId="0" borderId="0" xfId="0" applyNumberFormat="1" applyFont="1" applyFill="1" applyAlignment="1" applyProtection="1">
      <alignment horizontal="general" vertical="bottom"/>
      <protection locked="1" hidden="0"/>
    </xf>
    <xf numFmtId="168" fontId="5" fillId="4" borderId="0" xfId="0" applyNumberFormat="1" applyFont="1" applyFill="1" applyAlignment="1" applyProtection="1">
      <alignment horizontal="general" vertical="bottom"/>
      <protection locked="1" hidden="0"/>
    </xf>
    <xf numFmtId="164" fontId="7" fillId="0" borderId="1" xfId="0" applyNumberFormat="1" applyFont="1" applyFill="1" applyBorder="1" applyAlignment="1" applyProtection="1">
      <alignment horizontal="general" vertical="bottom"/>
      <protection locked="1" hidden="0"/>
    </xf>
    <xf numFmtId="164" fontId="5" fillId="4" borderId="0" xfId="0" applyNumberFormat="1" applyFont="1" applyFill="1" applyAlignment="1" applyProtection="1">
      <alignment horizontal="general" vertical="bottom"/>
      <protection locked="1" hidden="0"/>
    </xf>
    <xf numFmtId="164" fontId="8" fillId="0" borderId="1" xfId="0" applyNumberFormat="1" applyFont="1" applyFill="1" applyBorder="1" applyAlignment="1" applyProtection="1">
      <alignment horizontal="general" vertical="bottom"/>
      <protection locked="1" hidden="0"/>
    </xf>
    <xf numFmtId="164" fontId="6" fillId="4" borderId="0" xfId="0" applyNumberFormat="1" applyFont="1" applyFill="1" applyAlignment="1" applyProtection="1">
      <alignment horizontal="general" vertical="bottom"/>
      <protection locked="1" hidden="0"/>
    </xf>
    <xf numFmtId="164" fontId="7" fillId="4" borderId="1" xfId="0" applyNumberFormat="1" applyFont="1" applyFill="1" applyBorder="1" applyAlignment="1" applyProtection="1">
      <alignment horizontal="general" vertical="bottom"/>
      <protection locked="1" hidden="0"/>
    </xf>
    <xf numFmtId="164" fontId="1" fillId="0" borderId="0" xfId="0" applyNumberFormat="1" applyFont="1" applyFill="1" applyAlignment="1" applyProtection="1">
      <alignment horizontal="general" vertical="bottom" wrapText="1"/>
      <protection locked="1" hidden="0"/>
    </xf>
    <xf numFmtId="164" fontId="9" fillId="0" borderId="0" xfId="0" applyNumberFormat="1" applyFont="1" applyFill="1" applyAlignment="1" applyProtection="1">
      <alignment horizontal="general" vertical="bottom"/>
      <protection locked="1" hidden="0"/>
    </xf>
    <xf numFmtId="0" fontId="2" fillId="3" borderId="5" xfId="0" applyFont="1" applyFill="1" applyBorder="1" applyAlignment="1" applyProtection="1">
      <alignment horizontal="general" vertical="bottom"/>
      <protection locked="1" hidden="0"/>
    </xf>
    <xf numFmtId="166" fontId="9" fillId="0" borderId="0" xfId="0" applyNumberFormat="1" applyFont="1" applyFill="1" applyAlignment="1" applyProtection="1">
      <alignment horizontal="general" vertical="bottom"/>
      <protection locked="1" hidden="0"/>
    </xf>
    <xf numFmtId="165" fontId="4" fillId="4" borderId="0" xfId="0" applyNumberFormat="1" applyFont="1" applyFill="1" applyAlignment="1" applyProtection="1">
      <alignment horizontal="general" vertical="bottom"/>
      <protection locked="1" hidden="0"/>
    </xf>
    <xf numFmtId="168" fontId="8" fillId="0" borderId="1" xfId="0" applyNumberFormat="1" applyFont="1" applyFill="1" applyBorder="1" applyAlignment="1" applyProtection="1">
      <alignment horizontal="general" vertical="bottom"/>
      <protection locked="1" hidden="0"/>
    </xf>
    <xf numFmtId="168" fontId="10" fillId="0" borderId="0" xfId="0" applyNumberFormat="1" applyFont="1" applyFill="1" applyAlignment="1" applyProtection="1">
      <alignment horizontal="general" vertical="bottom"/>
      <protection locked="1" hidden="0"/>
    </xf>
    <xf numFmtId="165" fontId="9" fillId="0" borderId="0" xfId="0" applyNumberFormat="1" applyFont="1" applyFill="1" applyAlignment="1" applyProtection="1">
      <alignment horizontal="general" vertical="bottom"/>
      <protection locked="1" hidden="0"/>
    </xf>
    <xf numFmtId="165" fontId="1" fillId="0" borderId="0" xfId="0" applyNumberFormat="1" applyFont="1" applyFill="1" applyAlignment="1" applyProtection="1">
      <alignment horizontal="general" vertical="bottom"/>
      <protection locked="1" hidden="0"/>
    </xf>
    <xf numFmtId="168" fontId="7" fillId="4" borderId="1" xfId="0" applyNumberFormat="1" applyFont="1" applyFill="1" applyBorder="1" applyAlignment="1" applyProtection="1">
      <alignment horizontal="general" vertical="bottom"/>
      <protection locked="1" hidden="0"/>
    </xf>
    <xf numFmtId="165" fontId="4" fillId="0" borderId="0" xfId="0" applyNumberFormat="1" applyFont="1" applyFill="1" applyAlignment="1" applyProtection="1">
      <alignment horizontal="general" vertical="bottom"/>
      <protection locked="1" hidden="0"/>
    </xf>
    <xf numFmtId="165" fontId="1" fillId="4" borderId="0" xfId="0" applyNumberFormat="1" applyFont="1" applyFill="1" applyAlignment="1" applyProtection="1">
      <alignment horizontal="general" vertical="bottom"/>
      <protection locked="1" hidden="0"/>
    </xf>
    <xf numFmtId="165" fontId="1" fillId="0" borderId="0" xfId="0" applyNumberFormat="1" applyFont="1" applyFill="1" applyAlignment="1" applyProtection="1">
      <alignment horizontal="general" vertical="bottom" wrapText="1"/>
      <protection locked="1" hidden="0"/>
    </xf>
    <xf numFmtId="168" fontId="8" fillId="3" borderId="5" xfId="0" applyNumberFormat="1" applyFont="1" applyFill="1" applyBorder="1" applyAlignment="1" applyProtection="1">
      <alignment horizontal="general" vertical="bottom"/>
      <protection locked="1" hidden="0"/>
    </xf>
    <xf numFmtId="168" fontId="7" fillId="0" borderId="1" xfId="0" applyNumberFormat="1" applyFont="1" applyFill="1" applyBorder="1" applyAlignment="1" applyProtection="1">
      <alignment horizontal="general" vertical="bottom"/>
      <protection locked="1" hidden="0"/>
    </xf>
    <xf numFmtId="168" fontId="8" fillId="4" borderId="1" xfId="0" applyNumberFormat="1" applyFont="1" applyFill="1" applyBorder="1" applyAlignment="1" applyProtection="1">
      <alignment horizontal="general" vertical="bottom"/>
      <protection locked="1" hidden="0"/>
    </xf>
    <xf numFmtId="164" fontId="2" fillId="0" borderId="6" xfId="0" applyNumberFormat="1" applyFont="1" applyFill="1" applyBorder="1" applyAlignment="1" applyProtection="1">
      <alignment horizontal="general" vertical="bottom"/>
      <protection locked="1" hidden="0"/>
    </xf>
    <xf numFmtId="168" fontId="8" fillId="0" borderId="6" xfId="0" applyNumberFormat="1" applyFont="1" applyFill="1" applyBorder="1" applyAlignment="1" applyProtection="1">
      <alignment horizontal="general" vertical="bottom"/>
      <protection locked="1" hidden="0"/>
    </xf>
    <xf numFmtId="164" fontId="8" fillId="4" borderId="1" xfId="0" applyNumberFormat="1" applyFont="1" applyFill="1" applyBorder="1" applyAlignment="1" applyProtection="1">
      <alignment horizontal="general" vertical="bottom"/>
      <protection locked="1" hidden="0"/>
    </xf>
    <xf numFmtId="164" fontId="2" fillId="3" borderId="5" xfId="0" applyNumberFormat="1" applyFont="1" applyFill="1" applyBorder="1" applyAlignment="1" applyProtection="1">
      <alignment horizontal="general" vertical="bottom"/>
      <protection locked="1" hidden="0"/>
    </xf>
    <xf numFmtId="169" fontId="1" fillId="0" borderId="0" xfId="0" applyNumberFormat="1" applyFont="1" applyFill="1" applyAlignment="1" applyProtection="1">
      <alignment horizontal="general" vertical="bottom"/>
      <protection locked="1" hidden="0"/>
    </xf>
    <xf numFmtId="169" fontId="1" fillId="4" borderId="0" xfId="0" applyNumberFormat="1" applyFont="1" applyFill="1" applyAlignment="1" applyProtection="1">
      <alignment horizontal="general" vertical="bottom"/>
      <protection locked="1" hidden="0"/>
    </xf>
    <xf numFmtId="0" fontId="9" fillId="0" borderId="0" xfId="0" applyFont="1" applyFill="1" applyAlignment="1" applyProtection="1">
      <alignment horizontal="general" vertical="bottom"/>
      <protection locked="1" hidden="0"/>
    </xf>
    <xf numFmtId="170" fontId="9" fillId="0" borderId="0" xfId="0" applyNumberFormat="1" applyFont="1" applyFill="1" applyAlignment="1" applyProtection="1">
      <alignment horizontal="general" vertical="bottom"/>
      <protection locked="1" hidden="0"/>
    </xf>
    <xf numFmtId="0" fontId="9" fillId="4" borderId="0" xfId="0" applyFont="1" applyFill="1" applyAlignment="1" applyProtection="1">
      <alignment horizontal="general" vertical="bottom"/>
      <protection locked="1" hidden="0"/>
    </xf>
    <xf numFmtId="167" fontId="10" fillId="0" borderId="0" xfId="0" applyNumberFormat="1" applyFont="1" applyFill="1" applyAlignment="1" applyProtection="1">
      <alignment horizontal="general" vertical="bottom"/>
      <protection locked="1" hidden="0"/>
    </xf>
    <xf numFmtId="171" fontId="9" fillId="4" borderId="0" xfId="0" applyNumberFormat="1" applyFont="1" applyFill="1" applyAlignment="1" applyProtection="1">
      <alignment horizontal="general" vertical="bottom"/>
      <protection locked="1" hidden="0"/>
    </xf>
    <xf numFmtId="166" fontId="1" fillId="0" borderId="0" xfId="0" applyNumberFormat="1" applyFont="1" applyFill="1" applyAlignment="1" applyProtection="1">
      <alignment horizontal="general" vertical="bottom"/>
      <protection locked="1" hidden="0"/>
    </xf>
    <xf numFmtId="171" fontId="9" fillId="0" borderId="0" xfId="0" applyNumberFormat="1" applyFont="1" applyFill="1" applyAlignment="1" applyProtection="1">
      <alignment horizontal="general" vertical="bottom"/>
      <protection locked="1" hidden="0"/>
    </xf>
    <xf numFmtId="172" fontId="9" fillId="0" borderId="0" xfId="0" applyNumberFormat="1" applyFont="1" applyFill="1" applyAlignment="1" applyProtection="1">
      <alignment horizontal="general" vertical="bottom"/>
      <protection locked="1" hidden="0"/>
    </xf>
    <xf numFmtId="171" fontId="1" fillId="0" borderId="0" xfId="0" applyNumberFormat="1" applyFont="1" applyFill="1" applyAlignment="1" applyProtection="1">
      <alignment horizontal="general" vertical="bottom"/>
      <protection locked="1" hidden="0"/>
    </xf>
    <xf numFmtId="167" fontId="9" fillId="0" borderId="0" xfId="0" applyNumberFormat="1" applyFont="1" applyFill="1" applyAlignment="1" applyProtection="1">
      <alignment horizontal="general" vertical="bottom"/>
      <protection locked="1" hidden="0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worksheet" Target="worksheets/sheet13.xml"/><Relationship Id="rId15" Type="http://schemas.openxmlformats.org/officeDocument/2006/relationships/theme" Target="theme/theme1.xml"/><Relationship Id="rId16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0</xdr:colOff>
      <xdr:row>1</xdr:row>
      <xdr:rowOff>0</xdr:rowOff>
    </xdr:from>
    <xdr:ext cx="571500" cy="571500"/>
    <xdr:pic>
      <xdr:nvPicPr>
        <xdr:cNvPr id="2" name="Shortcut logo"/>
        <xdr:cNvPicPr>
          <a:picLocks noChangeAspect="1"/>
        </xdr:cNvPicPr>
      </xdr:nvPicPr>
      <xdr:blipFill>
        <a:blip r:embed="rId1"/>
      </xdr:blipFill>
      <xdr:spPr>
        <a:xfrm>
          <a:off x="0" y="0"/>
          <a:ext cx="571500" cy="5715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Malgun Gothic"/>
        <a:font script="Hans" typeface="DengXian Light"/>
        <a:font script="Hant" typeface="Microsoft JhengHei Light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</a:majorFont>
      <a:minorFont>
        <a:latin typeface="Calibri" panose="020F0502020204030204"/>
        <a:ea typeface=""/>
        <a:cs typeface=""/>
        <a:font script="Jpan" typeface="Yu Gothic"/>
        <a:font script="Hang" typeface="Malgun Gothic"/>
        <a:font script="Hans" typeface="DengXian"/>
        <a:font script="Hant" typeface="Microsoft JhengHei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>
          <a:solidFill>
            <a:schemeClr val="phClr"/>
          </a:solidFill>
        </a:ln>
        <a:ln w="12700">
          <a:solidFill>
            <a:schemeClr val="phClr"/>
          </a:solidFill>
        </a:ln>
        <a:ln w="19050"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J26"/>
  <sheetViews>
    <sheetView showGridLines="0" workbookViewId="0">
      <pane xSplit="2" ySplit="7" topLeftCell="C8" activePane="bottomRight" state="frozen"/>
    </sheetView>
  </sheetViews>
  <sheetFormatPr defaultRowHeight="15"/>
  <cols>
    <col min="1" max="1" width="3" customWidth="1"/>
    <col min="2" max="2" width="36" customWidth="1"/>
    <col min="3" max="8" width="13" customWidth="1"/>
    <col min="9" max="9" width="18" customWidth="1"/>
    <col min="10" max="10" width="75" customWidth="1"/>
  </cols>
  <sheetData>
    <row r="2">
      <c r="B2" s="3" t="s">
        <v>0</v>
      </c>
      <c r="C2" s="3"/>
      <c r="D2" s="3"/>
      <c r="E2" s="3"/>
      <c r="F2" s="3"/>
      <c r="G2" s="3"/>
      <c r="H2" s="3"/>
    </row>
    <row r="3">
      <c r="B3" s="3" t="s">
        <v>1</v>
      </c>
      <c r="C3" s="3"/>
      <c r="D3" s="3"/>
      <c r="E3" s="3"/>
      <c r="F3" s="3"/>
      <c r="G3" s="3"/>
      <c r="H3" s="3"/>
    </row>
    <row r="4">
      <c r="B4" s="3" t="s">
        <v>2</v>
      </c>
      <c r="C4" s="3"/>
      <c r="D4" s="3"/>
      <c r="E4" s="3"/>
      <c r="F4" s="3"/>
      <c r="G4" s="3"/>
      <c r="H4" s="3"/>
    </row>
    <row r="5">
      <c r="B5" s="5" t="s">
        <v>3</v>
      </c>
      <c r="C5" s="5" t="s">
        <v>4</v>
      </c>
      <c r="D5" s="5" t="s">
        <v>5</v>
      </c>
      <c r="E5" s="5" t="s">
        <v>6</v>
      </c>
      <c r="F5" s="5" t="s">
        <v>7</v>
      </c>
      <c r="G5" s="5" t="s">
        <v>8</v>
      </c>
      <c r="H5" s="5" t="s">
        <v>9</v>
      </c>
    </row>
    <row r="6">
      <c r="B6" s="5" t="s">
        <v>10</v>
      </c>
      <c r="C6" s="9">
        <v>45900</v>
      </c>
      <c r="D6" s="9">
        <v>45991</v>
      </c>
      <c r="E6" s="9">
        <v>46081</v>
      </c>
      <c r="F6" s="9">
        <v>46173</v>
      </c>
      <c r="G6" s="9">
        <v>45900</v>
      </c>
      <c r="H6" s="9">
        <v>46265</v>
      </c>
    </row>
    <row r="7">
      <c r="B7" s="5" t="s">
        <v>11</v>
      </c>
      <c r="C7" s="5">
        <v>92</v>
      </c>
      <c r="D7" s="5">
        <v>91</v>
      </c>
      <c r="E7" s="5">
        <v>90</v>
      </c>
      <c r="F7" s="5">
        <v>92</v>
      </c>
      <c r="G7" s="5">
        <v>365</v>
      </c>
      <c r="H7" s="5">
        <v>92</v>
      </c>
    </row>
    <row r="8">
      <c r="B8" s="6"/>
      <c r="C8" s="6"/>
      <c r="D8" s="6"/>
      <c r="E8" s="6"/>
      <c r="F8" s="6"/>
      <c r="G8" s="6"/>
      <c r="H8" s="8"/>
    </row>
    <row r="9">
      <c r="B9" s="6" t="s">
        <v>12</v>
      </c>
      <c r="C9" s="6"/>
      <c r="D9" s="6"/>
      <c r="E9" s="6"/>
      <c r="F9" s="6"/>
      <c r="G9" s="6"/>
      <c r="H9" s="8"/>
    </row>
    <row r="10">
      <c r="B10" s="6" t="s">
        <v>13</v>
      </c>
      <c r="C10" s="1"/>
      <c r="D10" s="1"/>
      <c r="E10" s="1"/>
      <c r="F10" s="1"/>
      <c r="G10" s="1"/>
      <c r="H10" s="10"/>
    </row>
    <row r="11">
      <c r="B11" s="6" t="s">
        <v>14</v>
      </c>
      <c r="C11" s="1"/>
      <c r="D11" s="1"/>
      <c r="E11" s="1"/>
      <c r="F11" s="1"/>
      <c r="G11" s="1"/>
      <c r="H11" s="10"/>
    </row>
    <row r="12">
      <c r="B12" s="6" t="s">
        <v>15</v>
      </c>
      <c r="C12" s="1"/>
      <c r="D12" s="1"/>
      <c r="E12" s="1"/>
      <c r="F12" s="1"/>
      <c r="G12" s="1"/>
      <c r="H12" s="10"/>
    </row>
    <row r="13">
      <c r="B13" s="6"/>
      <c r="C13" s="1"/>
      <c r="D13" s="1"/>
      <c r="E13" s="1"/>
      <c r="F13" s="1"/>
      <c r="G13" s="1"/>
      <c r="H13" s="10"/>
    </row>
    <row r="14">
      <c r="B14" s="6"/>
      <c r="C14" s="1"/>
      <c r="D14" s="1"/>
      <c r="E14" s="1"/>
      <c r="F14" s="1"/>
      <c r="G14" s="1"/>
      <c r="H14" s="10"/>
    </row>
    <row r="15">
      <c r="B15" s="15" t="s">
        <v>16</v>
      </c>
      <c r="C15" s="11" t="s">
        <v>17</v>
      </c>
      <c r="D15" s="11" t="s">
        <v>18</v>
      </c>
      <c r="E15" s="11" t="s">
        <v>19</v>
      </c>
      <c r="F15" s="11" t="s">
        <v>20</v>
      </c>
      <c r="G15" s="1"/>
      <c r="H15" s="10"/>
    </row>
    <row r="16">
      <c r="B16" s="2" t="s">
        <v>21</v>
      </c>
      <c r="C16" s="16">
        <f>'Revenue summary'!H10</f>
        <v>17950.152701272847</v>
      </c>
      <c r="D16" s="16">
        <f>Inputs!C47</f>
        <v>18037.35</v>
      </c>
      <c r="E16" s="13">
        <f>C16-D16</f>
        <v>-87.19729872715106</v>
      </c>
      <c r="F16" s="16">
        <f>Guidance!G10</f>
        <v>18075</v>
      </c>
      <c r="G16" s="13"/>
      <c r="H16" s="12"/>
    </row>
    <row r="17" ht="25.5">
      <c r="B17" s="21" t="s">
        <v>22</v>
      </c>
      <c r="C17" s="16">
        <f>'Income Statement'!H45</f>
        <v>1930.3083025315705</v>
      </c>
      <c r="D17" s="16">
        <f>Inputs!C57</f>
        <v>1953.33</v>
      </c>
      <c r="E17" s="13">
        <f>C17-D17</f>
        <v>-23.021697468429466</v>
      </c>
      <c r="F17" s="13" t="s">
        <v>23</v>
      </c>
      <c r="G17" s="13"/>
      <c r="H17" s="12"/>
    </row>
    <row r="18">
      <c r="B18" s="2" t="s">
        <v>24</v>
      </c>
      <c r="C18" s="4">
        <f>'Income Statement'!H46</f>
        <v>3.1484734205184886</v>
      </c>
      <c r="D18" s="4">
        <f>Inputs!C30</f>
        <v>3.18</v>
      </c>
      <c r="E18" s="7">
        <f>C18-D18</f>
        <v>-0.03152657948151161</v>
      </c>
      <c r="F18" s="4">
        <f>Guidance!G13-SUM('Income Statement'!D46:F46)</f>
        <v>3.1668966538298946</v>
      </c>
      <c r="G18" s="7"/>
      <c r="H18" s="20"/>
    </row>
    <row r="19">
      <c r="B19" s="2" t="s">
        <v>25</v>
      </c>
      <c r="C19" s="4">
        <f>'Income Statement'!H39</f>
        <v>3.1484734205184886</v>
      </c>
      <c r="D19" s="4">
        <f>Inputs!C39</f>
        <v>3.18</v>
      </c>
      <c r="E19" s="7">
        <f>C19-D19</f>
        <v>-0.03152657948151161</v>
      </c>
      <c r="F19" s="4">
        <f>Guidance!G14-SUM('Income Statement'!D39:F39)</f>
        <v>3.166723796704929</v>
      </c>
      <c r="G19" s="7"/>
      <c r="H19" s="20"/>
    </row>
    <row r="20">
      <c r="B20" s="6" t="s">
        <v>26</v>
      </c>
      <c r="C20" s="18">
        <f>Inputs!H227</f>
        <v>0.44</v>
      </c>
      <c r="D20" s="1"/>
      <c r="E20" s="1"/>
      <c r="F20" s="1"/>
      <c r="G20" s="1"/>
      <c r="H20" s="10"/>
    </row>
    <row r="21">
      <c r="B21" s="6" t="s">
        <v>27</v>
      </c>
      <c r="C21" s="14" t="str">
        <f>Inputs!H228</f>
        <v>medium</v>
      </c>
      <c r="D21" s="1"/>
      <c r="E21" s="1"/>
      <c r="F21" s="1"/>
      <c r="G21" s="1"/>
      <c r="H21" s="10"/>
    </row>
    <row r="22">
      <c r="B22" s="6"/>
      <c r="C22" s="1"/>
      <c r="D22" s="1"/>
      <c r="E22" s="1"/>
      <c r="F22" s="1"/>
      <c r="G22" s="1"/>
      <c r="H22" s="10"/>
    </row>
    <row r="23">
      <c r="B23" s="6" t="s">
        <v>28</v>
      </c>
      <c r="C23" s="14" t="str">
        <f>IF(AND(ABS('Revenue summary'!H119)&lt;0.001,ABS('Revenue summary'!H120)&lt;0.001,ABS('Revenue summary'!H121)&lt;0.001,ABS(Geo!H44)&lt;0.001,ABS('Balance Sheet'!H44)&lt;0.001,ABS('Cash Flow Statement'!H36)&lt;0.001,ABS('Income Statement'!H47)&lt;0.00001,ABS(C16-'Revenue summary'!H10)&lt;0.001,ABS(C18-'Income Statement'!H46)&lt;0.00001),"PASS","FAIL")</f>
        <v>PASS</v>
      </c>
      <c r="D23" s="1"/>
      <c r="E23" s="1"/>
      <c r="F23" s="1"/>
      <c r="G23" s="1"/>
      <c r="H23" s="10"/>
    </row>
    <row r="24">
      <c r="B24" s="6"/>
      <c r="C24" s="1"/>
      <c r="D24" s="1"/>
      <c r="E24" s="1"/>
      <c r="F24" s="1"/>
      <c r="G24" s="1"/>
      <c r="H24" s="10"/>
      <c r="J24" s="6" t="s">
        <v>29</v>
      </c>
    </row>
    <row r="25" ht="33.75">
      <c r="B25" s="6" t="s">
        <v>30</v>
      </c>
      <c r="C25" s="1"/>
      <c r="D25" s="1"/>
      <c r="E25" s="1"/>
      <c r="F25" s="1"/>
      <c r="G25" s="1"/>
      <c r="H25" s="10"/>
      <c r="J25" s="17" t="s">
        <v>31</v>
      </c>
    </row>
    <row r="26" ht="33.75">
      <c r="B26" s="6" t="s">
        <v>32</v>
      </c>
      <c r="C26" s="1"/>
      <c r="D26" s="1"/>
      <c r="E26" s="1"/>
      <c r="F26" s="1"/>
      <c r="G26" s="1"/>
      <c r="H26" s="10"/>
      <c r="J26" s="17" t="s">
        <v>33</v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H122"/>
  <sheetViews>
    <sheetView showGridLines="0" workbookViewId="0">
      <pane xSplit="2" ySplit="7" topLeftCell="C8" activePane="bottomRight" state="frozen"/>
    </sheetView>
  </sheetViews>
  <sheetFormatPr defaultColWidth="8.42578125" defaultRowHeight="15"/>
  <cols>
    <col min="1" max="1" width="3" customWidth="1"/>
    <col min="2" max="2" width="36" customWidth="1"/>
    <col min="3" max="8" width="13" customWidth="1"/>
    <col min="9" max="9" width="18" customWidth="1"/>
  </cols>
  <sheetData>
    <row r="2">
      <c r="B2" s="3" t="s">
        <v>0</v>
      </c>
      <c r="C2" s="3"/>
      <c r="D2" s="3"/>
      <c r="E2" s="3"/>
      <c r="F2" s="3"/>
      <c r="G2" s="3"/>
      <c r="H2" s="3"/>
    </row>
    <row r="3">
      <c r="B3" s="3" t="s">
        <v>34</v>
      </c>
      <c r="C3" s="3"/>
      <c r="D3" s="3"/>
      <c r="E3" s="3"/>
      <c r="F3" s="3"/>
      <c r="G3" s="3"/>
      <c r="H3" s="3"/>
    </row>
    <row r="4">
      <c r="B4" s="3" t="s">
        <v>2</v>
      </c>
      <c r="C4" s="3"/>
      <c r="D4" s="3"/>
      <c r="E4" s="3"/>
      <c r="F4" s="3"/>
      <c r="G4" s="3"/>
      <c r="H4" s="3"/>
    </row>
    <row r="5">
      <c r="B5" s="5" t="s">
        <v>3</v>
      </c>
      <c r="C5" s="5" t="s">
        <v>4</v>
      </c>
      <c r="D5" s="5" t="s">
        <v>5</v>
      </c>
      <c r="E5" s="5" t="s">
        <v>6</v>
      </c>
      <c r="F5" s="5" t="s">
        <v>7</v>
      </c>
      <c r="G5" s="5" t="s">
        <v>8</v>
      </c>
      <c r="H5" s="5" t="s">
        <v>9</v>
      </c>
    </row>
    <row r="6">
      <c r="B6" s="5" t="s">
        <v>10</v>
      </c>
      <c r="C6" s="9">
        <v>45900</v>
      </c>
      <c r="D6" s="9">
        <v>45991</v>
      </c>
      <c r="E6" s="9">
        <v>46081</v>
      </c>
      <c r="F6" s="9">
        <v>46173</v>
      </c>
      <c r="G6" s="9">
        <v>45900</v>
      </c>
      <c r="H6" s="9">
        <v>46265</v>
      </c>
    </row>
    <row r="7">
      <c r="B7" s="5" t="s">
        <v>11</v>
      </c>
      <c r="C7" s="5">
        <v>92</v>
      </c>
      <c r="D7" s="5">
        <v>91</v>
      </c>
      <c r="E7" s="5">
        <v>90</v>
      </c>
      <c r="F7" s="5">
        <v>92</v>
      </c>
      <c r="G7" s="5">
        <v>365</v>
      </c>
      <c r="H7" s="5">
        <v>92</v>
      </c>
    </row>
    <row r="8">
      <c r="B8" s="6"/>
      <c r="C8" s="6"/>
      <c r="D8" s="6"/>
      <c r="E8" s="6"/>
      <c r="F8" s="6"/>
      <c r="G8" s="6"/>
      <c r="H8" s="8"/>
    </row>
    <row r="9">
      <c r="B9" s="6"/>
      <c r="C9" s="6"/>
      <c r="D9" s="6"/>
      <c r="E9" s="6"/>
      <c r="F9" s="6"/>
      <c r="G9" s="6"/>
      <c r="H9" s="8"/>
    </row>
    <row r="10">
      <c r="B10" s="2" t="s">
        <v>35</v>
      </c>
      <c r="C10" s="13">
        <f>SUM(C19,C29,C39)</f>
        <v>17596.26</v>
      </c>
      <c r="D10" s="13">
        <f>SUM(D19,D29,D39)</f>
        <v>18742.125</v>
      </c>
      <c r="E10" s="13">
        <f>SUM(E19,E29,E39)</f>
        <v>18044.066</v>
      </c>
      <c r="F10" s="13">
        <f>SUM(F19,F29,F39)</f>
        <v>18718.144</v>
      </c>
      <c r="G10" s="13">
        <f>SUM(G19,G29,G39)</f>
        <v>69672.977</v>
      </c>
      <c r="H10" s="12">
        <f>SUM(H19,H29,H39)</f>
        <v>17950.152701272847</v>
      </c>
    </row>
    <row r="11">
      <c r="B11" s="6" t="s">
        <v>36</v>
      </c>
      <c r="C11" s="25">
        <f>C10/SUM(Inputs!C233:C235)-1</f>
        <v>0.07256211957476788</v>
      </c>
      <c r="D11" s="25">
        <f>D10/SUM(Inputs!D233:D235)-1</f>
        <v>0.05950294368792419</v>
      </c>
      <c r="E11" s="25">
        <f>E10/SUM(Inputs!E233:E235)-1</f>
        <v>0.08312263521740793</v>
      </c>
      <c r="F11" s="25">
        <f>F10/SUM(Inputs!F233:F235)-1</f>
        <v>0.055859668653951866</v>
      </c>
      <c r="G11" s="25">
        <f>G10/SUM(Inputs!G233:G235)-1</f>
        <v>0.07360205326441216</v>
      </c>
      <c r="H11" s="26">
        <f>H10/C10-1</f>
        <v>0.020111813605439455</v>
      </c>
    </row>
    <row r="12">
      <c r="B12" s="6" t="s">
        <v>37</v>
      </c>
      <c r="C12" s="24"/>
      <c r="D12" s="24">
        <f>D10/C10-1</f>
        <v>0.06511980386741278</v>
      </c>
      <c r="E12" s="24">
        <f>E10/D10-1</f>
        <v>-0.03724545642503185</v>
      </c>
      <c r="F12" s="24">
        <f>F10/E10-1</f>
        <v>0.03735732290050375</v>
      </c>
      <c r="G12" s="24"/>
      <c r="H12" s="26">
        <f>H10/F10-1</f>
        <v>-0.04102924407073438</v>
      </c>
    </row>
    <row r="13" ht="25.5">
      <c r="B13" s="17" t="s">
        <v>38</v>
      </c>
      <c r="C13" s="24">
        <f>(1+C11)/((1+C14)*(1+C15))-1</f>
        <v>0.04455442181825853</v>
      </c>
      <c r="D13" s="24">
        <f>(1+D11)/((1+D14)*(1+D15))-1</f>
        <v>0.04719209567006932</v>
      </c>
      <c r="E13" s="24">
        <f>(1+E11)/((1+E14)*(1+E15))-1</f>
        <v>0.03619018829181364</v>
      </c>
      <c r="F13" s="24">
        <f>(1+F11)/((1+F14)*(1+F15))-1</f>
        <v>0.03053533895863758</v>
      </c>
      <c r="G13" s="24">
        <f>(1+G11)/((1+G14)*(1+G15))-1</f>
        <v>0.07211241262698076</v>
      </c>
      <c r="H13" s="26">
        <f>(1+H11)/((1+H14)*(1+H15))-1</f>
        <v>0.009601763571154942</v>
      </c>
    </row>
    <row r="14">
      <c r="B14" s="6" t="s">
        <v>39</v>
      </c>
      <c r="C14" s="25">
        <f>Inputs!H257</f>
        <v>0</v>
      </c>
      <c r="D14" s="25">
        <f>Inputs!H257</f>
        <v>0</v>
      </c>
      <c r="E14" s="25">
        <f>Inputs!H257</f>
        <v>0</v>
      </c>
      <c r="F14" s="25">
        <f>Inputs!H257</f>
        <v>0</v>
      </c>
      <c r="G14" s="25">
        <f>Inputs!H257</f>
        <v>0</v>
      </c>
      <c r="H14" s="28">
        <f>Inputs!H192</f>
        <v>0.015</v>
      </c>
    </row>
    <row r="15">
      <c r="B15" s="6" t="s">
        <v>40</v>
      </c>
      <c r="C15" s="25">
        <f>(1+C11)/(1+SUMPRODUCT(Inputs!C233:C235,Inputs!C244:C246)/SUM(Inputs!C233:C235))-1</f>
        <v>0.02681305748316709</v>
      </c>
      <c r="D15" s="25">
        <f>(1+D11)/(1+SUMPRODUCT(Inputs!D233:D235,Inputs!D244:D246)/SUM(Inputs!D233:D235))-1</f>
        <v>0.011756055139030996</v>
      </c>
      <c r="E15" s="25">
        <f>(1+E11)/(1+SUMPRODUCT(Inputs!E233:E235,Inputs!E244:E246)/SUM(Inputs!E233:E235))-1</f>
        <v>0.04529327478285006</v>
      </c>
      <c r="F15" s="25">
        <f>(1+F11)/(1+SUMPRODUCT(Inputs!F233:F235,Inputs!F244:F246)/SUM(Inputs!F233:F235))-1</f>
        <v>0.024573955630579958</v>
      </c>
      <c r="G15" s="25">
        <f>(1+G11)/(1+SUMPRODUCT(Inputs!G233:G235,Inputs!G244:G246)/SUM(Inputs!G233:G235))-1</f>
        <v>0.0013894444462043687</v>
      </c>
      <c r="H15" s="28">
        <f>Guidance!J12</f>
        <v>-0.004522074122569228</v>
      </c>
    </row>
    <row r="16">
      <c r="B16" s="6"/>
      <c r="C16" s="1"/>
      <c r="D16" s="1"/>
      <c r="E16" s="1"/>
      <c r="F16" s="1"/>
      <c r="G16" s="1"/>
      <c r="H16" s="10"/>
    </row>
    <row r="17">
      <c r="B17" s="6"/>
      <c r="C17" s="1"/>
      <c r="D17" s="1"/>
      <c r="E17" s="1"/>
      <c r="F17" s="1"/>
      <c r="G17" s="1"/>
      <c r="H17" s="10"/>
    </row>
    <row r="18">
      <c r="B18" s="6"/>
      <c r="C18" s="1"/>
      <c r="D18" s="1"/>
      <c r="E18" s="1"/>
      <c r="F18" s="1"/>
      <c r="G18" s="1"/>
      <c r="H18" s="10"/>
    </row>
    <row r="19">
      <c r="B19" s="2" t="s">
        <v>41</v>
      </c>
      <c r="C19" s="16">
        <f>'Segment - Americas'!C18</f>
        <v>8804.391</v>
      </c>
      <c r="D19" s="16">
        <f>'Segment - Americas'!D18</f>
        <v>9080.059</v>
      </c>
      <c r="E19" s="16">
        <f>'Segment - Americas'!E18</f>
        <v>8896.402</v>
      </c>
      <c r="F19" s="16">
        <f>'Segment - Americas'!F18</f>
        <v>9137.772</v>
      </c>
      <c r="G19" s="16">
        <f>'Segment - Americas'!G18</f>
        <v>35056.715</v>
      </c>
      <c r="H19" s="22">
        <f>'Segment - Americas'!H18</f>
        <v>8939.988552753046</v>
      </c>
    </row>
    <row r="20">
      <c r="B20" s="6" t="s">
        <v>42</v>
      </c>
      <c r="C20" s="25">
        <f>'Segment - Americas'!C19</f>
        <v>0.050000000000000044</v>
      </c>
      <c r="D20" s="25">
        <f>'Segment - Americas'!D19</f>
        <v>0.040000000000000036</v>
      </c>
      <c r="E20" s="25">
        <f>'Segment - Americas'!E19</f>
        <v>0.030000000000000027</v>
      </c>
      <c r="F20" s="25">
        <f>'Segment - Americas'!F19</f>
        <v>0.010000000000000009</v>
      </c>
      <c r="G20" s="25">
        <f>'Segment - Americas'!G19</f>
        <v>0.09000000000000008</v>
      </c>
      <c r="H20" s="28">
        <f>'Segment - Americas'!H19</f>
        <v>0.0023999999999997357</v>
      </c>
    </row>
    <row r="21">
      <c r="B21" s="6" t="s">
        <v>39</v>
      </c>
      <c r="C21" s="25">
        <f>'Segment - Americas'!C20</f>
        <v>0</v>
      </c>
      <c r="D21" s="25">
        <f>'Segment - Americas'!D20</f>
        <v>0</v>
      </c>
      <c r="E21" s="25">
        <f>'Segment - Americas'!E20</f>
        <v>0</v>
      </c>
      <c r="F21" s="25">
        <f>'Segment - Americas'!F20</f>
        <v>0</v>
      </c>
      <c r="G21" s="25">
        <f>'Segment - Americas'!G20</f>
        <v>0</v>
      </c>
      <c r="H21" s="28">
        <f>'Segment - Americas'!H20</f>
        <v>0.015</v>
      </c>
    </row>
    <row r="22">
      <c r="B22" s="6" t="s">
        <v>40</v>
      </c>
      <c r="C22" s="25">
        <f>'Segment - Americas'!C21</f>
        <v>-0.004548341585780213</v>
      </c>
      <c r="D22" s="25">
        <f>'Segment - Americas'!D21</f>
        <v>-0.0002598206548238835</v>
      </c>
      <c r="E22" s="25">
        <f>'Segment - Americas'!E21</f>
        <v>0.009842690349815886</v>
      </c>
      <c r="F22" s="25">
        <f>'Segment - Americas'!F21</f>
        <v>0.009052735221132924</v>
      </c>
      <c r="G22" s="25">
        <f>'Segment - Americas'!G21</f>
        <v>-0.011991867865741246</v>
      </c>
      <c r="H22" s="28">
        <f>'Segment - Americas'!H21</f>
        <v>-0.002</v>
      </c>
    </row>
    <row r="23">
      <c r="B23" s="6" t="s">
        <v>43</v>
      </c>
      <c r="C23" s="25">
        <f>'Segment - Americas'!C22</f>
        <v>0.04522424133493086</v>
      </c>
      <c r="D23" s="25">
        <f>'Segment - Americas'!D22</f>
        <v>0.03972978651898318</v>
      </c>
      <c r="E23" s="25">
        <f>'Segment - Americas'!E22</f>
        <v>0.04013797106031047</v>
      </c>
      <c r="F23" s="25">
        <f>'Segment - Americas'!F22</f>
        <v>0.01914326257334431</v>
      </c>
      <c r="G23" s="25">
        <f>'Segment - Americas'!G22</f>
        <v>0.07692886402634214</v>
      </c>
      <c r="H23" s="28">
        <f>'Segment - Americas'!H22</f>
        <v>0.015401127999999709</v>
      </c>
    </row>
    <row r="24">
      <c r="B24" s="6" t="s">
        <v>44</v>
      </c>
      <c r="C24" s="24"/>
      <c r="D24" s="24">
        <f>D19/C19-1</f>
        <v>0.03131028596980756</v>
      </c>
      <c r="E24" s="24">
        <f>E19/D19-1</f>
        <v>-0.020226410423104024</v>
      </c>
      <c r="F24" s="24">
        <f>F19/E19-1</f>
        <v>0.027131193037364998</v>
      </c>
      <c r="G24" s="24"/>
      <c r="H24" s="26">
        <f>H19/F19-1</f>
        <v>-0.021644603000266938</v>
      </c>
    </row>
    <row r="25">
      <c r="B25" s="6" t="s">
        <v>45</v>
      </c>
      <c r="C25" s="24">
        <f>IFERROR(C19/C10,0)</f>
        <v>0.5003558142468911</v>
      </c>
      <c r="D25" s="24">
        <f>IFERROR(D19/D10,0)</f>
        <v>0.484473292116022</v>
      </c>
      <c r="E25" s="24">
        <f>IFERROR(E19/E10,0)</f>
        <v>0.49303754486377965</v>
      </c>
      <c r="F25" s="24">
        <f>IFERROR(F19/F10,0)</f>
        <v>0.48817724663299955</v>
      </c>
      <c r="G25" s="24">
        <f>IFERROR(G19/G10,0)</f>
        <v>0.5031608596256767</v>
      </c>
      <c r="H25" s="28">
        <f>'Segment - Americas'!H24</f>
        <v>0.49804526465778254</v>
      </c>
    </row>
    <row r="26">
      <c r="B26" s="6"/>
      <c r="C26" s="1"/>
      <c r="D26" s="1"/>
      <c r="E26" s="1"/>
      <c r="F26" s="1"/>
      <c r="G26" s="1"/>
      <c r="H26" s="10"/>
    </row>
    <row r="27">
      <c r="B27" s="6"/>
      <c r="C27" s="1"/>
      <c r="D27" s="1"/>
      <c r="E27" s="1"/>
      <c r="F27" s="1"/>
      <c r="G27" s="1"/>
      <c r="H27" s="10"/>
    </row>
    <row r="28">
      <c r="B28" s="6"/>
      <c r="C28" s="1"/>
      <c r="D28" s="1"/>
      <c r="E28" s="1"/>
      <c r="F28" s="1"/>
      <c r="G28" s="1"/>
      <c r="H28" s="10"/>
    </row>
    <row r="29">
      <c r="B29" s="2" t="s">
        <v>46</v>
      </c>
      <c r="C29" s="16">
        <f>'Segment - EMEA'!C18</f>
        <v>6196.281</v>
      </c>
      <c r="D29" s="16">
        <f>'Segment - EMEA'!D18</f>
        <v>6935.233</v>
      </c>
      <c r="E29" s="16">
        <f>'Segment - EMEA'!E18</f>
        <v>6569.391</v>
      </c>
      <c r="F29" s="16">
        <f>'Segment - EMEA'!F18</f>
        <v>6873.448</v>
      </c>
      <c r="G29" s="16">
        <f>'Segment - EMEA'!G18</f>
        <v>24643.957</v>
      </c>
      <c r="H29" s="22">
        <f>'Segment - EMEA'!H18</f>
        <v>6400.670285809801</v>
      </c>
    </row>
    <row r="30">
      <c r="B30" s="6" t="s">
        <v>42</v>
      </c>
      <c r="C30" s="25">
        <f>'Segment - EMEA'!C19</f>
        <v>0.030000000000000027</v>
      </c>
      <c r="D30" s="25">
        <f>'Segment - EMEA'!D19</f>
        <v>0.040000000000000036</v>
      </c>
      <c r="E30" s="25">
        <f>'Segment - EMEA'!E19</f>
        <v>0.020000000000000018</v>
      </c>
      <c r="F30" s="25">
        <f>'Segment - EMEA'!F19</f>
        <v>0.040000000000000036</v>
      </c>
      <c r="G30" s="25">
        <f>'Segment - EMEA'!G19</f>
        <v>0.06000000000000005</v>
      </c>
      <c r="H30" s="28">
        <f>'Segment - EMEA'!H19</f>
        <v>0.028000000000000247</v>
      </c>
    </row>
    <row r="31">
      <c r="B31" s="6" t="s">
        <v>39</v>
      </c>
      <c r="C31" s="25">
        <f>'Segment - EMEA'!C20</f>
        <v>0</v>
      </c>
      <c r="D31" s="25">
        <f>'Segment - EMEA'!D20</f>
        <v>0</v>
      </c>
      <c r="E31" s="25">
        <f>'Segment - EMEA'!E20</f>
        <v>0</v>
      </c>
      <c r="F31" s="25">
        <f>'Segment - EMEA'!F20</f>
        <v>0</v>
      </c>
      <c r="G31" s="25">
        <f>'Segment - EMEA'!G20</f>
        <v>0</v>
      </c>
      <c r="H31" s="28">
        <f>'Segment - EMEA'!H20</f>
        <v>0.015</v>
      </c>
    </row>
    <row r="32">
      <c r="B32" s="6" t="s">
        <v>40</v>
      </c>
      <c r="C32" s="25">
        <f>'Segment - EMEA'!C21</f>
        <v>0.06686640245679865</v>
      </c>
      <c r="D32" s="25">
        <f>'Segment - EMEA'!D21</f>
        <v>0.04000985491325704</v>
      </c>
      <c r="E32" s="25">
        <f>'Segment - EMEA'!E21</f>
        <v>0.10970332954529605</v>
      </c>
      <c r="F32" s="25">
        <f>'Segment - EMEA'!F21</f>
        <v>0.06053349742341574</v>
      </c>
      <c r="G32" s="25">
        <f>'Segment - EMEA'!G21</f>
        <v>0.01889470260298287</v>
      </c>
      <c r="H32" s="28">
        <f>'Segment - EMEA'!H21</f>
        <v>-0.01</v>
      </c>
    </row>
    <row r="33">
      <c r="B33" s="6" t="s">
        <v>43</v>
      </c>
      <c r="C33" s="25">
        <f>'Segment - EMEA'!C22</f>
        <v>0.09887239453050256</v>
      </c>
      <c r="D33" s="25">
        <f>'Segment - EMEA'!D22</f>
        <v>0.08161024910978742</v>
      </c>
      <c r="E33" s="25">
        <f>'Segment - EMEA'!E22</f>
        <v>0.131897396136202</v>
      </c>
      <c r="F33" s="25">
        <f>'Segment - EMEA'!F22</f>
        <v>0.10295483732035238</v>
      </c>
      <c r="G33" s="25">
        <f>'Segment - EMEA'!G22</f>
        <v>0.08002838475916185</v>
      </c>
      <c r="H33" s="28">
        <f>'Segment - EMEA'!H22</f>
        <v>0.032985800000000065</v>
      </c>
    </row>
    <row r="34">
      <c r="B34" s="6" t="s">
        <v>44</v>
      </c>
      <c r="C34" s="24"/>
      <c r="D34" s="24">
        <f>D29/C29-1</f>
        <v>0.11925734162153079</v>
      </c>
      <c r="E34" s="24">
        <f>E29/D29-1</f>
        <v>-0.05275121974993491</v>
      </c>
      <c r="F34" s="24">
        <f>F29/E29-1</f>
        <v>0.046283894504072</v>
      </c>
      <c r="G34" s="24"/>
      <c r="H34" s="26">
        <f>H29/F29-1</f>
        <v>-0.06878319501219765</v>
      </c>
    </row>
    <row r="35">
      <c r="B35" s="6" t="s">
        <v>45</v>
      </c>
      <c r="C35" s="24">
        <f>IFERROR(C29/C10,0)</f>
        <v>0.35213624940754457</v>
      </c>
      <c r="D35" s="24">
        <f>IFERROR(D29/D10,0)</f>
        <v>0.3700345078266205</v>
      </c>
      <c r="E35" s="24">
        <f>IFERROR(E29/E10,0)</f>
        <v>0.3640748709298669</v>
      </c>
      <c r="F35" s="24">
        <f>IFERROR(F29/F10,0)</f>
        <v>0.3672077744460135</v>
      </c>
      <c r="G35" s="24">
        <f>IFERROR(G29/G10,0)</f>
        <v>0.35370897098311155</v>
      </c>
      <c r="H35" s="28">
        <f>'Segment - EMEA'!H24</f>
        <v>0.3565802693899049</v>
      </c>
    </row>
    <row r="36">
      <c r="B36" s="6"/>
      <c r="C36" s="1"/>
      <c r="D36" s="1"/>
      <c r="E36" s="1"/>
      <c r="F36" s="1"/>
      <c r="G36" s="1"/>
      <c r="H36" s="10"/>
    </row>
    <row r="37">
      <c r="B37" s="6"/>
      <c r="C37" s="1"/>
      <c r="D37" s="1"/>
      <c r="E37" s="1"/>
      <c r="F37" s="1"/>
      <c r="G37" s="1"/>
      <c r="H37" s="10"/>
    </row>
    <row r="38">
      <c r="B38" s="6"/>
      <c r="C38" s="1"/>
      <c r="D38" s="1"/>
      <c r="E38" s="1"/>
      <c r="F38" s="1"/>
      <c r="G38" s="1"/>
      <c r="H38" s="10"/>
    </row>
    <row r="39">
      <c r="B39" s="2" t="s">
        <v>47</v>
      </c>
      <c r="C39" s="16">
        <f>'Segment - Asia Pacific'!C18</f>
        <v>2595.588</v>
      </c>
      <c r="D39" s="16">
        <f>'Segment - Asia Pacific'!D18</f>
        <v>2726.833</v>
      </c>
      <c r="E39" s="16">
        <f>'Segment - Asia Pacific'!E18</f>
        <v>2578.273</v>
      </c>
      <c r="F39" s="16">
        <f>'Segment - Asia Pacific'!F18</f>
        <v>2706.924</v>
      </c>
      <c r="G39" s="16">
        <f>'Segment - Asia Pacific'!G18</f>
        <v>9972.305</v>
      </c>
      <c r="H39" s="22">
        <f>'Segment - Asia Pacific'!H18</f>
        <v>2609.49386271</v>
      </c>
    </row>
    <row r="40">
      <c r="B40" s="6" t="s">
        <v>42</v>
      </c>
      <c r="C40" s="25">
        <f>'Segment - Asia Pacific'!C19</f>
        <v>0.06000000000000005</v>
      </c>
      <c r="D40" s="25">
        <f>'Segment - Asia Pacific'!D19</f>
        <v>0.09000000000000008</v>
      </c>
      <c r="E40" s="25">
        <f>'Segment - Asia Pacific'!E19</f>
        <v>0.10000000000000009</v>
      </c>
      <c r="F40" s="25">
        <f>'Segment - Asia Pacific'!F19</f>
        <v>0.08000000000000007</v>
      </c>
      <c r="G40" s="25">
        <f>'Segment - Asia Pacific'!G19</f>
        <v>0.040000000000000036</v>
      </c>
      <c r="H40" s="28">
        <f>'Segment - Asia Pacific'!H19</f>
        <v>-0.009499999999999953</v>
      </c>
    </row>
    <row r="41">
      <c r="B41" s="6" t="s">
        <v>39</v>
      </c>
      <c r="C41" s="25">
        <f>'Segment - Asia Pacific'!C20</f>
        <v>0</v>
      </c>
      <c r="D41" s="25">
        <f>'Segment - Asia Pacific'!D20</f>
        <v>0</v>
      </c>
      <c r="E41" s="25">
        <f>'Segment - Asia Pacific'!E20</f>
        <v>0</v>
      </c>
      <c r="F41" s="25">
        <f>'Segment - Asia Pacific'!F20</f>
        <v>0</v>
      </c>
      <c r="G41" s="25">
        <f>'Segment - Asia Pacific'!G20</f>
        <v>0</v>
      </c>
      <c r="H41" s="28">
        <f>'Segment - Asia Pacific'!H20</f>
        <v>0.015</v>
      </c>
    </row>
    <row r="42">
      <c r="B42" s="6" t="s">
        <v>40</v>
      </c>
      <c r="C42" s="25">
        <f>'Segment - Asia Pacific'!C21</f>
        <v>0.04482783797480816</v>
      </c>
      <c r="D42" s="25">
        <f>'Segment - Asia Pacific'!D21</f>
        <v>-0.016827031746086463</v>
      </c>
      <c r="E42" s="25">
        <f>'Segment - Asia Pacific'!E21</f>
        <v>0.018049793710776862</v>
      </c>
      <c r="F42" s="25">
        <f>'Segment - Asia Pacific'!F21</f>
        <v>-0.009280988346489605</v>
      </c>
      <c r="G42" s="25">
        <f>'Segment - Asia Pacific'!G21</f>
        <v>0.00657759565852678</v>
      </c>
      <c r="H42" s="28">
        <f>'Segment - Asia Pacific'!H21</f>
        <v>0</v>
      </c>
    </row>
    <row r="43">
      <c r="B43" s="6" t="s">
        <v>43</v>
      </c>
      <c r="C43" s="25">
        <f>'Segment - Asia Pacific'!C22</f>
        <v>0.10751750825329665</v>
      </c>
      <c r="D43" s="25">
        <f>'Segment - Asia Pacific'!D22</f>
        <v>0.07165853539676581</v>
      </c>
      <c r="E43" s="25">
        <f>'Segment - Asia Pacific'!E22</f>
        <v>0.11985477308185466</v>
      </c>
      <c r="F43" s="25">
        <f>'Segment - Asia Pacific'!F22</f>
        <v>0.06997653258579128</v>
      </c>
      <c r="G43" s="25">
        <f>'Segment - Asia Pacific'!G22</f>
        <v>0.0468406994848678</v>
      </c>
      <c r="H43" s="28">
        <f>'Segment - Asia Pacific'!H22</f>
        <v>0.005357499999999904</v>
      </c>
    </row>
    <row r="44">
      <c r="B44" s="6" t="s">
        <v>44</v>
      </c>
      <c r="C44" s="24"/>
      <c r="D44" s="24">
        <f>D39/C39-1</f>
        <v>0.05056465047611547</v>
      </c>
      <c r="E44" s="24">
        <f>E39/D39-1</f>
        <v>-0.05448078411842605</v>
      </c>
      <c r="F44" s="24">
        <f>F39/E39-1</f>
        <v>0.049898129484348575</v>
      </c>
      <c r="G44" s="24"/>
      <c r="H44" s="26">
        <f>H39/F39-1</f>
        <v>-0.03599293415330462</v>
      </c>
    </row>
    <row r="45">
      <c r="B45" s="6" t="s">
        <v>45</v>
      </c>
      <c r="C45" s="24">
        <f>IFERROR(C39/C10,0)</f>
        <v>0.14750793634556436</v>
      </c>
      <c r="D45" s="24">
        <f>IFERROR(D39/D10,0)</f>
        <v>0.14549220005735744</v>
      </c>
      <c r="E45" s="24">
        <f>IFERROR(E39/E10,0)</f>
        <v>0.1428875842063535</v>
      </c>
      <c r="F45" s="24">
        <f>IFERROR(F39/F10,0)</f>
        <v>0.14461497892098704</v>
      </c>
      <c r="G45" s="24">
        <f>IFERROR(G39/G10,0)</f>
        <v>0.14313016939121176</v>
      </c>
      <c r="H45" s="28">
        <f>'Segment - Asia Pacific'!H24</f>
        <v>0.14537446595231251</v>
      </c>
    </row>
    <row r="46">
      <c r="B46" s="6"/>
      <c r="C46" s="1"/>
      <c r="D46" s="1"/>
      <c r="E46" s="1"/>
      <c r="F46" s="1"/>
      <c r="G46" s="1"/>
      <c r="H46" s="10"/>
    </row>
    <row r="47">
      <c r="B47" s="6"/>
      <c r="C47" s="1"/>
      <c r="D47" s="1"/>
      <c r="E47" s="1"/>
      <c r="F47" s="1"/>
      <c r="G47" s="1"/>
      <c r="H47" s="10"/>
    </row>
    <row r="48">
      <c r="B48" s="6"/>
      <c r="C48" s="1"/>
      <c r="D48" s="1"/>
      <c r="E48" s="1"/>
      <c r="F48" s="1"/>
      <c r="G48" s="1"/>
      <c r="H48" s="10"/>
    </row>
    <row r="49">
      <c r="B49" s="6"/>
      <c r="C49" s="1"/>
      <c r="D49" s="1"/>
      <c r="E49" s="1"/>
      <c r="F49" s="1"/>
      <c r="G49" s="1"/>
      <c r="H49" s="10"/>
    </row>
    <row r="50">
      <c r="B50" s="6"/>
      <c r="C50" s="1"/>
      <c r="D50" s="1"/>
      <c r="E50" s="1"/>
      <c r="F50" s="1"/>
      <c r="G50" s="1"/>
      <c r="H50" s="10"/>
    </row>
    <row r="51">
      <c r="B51" s="6"/>
      <c r="C51" s="1"/>
      <c r="D51" s="1"/>
      <c r="E51" s="1"/>
      <c r="F51" s="1"/>
      <c r="G51" s="1"/>
      <c r="H51" s="10"/>
    </row>
    <row r="52">
      <c r="B52" s="2" t="s">
        <v>48</v>
      </c>
      <c r="C52" s="16">
        <f>Inputs!C91</f>
        <v>8772.265</v>
      </c>
      <c r="D52" s="16">
        <f>Inputs!D91</f>
        <v>9414.567</v>
      </c>
      <c r="E52" s="16">
        <f>Inputs!E91</f>
        <v>8859.641</v>
      </c>
      <c r="F52" s="16">
        <f>Inputs!F91</f>
        <v>9328.494</v>
      </c>
      <c r="G52" s="16">
        <f>Inputs!G91</f>
        <v>35106.786</v>
      </c>
      <c r="H52" s="22">
        <f>H10*Inputs!H216</f>
        <v>8831.475129026241</v>
      </c>
    </row>
    <row r="53">
      <c r="B53" s="6" t="s">
        <v>42</v>
      </c>
      <c r="C53" s="24">
        <f>(1+C56)/((1+C54)*(1+C55))-1</f>
        <v>0.030000000000000027</v>
      </c>
      <c r="D53" s="24">
        <f>(1+D56)/((1+D54)*(1+D55))-1</f>
        <v>0.030000000000000027</v>
      </c>
      <c r="E53" s="24">
        <f>(1+E56)/((1+E54)*(1+E55))-1</f>
        <v>0.030000000000000027</v>
      </c>
      <c r="F53" s="24">
        <f>(1+F56)/((1+F54)*(1+F55))-1</f>
        <v>0.010000000000000009</v>
      </c>
      <c r="G53" s="24">
        <f>(1+G56)/((1+G54)*(1+G55))-1</f>
        <v>0.050000000000000044</v>
      </c>
      <c r="H53" s="26">
        <f>(1+H56)/((1+H54)*(1+H55))-1</f>
        <v>-0.003622685463534059</v>
      </c>
    </row>
    <row r="54">
      <c r="B54" s="6" t="s">
        <v>39</v>
      </c>
      <c r="C54" s="25">
        <f>Inputs!H257</f>
        <v>0</v>
      </c>
      <c r="D54" s="25">
        <f>Inputs!H257</f>
        <v>0</v>
      </c>
      <c r="E54" s="25">
        <f>Inputs!H257</f>
        <v>0</v>
      </c>
      <c r="F54" s="25">
        <f>Inputs!H257</f>
        <v>0</v>
      </c>
      <c r="G54" s="25">
        <f>Inputs!H257</f>
        <v>0</v>
      </c>
      <c r="H54" s="28">
        <f>Inputs!H192</f>
        <v>0.015</v>
      </c>
    </row>
    <row r="55">
      <c r="B55" s="6" t="s">
        <v>40</v>
      </c>
      <c r="C55" s="25">
        <f>(1+C56)/(1+Inputs!C247)-1</f>
        <v>0.03103569937301187</v>
      </c>
      <c r="D55" s="25">
        <f>(1+D56)/(1+Inputs!D247)-1</f>
        <v>0.010516961062740693</v>
      </c>
      <c r="E55" s="25">
        <f>(1+E56)/(1+Inputs!E247)-1</f>
        <v>0.03855628824541779</v>
      </c>
      <c r="F55" s="25">
        <f>(1+F56)/(1+Inputs!F247)-1</f>
        <v>0.02543564271023846</v>
      </c>
      <c r="G55" s="25">
        <f>(1+G56)/(1+Inputs!G247)-1</f>
        <v>0.007227881729615415</v>
      </c>
      <c r="H55" s="28">
        <f>Guidance!J12</f>
        <v>-0.004522074122569228</v>
      </c>
    </row>
    <row r="56">
      <c r="B56" s="6" t="s">
        <v>43</v>
      </c>
      <c r="C56" s="25">
        <f>C52/Inputs!C236-1</f>
        <v>0.06196677035420217</v>
      </c>
      <c r="D56" s="25">
        <f>D52/Inputs!D236-1</f>
        <v>0.04083246989462297</v>
      </c>
      <c r="E56" s="25">
        <f>E52/Inputs!E236-1</f>
        <v>0.06971297689278044</v>
      </c>
      <c r="F56" s="25">
        <f>F52/Inputs!F236-1</f>
        <v>0.035689999137340944</v>
      </c>
      <c r="G56" s="25">
        <f>G52/Inputs!G236-1</f>
        <v>0.0575892758160963</v>
      </c>
      <c r="H56" s="26">
        <f>H52/C52-1</f>
        <v>0.006749696803076688</v>
      </c>
    </row>
    <row r="57">
      <c r="B57" s="6" t="s">
        <v>44</v>
      </c>
      <c r="C57" s="24"/>
      <c r="D57" s="24">
        <f>D52/C52-1</f>
        <v>0.0732196302779271</v>
      </c>
      <c r="E57" s="24">
        <f>E52/D52-1</f>
        <v>-0.0589433374896583</v>
      </c>
      <c r="F57" s="24">
        <f>F52/E52-1</f>
        <v>0.05292009010297383</v>
      </c>
      <c r="G57" s="24"/>
      <c r="H57" s="26">
        <f>H52/F52-1</f>
        <v>-0.05327964738721591</v>
      </c>
    </row>
    <row r="58">
      <c r="B58" s="6" t="s">
        <v>45</v>
      </c>
      <c r="C58" s="24">
        <f>IFERROR(C52/C10,0)</f>
        <v>0.49853008537041393</v>
      </c>
      <c r="D58" s="24">
        <f>IFERROR(D52/D10,0)</f>
        <v>0.5023212149102623</v>
      </c>
      <c r="E58" s="24">
        <f>IFERROR(E52/E10,0)</f>
        <v>0.49100025459893576</v>
      </c>
      <c r="F58" s="24">
        <f>IFERROR(F52/F10,0)</f>
        <v>0.4983663978650875</v>
      </c>
      <c r="G58" s="24">
        <f>IFERROR(G52/G10,0)</f>
        <v>0.5038795170184848</v>
      </c>
      <c r="H58" s="26">
        <f>IFERROR(H52/H10,0)</f>
        <v>0.492</v>
      </c>
    </row>
    <row r="59">
      <c r="B59" s="6"/>
      <c r="C59" s="1"/>
      <c r="D59" s="1"/>
      <c r="E59" s="1"/>
      <c r="F59" s="1"/>
      <c r="G59" s="1"/>
      <c r="H59" s="10"/>
    </row>
    <row r="60">
      <c r="B60" s="2" t="s">
        <v>49</v>
      </c>
      <c r="C60" s="16">
        <f>Inputs!C92</f>
        <v>8823.995</v>
      </c>
      <c r="D60" s="16">
        <f>Inputs!D92</f>
        <v>9327.558</v>
      </c>
      <c r="E60" s="16">
        <f>Inputs!E92</f>
        <v>9184.425</v>
      </c>
      <c r="F60" s="16">
        <f>Inputs!F92</f>
        <v>9389.65</v>
      </c>
      <c r="G60" s="16">
        <f>Inputs!G92</f>
        <v>34566.191</v>
      </c>
      <c r="H60" s="12">
        <f>H10-H52</f>
        <v>9118.677572246606</v>
      </c>
    </row>
    <row r="61">
      <c r="B61" s="6" t="s">
        <v>42</v>
      </c>
      <c r="C61" s="24">
        <f>(1+C64)/((1+C62)*(1+C63))-1</f>
        <v>0.06000000000000005</v>
      </c>
      <c r="D61" s="24">
        <f>(1+D64)/((1+D62)*(1+D63))-1</f>
        <v>0.07000000000000006</v>
      </c>
      <c r="E61" s="24">
        <f>(1+E64)/((1+E62)*(1+E63))-1</f>
        <v>0.050000000000000044</v>
      </c>
      <c r="F61" s="24">
        <f>(1+F64)/((1+F62)*(1+F63))-1</f>
        <v>0.050000000000000044</v>
      </c>
      <c r="G61" s="24">
        <f>(1+G64)/((1+G62)*(1+G63))-1</f>
        <v>0.09000000000000008</v>
      </c>
      <c r="H61" s="26">
        <f>(1+H64)/((1+H62)*(1+H63))-1</f>
        <v>0.022748685278531466</v>
      </c>
    </row>
    <row r="62">
      <c r="B62" s="6" t="s">
        <v>39</v>
      </c>
      <c r="C62" s="25">
        <f>Inputs!H257</f>
        <v>0</v>
      </c>
      <c r="D62" s="25">
        <f>Inputs!H257</f>
        <v>0</v>
      </c>
      <c r="E62" s="25">
        <f>Inputs!H257</f>
        <v>0</v>
      </c>
      <c r="F62" s="25">
        <f>Inputs!H257</f>
        <v>0</v>
      </c>
      <c r="G62" s="25">
        <f>Inputs!H257</f>
        <v>0</v>
      </c>
      <c r="H62" s="28">
        <f>Inputs!H192</f>
        <v>0.015</v>
      </c>
    </row>
    <row r="63">
      <c r="B63" s="6" t="s">
        <v>40</v>
      </c>
      <c r="C63" s="25">
        <f>(1+C64)/(1+Inputs!C248)-1</f>
        <v>0.021987754708123308</v>
      </c>
      <c r="D63" s="25">
        <f>(1+D64)/(1+Inputs!D248)-1</f>
        <v>0.008447969369199004</v>
      </c>
      <c r="E63" s="25">
        <f>(1+E64)/(1+Inputs!E248)-1</f>
        <v>0.04417197296413233</v>
      </c>
      <c r="F63" s="25">
        <f>(1+F64)/(1+Inputs!F248)-1</f>
        <v>0.02542024166987278</v>
      </c>
      <c r="G63" s="25">
        <f>(1+G64)/(1+Inputs!G248)-1</f>
        <v>0.00033884460674182826</v>
      </c>
      <c r="H63" s="28">
        <f>Guidance!J12</f>
        <v>-0.004522074122569228</v>
      </c>
    </row>
    <row r="64">
      <c r="B64" s="6" t="s">
        <v>43</v>
      </c>
      <c r="C64" s="25">
        <f>C60/Inputs!C237-1</f>
        <v>0.08330701999061074</v>
      </c>
      <c r="D64" s="25">
        <f>D60/Inputs!D237-1</f>
        <v>0.07903932722504292</v>
      </c>
      <c r="E64" s="25">
        <f>E60/Inputs!E237-1</f>
        <v>0.09638057161233893</v>
      </c>
      <c r="F64" s="25">
        <f>F60/Inputs!F237-1</f>
        <v>0.07669125375336638</v>
      </c>
      <c r="G64" s="25">
        <f>G60/Inputs!G237-1</f>
        <v>0.0903693406213486</v>
      </c>
      <c r="H64" s="26">
        <f>H60/C60-1</f>
        <v>0.033395596013665596</v>
      </c>
    </row>
    <row r="65">
      <c r="B65" s="6" t="s">
        <v>44</v>
      </c>
      <c r="C65" s="24"/>
      <c r="D65" s="24">
        <f>D60/C60-1</f>
        <v>0.057067462073584485</v>
      </c>
      <c r="E65" s="24">
        <f>E60/D60-1</f>
        <v>-0.015345173945849666</v>
      </c>
      <c r="F65" s="24">
        <f>F60/E60-1</f>
        <v>0.022344893665090737</v>
      </c>
      <c r="G65" s="24"/>
      <c r="H65" s="26">
        <f>H60/F60-1</f>
        <v>-0.02885862920911786</v>
      </c>
    </row>
    <row r="66">
      <c r="B66" s="6" t="s">
        <v>45</v>
      </c>
      <c r="C66" s="24">
        <f>IFERROR(C60/C10,0)</f>
        <v>0.5014699146295861</v>
      </c>
      <c r="D66" s="24">
        <f>IFERROR(D60/D10,0)</f>
        <v>0.49767878508973773</v>
      </c>
      <c r="E66" s="24">
        <f>IFERROR(E60/E10,0)</f>
        <v>0.5089997454010643</v>
      </c>
      <c r="F66" s="24">
        <f>IFERROR(F60/F10,0)</f>
        <v>0.5016336021349125</v>
      </c>
      <c r="G66" s="24">
        <f>IFERROR(G60/G10,0)</f>
        <v>0.4961204829815152</v>
      </c>
      <c r="H66" s="26">
        <f>IFERROR(H60/H10,0)</f>
        <v>0.508</v>
      </c>
    </row>
    <row r="67">
      <c r="B67" s="6"/>
      <c r="C67" s="1"/>
      <c r="D67" s="1"/>
      <c r="E67" s="1"/>
      <c r="F67" s="1"/>
      <c r="G67" s="1"/>
      <c r="H67" s="10"/>
    </row>
    <row r="68">
      <c r="B68" s="6"/>
      <c r="C68" s="1"/>
      <c r="D68" s="1"/>
      <c r="E68" s="1"/>
      <c r="F68" s="1"/>
      <c r="G68" s="1"/>
      <c r="H68" s="10"/>
    </row>
    <row r="69">
      <c r="B69" s="6"/>
      <c r="C69" s="1"/>
      <c r="D69" s="1"/>
      <c r="E69" s="1"/>
      <c r="F69" s="1"/>
      <c r="G69" s="1"/>
      <c r="H69" s="10"/>
    </row>
    <row r="70" ht="25.5">
      <c r="B70" s="21" t="s">
        <v>50</v>
      </c>
      <c r="C70" s="16">
        <f>Inputs!C86</f>
        <v>2953.957</v>
      </c>
      <c r="D70" s="16">
        <f>Inputs!D86</f>
        <v>3102.457</v>
      </c>
      <c r="E70" s="16">
        <f>Inputs!E86</f>
        <v>3090.839</v>
      </c>
      <c r="F70" s="16">
        <f>Inputs!F86</f>
        <v>3217.835</v>
      </c>
      <c r="G70" s="16">
        <f>Inputs!G86</f>
        <v>11453.982</v>
      </c>
      <c r="H70" s="12">
        <f>H10*C70/C10</f>
        <v>3013.366432582483</v>
      </c>
    </row>
    <row r="71">
      <c r="B71" s="6" t="s">
        <v>42</v>
      </c>
      <c r="C71" s="24">
        <f>(1+C74)/((1+C72)*(1+C73))-1</f>
        <v>0.050000000000000044</v>
      </c>
      <c r="D71" s="24">
        <f>(1+D74)/((1+D72)*(1+D73))-1</f>
        <v>0.08000000000000007</v>
      </c>
      <c r="E71" s="24">
        <f>(1+E74)/((1+E72)*(1+E73))-1</f>
        <v>0.10000000000000009</v>
      </c>
      <c r="F71" s="24">
        <f>(1+F74)/((1+F72)*(1+F73))-1</f>
        <v>0.09000000000000008</v>
      </c>
      <c r="G71" s="24">
        <f>(1+G74)/((1+G72)*(1+G73))-1</f>
        <v>0.06000000000000005</v>
      </c>
      <c r="H71" s="26">
        <f>(1+H74)/((1+H72)*(1+H73))-1</f>
        <v>0.009601763571154942</v>
      </c>
    </row>
    <row r="72">
      <c r="B72" s="6" t="s">
        <v>39</v>
      </c>
      <c r="C72" s="25">
        <f>Inputs!H257</f>
        <v>0</v>
      </c>
      <c r="D72" s="25">
        <f>Inputs!H257</f>
        <v>0</v>
      </c>
      <c r="E72" s="25">
        <f>Inputs!H257</f>
        <v>0</v>
      </c>
      <c r="F72" s="25">
        <f>Inputs!H257</f>
        <v>0</v>
      </c>
      <c r="G72" s="25">
        <f>Inputs!H257</f>
        <v>0</v>
      </c>
      <c r="H72" s="28">
        <f>Inputs!H192</f>
        <v>0.015</v>
      </c>
    </row>
    <row r="73">
      <c r="B73" s="6" t="s">
        <v>40</v>
      </c>
      <c r="C73" s="25">
        <f>(1+C74)/(1+Inputs!C249)-1</f>
        <v>0.022824607973996436</v>
      </c>
      <c r="D73" s="25">
        <f>(1+D74)/(1+Inputs!D249)-1</f>
        <v>0.005164788075926685</v>
      </c>
      <c r="E73" s="25">
        <f>(1+E74)/(1+Inputs!E249)-1</f>
        <v>0.02938050279747273</v>
      </c>
      <c r="F73" s="25">
        <f>(1+F74)/(1+Inputs!F249)-1</f>
        <v>0.013616276765326507</v>
      </c>
      <c r="G73" s="25">
        <f>(1+G74)/(1+Inputs!G249)-1</f>
        <v>-0.0029094857915529238</v>
      </c>
      <c r="H73" s="28">
        <f>Guidance!J12</f>
        <v>-0.004522074122569228</v>
      </c>
    </row>
    <row r="74">
      <c r="B74" s="6" t="s">
        <v>43</v>
      </c>
      <c r="C74" s="25">
        <f>C70/Inputs!C238-1</f>
        <v>0.07396583837269621</v>
      </c>
      <c r="D74" s="25">
        <f>D70/Inputs!D238-1</f>
        <v>0.08557797112200083</v>
      </c>
      <c r="E74" s="25">
        <f>E70/Inputs!E238-1</f>
        <v>0.13231855307722018</v>
      </c>
      <c r="F74" s="25">
        <f>F70/Inputs!F238-1</f>
        <v>0.10484174167420601</v>
      </c>
      <c r="G74" s="25">
        <f>G70/Inputs!G238-1</f>
        <v>0.05691594506095399</v>
      </c>
      <c r="H74" s="26">
        <f>H70/C70-1</f>
        <v>0.020111813605439455</v>
      </c>
    </row>
    <row r="75">
      <c r="B75" s="6" t="s">
        <v>44</v>
      </c>
      <c r="C75" s="24"/>
      <c r="D75" s="24">
        <f>D70/C70-1</f>
        <v>0.050271551007682325</v>
      </c>
      <c r="E75" s="24">
        <f>E70/D70-1</f>
        <v>-0.0037447739001700286</v>
      </c>
      <c r="F75" s="24">
        <f>F70/E70-1</f>
        <v>0.04108787290441196</v>
      </c>
      <c r="G75" s="24"/>
      <c r="H75" s="26">
        <f>H70/F70-1</f>
        <v>-0.06354227840070015</v>
      </c>
    </row>
    <row r="76">
      <c r="B76" s="6" t="s">
        <v>45</v>
      </c>
      <c r="C76" s="24">
        <f>IFERROR(C70/C10,0)</f>
        <v>0.1678741391636632</v>
      </c>
      <c r="D76" s="24">
        <f>IFERROR(D70/D10,0)</f>
        <v>0.16553389757031287</v>
      </c>
      <c r="E76" s="24">
        <f>IFERROR(E70/E10,0)</f>
        <v>0.1712939312015374</v>
      </c>
      <c r="F76" s="24">
        <f>IFERROR(F70/F10,0)</f>
        <v>0.17190993936150933</v>
      </c>
      <c r="G76" s="24">
        <f>IFERROR(G70/G10,0)</f>
        <v>0.1643963340334948</v>
      </c>
      <c r="H76" s="26">
        <f>IFERROR(H70/H10,0)</f>
        <v>0.1678741391636632</v>
      </c>
    </row>
    <row r="77">
      <c r="B77" s="2" t="s">
        <v>51</v>
      </c>
      <c r="C77" s="16">
        <f>Inputs!C87</f>
        <v>3315.7</v>
      </c>
      <c r="D77" s="16">
        <f>Inputs!D87</f>
        <v>3602.372</v>
      </c>
      <c r="E77" s="16">
        <f>Inputs!E87</f>
        <v>3395.016</v>
      </c>
      <c r="F77" s="16">
        <f>Inputs!F87</f>
        <v>3488.749</v>
      </c>
      <c r="G77" s="16">
        <f>Inputs!G87</f>
        <v>12773.856</v>
      </c>
      <c r="H77" s="12">
        <f>H10*C77/C10</f>
        <v>3382.3847403715554</v>
      </c>
    </row>
    <row r="78">
      <c r="B78" s="6" t="s">
        <v>42</v>
      </c>
      <c r="C78" s="24">
        <f>(1+C81)/((1+C79)*(1+C80))-1</f>
        <v>0.1200000000000001</v>
      </c>
      <c r="D78" s="24">
        <f>(1+D81)/((1+D79)*(1+D80))-1</f>
        <v>0.1200000000000001</v>
      </c>
      <c r="E78" s="24">
        <f>(1+E81)/((1+E79)*(1+E80))-1</f>
        <v>0.07000000000000006</v>
      </c>
      <c r="F78" s="24">
        <f>(1+F81)/((1+F79)*(1+F80))-1</f>
        <v>0.030000000000000027</v>
      </c>
      <c r="G78" s="24">
        <f>(1+G81)/((1+G79)*(1+G80))-1</f>
        <v>0.10000000000000009</v>
      </c>
      <c r="H78" s="26">
        <f>(1+H81)/((1+H79)*(1+H80))-1</f>
        <v>0.009601763571154942</v>
      </c>
    </row>
    <row r="79">
      <c r="B79" s="6" t="s">
        <v>39</v>
      </c>
      <c r="C79" s="25">
        <f>Inputs!H257</f>
        <v>0</v>
      </c>
      <c r="D79" s="25">
        <f>Inputs!H257</f>
        <v>0</v>
      </c>
      <c r="E79" s="25">
        <f>Inputs!H257</f>
        <v>0</v>
      </c>
      <c r="F79" s="25">
        <f>Inputs!H257</f>
        <v>0</v>
      </c>
      <c r="G79" s="25">
        <f>Inputs!H257</f>
        <v>0</v>
      </c>
      <c r="H79" s="28">
        <f>Inputs!H192</f>
        <v>0.015</v>
      </c>
    </row>
    <row r="80">
      <c r="B80" s="6" t="s">
        <v>40</v>
      </c>
      <c r="C80" s="25">
        <f>(1+C81)/(1+Inputs!C250)-1</f>
        <v>0.03045023486943399</v>
      </c>
      <c r="D80" s="25">
        <f>(1+D81)/(1+Inputs!D250)-1</f>
        <v>0.015011375293624063</v>
      </c>
      <c r="E80" s="25">
        <f>(1+E81)/(1+Inputs!E250)-1</f>
        <v>0.05397307013706043</v>
      </c>
      <c r="F80" s="25">
        <f>(1+F81)/(1+Inputs!F250)-1</f>
        <v>0.03301236651548045</v>
      </c>
      <c r="G80" s="25">
        <f>(1+G81)/(1+Inputs!G250)-1</f>
        <v>0.00020424786223882663</v>
      </c>
      <c r="H80" s="28">
        <f>Guidance!J12</f>
        <v>-0.004522074122569228</v>
      </c>
    </row>
    <row r="81">
      <c r="B81" s="6" t="s">
        <v>43</v>
      </c>
      <c r="C81" s="25">
        <f>C77/Inputs!C239-1</f>
        <v>0.15410426305376612</v>
      </c>
      <c r="D81" s="25">
        <f>D77/Inputs!D239-1</f>
        <v>0.13681274032885904</v>
      </c>
      <c r="E81" s="25">
        <f>E77/Inputs!E239-1</f>
        <v>0.12775118504665461</v>
      </c>
      <c r="F81" s="25">
        <f>F77/Inputs!F239-1</f>
        <v>0.06400273751094487</v>
      </c>
      <c r="G81" s="25">
        <f>G77/Inputs!G239-1</f>
        <v>0.1002246726484628</v>
      </c>
      <c r="H81" s="26">
        <f>H77/C77-1</f>
        <v>0.020111813605439455</v>
      </c>
    </row>
    <row r="82">
      <c r="B82" s="6" t="s">
        <v>44</v>
      </c>
      <c r="C82" s="24"/>
      <c r="D82" s="24">
        <f>D77/C77-1</f>
        <v>0.08645896794040486</v>
      </c>
      <c r="E82" s="24">
        <f>E77/D77-1</f>
        <v>-0.05756096261019117</v>
      </c>
      <c r="F82" s="24">
        <f>F77/E77-1</f>
        <v>0.027609000959052832</v>
      </c>
      <c r="G82" s="24"/>
      <c r="H82" s="26">
        <f>H77/F77-1</f>
        <v>-0.030487793655675555</v>
      </c>
    </row>
    <row r="83">
      <c r="B83" s="6" t="s">
        <v>45</v>
      </c>
      <c r="C83" s="24">
        <f>IFERROR(C77/C10,0)</f>
        <v>0.188432087273091</v>
      </c>
      <c r="D83" s="24">
        <f>IFERROR(D77/D10,0)</f>
        <v>0.19220723370482268</v>
      </c>
      <c r="E83" s="24">
        <f>IFERROR(E77/E10,0)</f>
        <v>0.18815138450502233</v>
      </c>
      <c r="F83" s="24">
        <f>IFERROR(F77/F10,0)</f>
        <v>0.1863832760342051</v>
      </c>
      <c r="G83" s="24">
        <f>IFERROR(G77/G10,0)</f>
        <v>0.1833401779286681</v>
      </c>
      <c r="H83" s="26">
        <f>IFERROR(H77/H10,0)</f>
        <v>0.188432087273091</v>
      </c>
    </row>
    <row r="84">
      <c r="B84" s="2" t="s">
        <v>52</v>
      </c>
      <c r="C84" s="16">
        <f>Inputs!C88</f>
        <v>3563.632</v>
      </c>
      <c r="D84" s="16">
        <f>Inputs!D88</f>
        <v>3796.837</v>
      </c>
      <c r="E84" s="16">
        <f>Inputs!E88</f>
        <v>3670.199</v>
      </c>
      <c r="F84" s="16">
        <f>Inputs!F88</f>
        <v>3845.053</v>
      </c>
      <c r="G84" s="16">
        <f>Inputs!G88</f>
        <v>14762.837</v>
      </c>
      <c r="H84" s="12">
        <f>H10*C84/C10</f>
        <v>3635.3031025423793</v>
      </c>
    </row>
    <row r="85">
      <c r="B85" s="6" t="s">
        <v>42</v>
      </c>
      <c r="C85" s="24">
        <f>(1+C88)/((1+C86)*(1+C87))-1</f>
        <v>-0.030000000000000027</v>
      </c>
      <c r="D85" s="24">
        <f>(1+D88)/((1+D86)*(1+D87))-1</f>
        <v>-0.009999999999999898</v>
      </c>
      <c r="E85" s="24">
        <f>(1+E88)/((1+E86)*(1+E87))-1</f>
        <v>-0.010000000000000009</v>
      </c>
      <c r="F85" s="24">
        <f>(1+F88)/((1+F86)*(1+F87))-1</f>
        <v>0</v>
      </c>
      <c r="G85" s="24">
        <f>(1+G88)/((1+G86)*(1+G87))-1</f>
        <v>0.06000000000000005</v>
      </c>
      <c r="H85" s="26">
        <f>(1+H88)/((1+H86)*(1+H87))-1</f>
        <v>0.009601763571154942</v>
      </c>
    </row>
    <row r="86">
      <c r="B86" s="6" t="s">
        <v>39</v>
      </c>
      <c r="C86" s="25">
        <f>Inputs!H257</f>
        <v>0</v>
      </c>
      <c r="D86" s="25">
        <f>Inputs!H257</f>
        <v>0</v>
      </c>
      <c r="E86" s="25">
        <f>Inputs!H257</f>
        <v>0</v>
      </c>
      <c r="F86" s="25">
        <f>Inputs!H257</f>
        <v>0</v>
      </c>
      <c r="G86" s="25">
        <f>Inputs!H257</f>
        <v>0</v>
      </c>
      <c r="H86" s="28">
        <f>Inputs!H192</f>
        <v>0.015</v>
      </c>
    </row>
    <row r="87">
      <c r="B87" s="6" t="s">
        <v>40</v>
      </c>
      <c r="C87" s="25">
        <f>(1+C88)/(1+Inputs!C251)-1</f>
        <v>0.016597859267131643</v>
      </c>
      <c r="D87" s="25">
        <f>(1+D88)/(1+Inputs!D251)-1</f>
        <v>0.005922424483834732</v>
      </c>
      <c r="E87" s="25">
        <f>(1+E88)/(1+Inputs!E251)-1</f>
        <v>0.02725467320115249</v>
      </c>
      <c r="F87" s="25">
        <f>(1+F88)/(1+Inputs!F251)-1</f>
        <v>0.017833413276494126</v>
      </c>
      <c r="G87" s="25">
        <f>(1+G88)/(1+Inputs!G251)-1</f>
        <v>0.0062548230797181414</v>
      </c>
      <c r="H87" s="28">
        <f>Guidance!J12</f>
        <v>-0.004522074122569228</v>
      </c>
    </row>
    <row r="88">
      <c r="B88" s="6" t="s">
        <v>43</v>
      </c>
      <c r="C88" s="25">
        <f>C84/Inputs!C240-1</f>
        <v>-0.01390007651088232</v>
      </c>
      <c r="D88" s="25">
        <f>D84/Inputs!D240-1</f>
        <v>-0.004136799761003562</v>
      </c>
      <c r="E88" s="25">
        <f>E84/Inputs!E240-1</f>
        <v>0.01698212646914099</v>
      </c>
      <c r="F88" s="25">
        <f>F84/Inputs!F240-1</f>
        <v>0.017833413276494126</v>
      </c>
      <c r="G88" s="25">
        <f>G84/Inputs!G240-1</f>
        <v>0.06663011246450123</v>
      </c>
      <c r="H88" s="26">
        <f>H84/C84-1</f>
        <v>0.020111813605439455</v>
      </c>
    </row>
    <row r="89">
      <c r="B89" s="6" t="s">
        <v>44</v>
      </c>
      <c r="C89" s="24"/>
      <c r="D89" s="24">
        <f>D84/C84-1</f>
        <v>0.06544025870235748</v>
      </c>
      <c r="E89" s="24">
        <f>E84/D84-1</f>
        <v>-0.03335355191702982</v>
      </c>
      <c r="F89" s="24">
        <f>F84/E84-1</f>
        <v>0.04764155840051165</v>
      </c>
      <c r="G89" s="24"/>
      <c r="H89" s="26">
        <f>H84/F84-1</f>
        <v>-0.05455058680793756</v>
      </c>
    </row>
    <row r="90">
      <c r="B90" s="6" t="s">
        <v>45</v>
      </c>
      <c r="C90" s="24">
        <f>IFERROR(C84/C10,0)</f>
        <v>0.2025221268610489</v>
      </c>
      <c r="D90" s="24">
        <f>IFERROR(D84/D10,0)</f>
        <v>0.2025830582177848</v>
      </c>
      <c r="E90" s="24">
        <f>IFERROR(E84/E10,0)</f>
        <v>0.2034019937634899</v>
      </c>
      <c r="F90" s="24">
        <f>IFERROR(F84/F10,0)</f>
        <v>0.20541849662017772</v>
      </c>
      <c r="G90" s="24">
        <f>IFERROR(G84/G10,0)</f>
        <v>0.2118875586441498</v>
      </c>
      <c r="H90" s="26">
        <f>IFERROR(H84/H10,0)</f>
        <v>0.2025221268610489</v>
      </c>
    </row>
    <row r="91">
      <c r="B91" s="2" t="s">
        <v>53</v>
      </c>
      <c r="C91" s="16">
        <f>Inputs!C89</f>
        <v>5376.132</v>
      </c>
      <c r="D91" s="16">
        <f>Inputs!D89</f>
        <v>5741.241</v>
      </c>
      <c r="E91" s="16">
        <f>Inputs!E89</f>
        <v>5476.867</v>
      </c>
      <c r="F91" s="16">
        <f>Inputs!F89</f>
        <v>5668.694</v>
      </c>
      <c r="G91" s="16">
        <f>Inputs!G89</f>
        <v>21197.397</v>
      </c>
      <c r="H91" s="12">
        <f>H10*C91/C10</f>
        <v>5484.255764702238</v>
      </c>
    </row>
    <row r="92">
      <c r="B92" s="6" t="s">
        <v>42</v>
      </c>
      <c r="C92" s="24">
        <f>(1+C95)/((1+C93)*(1+C94))-1</f>
        <v>0.050000000000000044</v>
      </c>
      <c r="D92" s="24">
        <f>(1+D95)/((1+D93)*(1+D94))-1</f>
        <v>0.040000000000000036</v>
      </c>
      <c r="E92" s="24">
        <f>(1+E95)/((1+E93)*(1+E94))-1</f>
        <v>0.030000000000000027</v>
      </c>
      <c r="F92" s="24">
        <f>(1+F95)/((1+F93)*(1+F94))-1</f>
        <v>0.030000000000000027</v>
      </c>
      <c r="G92" s="24">
        <f>(1+G95)/((1+G93)*(1+G94))-1</f>
        <v>0.0800000000000003</v>
      </c>
      <c r="H92" s="26">
        <f>(1+H95)/((1+H93)*(1+H94))-1</f>
        <v>0.009601763571154942</v>
      </c>
    </row>
    <row r="93">
      <c r="B93" s="6" t="s">
        <v>39</v>
      </c>
      <c r="C93" s="25">
        <f>Inputs!H257</f>
        <v>0</v>
      </c>
      <c r="D93" s="25">
        <f>Inputs!H257</f>
        <v>0</v>
      </c>
      <c r="E93" s="25">
        <f>Inputs!H257</f>
        <v>0</v>
      </c>
      <c r="F93" s="25">
        <f>Inputs!H257</f>
        <v>0</v>
      </c>
      <c r="G93" s="25">
        <f>Inputs!H257</f>
        <v>0</v>
      </c>
      <c r="H93" s="28">
        <f>Inputs!H192</f>
        <v>0.015</v>
      </c>
    </row>
    <row r="94">
      <c r="B94" s="6" t="s">
        <v>40</v>
      </c>
      <c r="C94" s="25">
        <f>(1+C95)/(1+Inputs!C252)-1</f>
        <v>0.03459727860832995</v>
      </c>
      <c r="D94" s="25">
        <f>(1+D95)/(1+Inputs!D252)-1</f>
        <v>0.017530226982412023</v>
      </c>
      <c r="E94" s="25">
        <f>(1+E95)/(1+Inputs!E252)-1</f>
        <v>0.05255662382386839</v>
      </c>
      <c r="F94" s="25">
        <f>(1+F95)/(1+Inputs!F252)-1</f>
        <v>0.02984172062489554</v>
      </c>
      <c r="G94" s="25">
        <f>(1+G95)/(1+Inputs!G252)-1</f>
        <v>0.003736568937957818</v>
      </c>
      <c r="H94" s="28">
        <f>Guidance!J12</f>
        <v>-0.004522074122569228</v>
      </c>
    </row>
    <row r="95">
      <c r="B95" s="6" t="s">
        <v>43</v>
      </c>
      <c r="C95" s="25">
        <f>C91/Inputs!C241-1</f>
        <v>0.0863271425387464</v>
      </c>
      <c r="D95" s="25">
        <f>D91/Inputs!D241-1</f>
        <v>0.05823143606170844</v>
      </c>
      <c r="E95" s="25">
        <f>E91/Inputs!E241-1</f>
        <v>0.08413332253858452</v>
      </c>
      <c r="F95" s="25">
        <f>F91/Inputs!F241-1</f>
        <v>0.060736972243642384</v>
      </c>
      <c r="G95" s="25">
        <f>G91/Inputs!G241-1</f>
        <v>0.08403549445299463</v>
      </c>
      <c r="H95" s="26">
        <f>H91/C91-1</f>
        <v>0.020111813605439455</v>
      </c>
    </row>
    <row r="96">
      <c r="B96" s="6" t="s">
        <v>44</v>
      </c>
      <c r="C96" s="24"/>
      <c r="D96" s="24">
        <f>D91/C91-1</f>
        <v>0.0679129530301712</v>
      </c>
      <c r="E96" s="24">
        <f>E91/D91-1</f>
        <v>-0.04604823242919076</v>
      </c>
      <c r="F96" s="24">
        <f>F91/E91-1</f>
        <v>0.03502495130884142</v>
      </c>
      <c r="G96" s="24"/>
      <c r="H96" s="26">
        <f>H91/F91-1</f>
        <v>-0.03253628354216376</v>
      </c>
    </row>
    <row r="97">
      <c r="B97" s="6" t="s">
        <v>45</v>
      </c>
      <c r="C97" s="24">
        <f>IFERROR(C91/C10,0)</f>
        <v>0.3055269699356568</v>
      </c>
      <c r="D97" s="24">
        <f>IFERROR(D91/D10,0)</f>
        <v>0.3063281778346906</v>
      </c>
      <c r="E97" s="24">
        <f>IFERROR(E91/E10,0)</f>
        <v>0.30352732028357693</v>
      </c>
      <c r="F97" s="24">
        <f>IFERROR(F91/F10,0)</f>
        <v>0.30284487607318333</v>
      </c>
      <c r="G97" s="24">
        <f>IFERROR(G91/G10,0)</f>
        <v>0.3042412986027567</v>
      </c>
      <c r="H97" s="26">
        <f>IFERROR(H91/H10,0)</f>
        <v>0.3055269699356568</v>
      </c>
    </row>
    <row r="98">
      <c r="B98" s="2" t="s">
        <v>54</v>
      </c>
      <c r="C98" s="16">
        <f>Inputs!C90</f>
        <v>2386.839</v>
      </c>
      <c r="D98" s="16">
        <f>Inputs!D90</f>
        <v>2499.218</v>
      </c>
      <c r="E98" s="16">
        <f>Inputs!E90</f>
        <v>2411.145</v>
      </c>
      <c r="F98" s="16">
        <f>Inputs!F90</f>
        <v>2497.813</v>
      </c>
      <c r="G98" s="16">
        <f>Inputs!G90</f>
        <v>9484.905</v>
      </c>
      <c r="H98" s="12">
        <f>H10-SUM(H70,H77,H84,H91)</f>
        <v>2434.8426610741917</v>
      </c>
    </row>
    <row r="99">
      <c r="B99" s="6" t="s">
        <v>42</v>
      </c>
      <c r="C99" s="24">
        <f>(1+C102)/((1+C100)*(1+C101))-1</f>
        <v>0.050000000000000044</v>
      </c>
      <c r="D99" s="24">
        <f>(1+D102)/((1+D100)*(1+D101))-1</f>
        <v>0.020000000000000018</v>
      </c>
      <c r="E99" s="24">
        <f>(1+E102)/((1+E100)*(1+E101))-1</f>
        <v>0.020000000000000018</v>
      </c>
      <c r="F99" s="24">
        <f>(1+F102)/((1+F100)*(1+F101))-1</f>
        <v>0.010000000000000009</v>
      </c>
      <c r="G99" s="24">
        <f>(1+G102)/((1+G100)*(1+G101))-1</f>
        <v>0.050000000000000044</v>
      </c>
      <c r="H99" s="26">
        <f>(1+H102)/((1+H100)*(1+H101))-1</f>
        <v>0.009601763571154276</v>
      </c>
    </row>
    <row r="100">
      <c r="B100" s="6" t="s">
        <v>39</v>
      </c>
      <c r="C100" s="25">
        <f>Inputs!H257</f>
        <v>0</v>
      </c>
      <c r="D100" s="25">
        <f>Inputs!H257</f>
        <v>0</v>
      </c>
      <c r="E100" s="25">
        <f>Inputs!H257</f>
        <v>0</v>
      </c>
      <c r="F100" s="25">
        <f>Inputs!H257</f>
        <v>0</v>
      </c>
      <c r="G100" s="25">
        <f>Inputs!H257</f>
        <v>0</v>
      </c>
      <c r="H100" s="28">
        <f>Inputs!H192</f>
        <v>0.015</v>
      </c>
    </row>
    <row r="101">
      <c r="B101" s="6" t="s">
        <v>40</v>
      </c>
      <c r="C101" s="25">
        <f>(1+C102)/(1+Inputs!C253)-1</f>
        <v>0.024153326995769442</v>
      </c>
      <c r="D101" s="25">
        <f>(1+D102)/(1+Inputs!D253)-1</f>
        <v>0.010439496857475694</v>
      </c>
      <c r="E101" s="25">
        <f>(1+E102)/(1+Inputs!E253)-1</f>
        <v>0.046670037861478164</v>
      </c>
      <c r="F101" s="25">
        <f>(1+F102)/(1+Inputs!F253)-1</f>
        <v>0.024176970167673506</v>
      </c>
      <c r="G101" s="25">
        <f>(1+G102)/(1+Inputs!G253)-1</f>
        <v>-0.0023231167830565225</v>
      </c>
      <c r="H101" s="28">
        <f>Guidance!J12</f>
        <v>-0.004522074122569228</v>
      </c>
    </row>
    <row r="102">
      <c r="B102" s="6" t="s">
        <v>43</v>
      </c>
      <c r="C102" s="25">
        <f>C98/Inputs!C242-1</f>
        <v>0.0753609933455579</v>
      </c>
      <c r="D102" s="25">
        <f>D98/Inputs!D242-1</f>
        <v>0.030648286794625168</v>
      </c>
      <c r="E102" s="25">
        <f>E98/Inputs!E242-1</f>
        <v>0.06760343861870766</v>
      </c>
      <c r="F102" s="25">
        <f>F98/Inputs!F242-1</f>
        <v>0.03441873986935029</v>
      </c>
      <c r="G102" s="25">
        <f>G98/Inputs!G242-1</f>
        <v>0.04756072737779071</v>
      </c>
      <c r="H102" s="26">
        <f>H98/C98-1</f>
        <v>0.02011181360543879</v>
      </c>
    </row>
    <row r="103">
      <c r="B103" s="6" t="s">
        <v>44</v>
      </c>
      <c r="C103" s="24"/>
      <c r="D103" s="24">
        <f>D98/C98-1</f>
        <v>0.047082773492472585</v>
      </c>
      <c r="E103" s="24">
        <f>E98/D98-1</f>
        <v>-0.035240223141798754</v>
      </c>
      <c r="F103" s="24">
        <f>F98/E98-1</f>
        <v>0.03594474824201788</v>
      </c>
      <c r="G103" s="24"/>
      <c r="H103" s="26">
        <f>H98/F98-1</f>
        <v>-0.025210189444048958</v>
      </c>
    </row>
    <row r="104">
      <c r="B104" s="6" t="s">
        <v>45</v>
      </c>
      <c r="C104" s="24">
        <f>IFERROR(C98/C10,0)</f>
        <v>0.13564467676654018</v>
      </c>
      <c r="D104" s="24">
        <f>IFERROR(D98/D10,0)</f>
        <v>0.13334763267238905</v>
      </c>
      <c r="E104" s="24">
        <f>IFERROR(E98/E10,0)</f>
        <v>0.13362537024637353</v>
      </c>
      <c r="F104" s="24">
        <f>IFERROR(F98/F10,0)</f>
        <v>0.13344341191092451</v>
      </c>
      <c r="G104" s="24">
        <f>IFERROR(G98/G10,0)</f>
        <v>0.1361346307909306</v>
      </c>
      <c r="H104" s="26">
        <f>IFERROR(H98/H10,0)</f>
        <v>0.13564467676654007</v>
      </c>
    </row>
    <row r="105">
      <c r="B105" s="6"/>
      <c r="C105" s="1"/>
      <c r="D105" s="1"/>
      <c r="E105" s="1"/>
      <c r="F105" s="1"/>
      <c r="G105" s="1"/>
      <c r="H105" s="10"/>
    </row>
    <row r="106">
      <c r="B106" s="6"/>
      <c r="C106" s="1"/>
      <c r="D106" s="1"/>
      <c r="E106" s="1"/>
      <c r="F106" s="1"/>
      <c r="G106" s="1"/>
      <c r="H106" s="10"/>
    </row>
    <row r="107">
      <c r="B107" s="6"/>
      <c r="C107" s="1"/>
      <c r="D107" s="1"/>
      <c r="E107" s="1"/>
      <c r="F107" s="1"/>
      <c r="G107" s="1"/>
      <c r="H107" s="10"/>
    </row>
    <row r="108">
      <c r="B108" s="6" t="s">
        <v>55</v>
      </c>
      <c r="C108" s="35">
        <v>8870</v>
      </c>
      <c r="D108" s="35">
        <v>9880</v>
      </c>
      <c r="E108" s="35">
        <v>11330</v>
      </c>
      <c r="F108" s="35">
        <v>10260</v>
      </c>
      <c r="G108" s="35">
        <v>37640</v>
      </c>
      <c r="H108" s="10"/>
    </row>
    <row r="109">
      <c r="B109" s="6" t="s">
        <v>56</v>
      </c>
      <c r="C109" s="35">
        <v>12440</v>
      </c>
      <c r="D109" s="35">
        <v>11060</v>
      </c>
      <c r="E109" s="35">
        <v>10780</v>
      </c>
      <c r="F109" s="35">
        <v>9060</v>
      </c>
      <c r="G109" s="35">
        <v>42980</v>
      </c>
      <c r="H109" s="10"/>
    </row>
    <row r="110">
      <c r="B110" s="2" t="s">
        <v>57</v>
      </c>
      <c r="C110" s="13">
        <f>C108+C109</f>
        <v>21310</v>
      </c>
      <c r="D110" s="13">
        <f>D108+D109</f>
        <v>20940</v>
      </c>
      <c r="E110" s="13">
        <f>E108+E109</f>
        <v>22110</v>
      </c>
      <c r="F110" s="13">
        <f>F108+F109</f>
        <v>19320</v>
      </c>
      <c r="G110" s="13">
        <f>G108+G109</f>
        <v>80620</v>
      </c>
      <c r="H110" s="12"/>
    </row>
    <row r="111">
      <c r="B111" s="6" t="s">
        <v>58</v>
      </c>
      <c r="C111" s="54">
        <f>C110/C10</f>
        <v>1.2110528032661487</v>
      </c>
      <c r="D111" s="54">
        <f>D110/D10</f>
        <v>1.1172692530862962</v>
      </c>
      <c r="E111" s="54">
        <f>E110/E10</f>
        <v>1.2253335805798982</v>
      </c>
      <c r="F111" s="54">
        <f>F110/F10</f>
        <v>1.032153615230228</v>
      </c>
      <c r="G111" s="54">
        <f>G110/G10</f>
        <v>1.157120069664886</v>
      </c>
      <c r="H111" s="55"/>
    </row>
    <row r="112">
      <c r="B112" s="6" t="s">
        <v>59</v>
      </c>
      <c r="C112" s="24"/>
      <c r="D112" s="24"/>
      <c r="E112" s="24"/>
      <c r="F112" s="24"/>
      <c r="G112" s="24"/>
      <c r="H112" s="26"/>
    </row>
    <row r="113">
      <c r="B113" s="6" t="s">
        <v>60</v>
      </c>
      <c r="C113" s="24"/>
      <c r="D113" s="24">
        <f>D110/C110-1</f>
        <v>-0.017362740497419038</v>
      </c>
      <c r="E113" s="24">
        <f>E110/D110-1</f>
        <v>0.055873925501432664</v>
      </c>
      <c r="F113" s="24">
        <f>F110/E110-1</f>
        <v>-0.12618724559023065</v>
      </c>
      <c r="G113" s="24"/>
      <c r="H113" s="26"/>
    </row>
    <row r="116" ht="25.5">
      <c r="B116" s="17" t="s">
        <v>61</v>
      </c>
      <c r="C116" s="14">
        <f>Inputs!H13</f>
        <v>17596.26</v>
      </c>
      <c r="D116" s="14">
        <f>Inputs!H14</f>
        <v>18742.13</v>
      </c>
      <c r="E116" s="14">
        <f>Inputs!H15</f>
        <v>18044.07</v>
      </c>
      <c r="F116" s="14">
        <f>Inputs!H16</f>
        <v>18718.14</v>
      </c>
      <c r="G116" s="1"/>
      <c r="H116" s="10"/>
    </row>
    <row r="117" ht="25.5">
      <c r="B117" s="17" t="s">
        <v>62</v>
      </c>
      <c r="C117" s="1">
        <f>C10-C116</f>
        <v>0</v>
      </c>
      <c r="D117" s="1">
        <f>D10-D116</f>
        <v>-0.005000000001018634</v>
      </c>
      <c r="E117" s="1">
        <f>E10-E116</f>
        <v>-0.004000000000814907</v>
      </c>
      <c r="F117" s="1">
        <f>F10-F116</f>
        <v>0.004000000000814907</v>
      </c>
      <c r="G117" s="1"/>
      <c r="H117" s="10"/>
    </row>
    <row r="118">
      <c r="B118" s="6"/>
      <c r="C118" s="6"/>
      <c r="D118" s="6"/>
      <c r="E118" s="6"/>
      <c r="F118" s="6"/>
      <c r="G118" s="6"/>
      <c r="H118" s="8"/>
    </row>
    <row r="119">
      <c r="B119" s="6" t="s">
        <v>63</v>
      </c>
      <c r="C119" s="1">
        <f>C10-SUM(C19,C29,C39)</f>
        <v>0</v>
      </c>
      <c r="D119" s="1">
        <f>D10-SUM(D19,D29,D39)</f>
        <v>0</v>
      </c>
      <c r="E119" s="1">
        <f>E10-SUM(E19,E29,E39)</f>
        <v>0</v>
      </c>
      <c r="F119" s="1">
        <f>F10-SUM(F19,F29,F39)</f>
        <v>0</v>
      </c>
      <c r="G119" s="1">
        <f>G10-SUM(G19,G29,G39)</f>
        <v>0</v>
      </c>
      <c r="H119" s="10">
        <f>H10-SUM(H19,H29,H39)</f>
        <v>0</v>
      </c>
    </row>
    <row r="120">
      <c r="B120" s="6" t="s">
        <v>64</v>
      </c>
      <c r="C120" s="1">
        <f>C10-SUM(C70,C77,C84,C91,C98)</f>
        <v>0</v>
      </c>
      <c r="D120" s="1">
        <f>D10-SUM(D70,D77,D84,D91,D98)</f>
        <v>0</v>
      </c>
      <c r="E120" s="1">
        <f>E10-SUM(E70,E77,E84,E91,E98)</f>
        <v>0</v>
      </c>
      <c r="F120" s="1">
        <f>F10-SUM(F70,F77,F84,F91,F98)</f>
        <v>0</v>
      </c>
      <c r="G120" s="1">
        <f>G10-SUM(G70,G77,G84,G91,G98)</f>
        <v>0</v>
      </c>
      <c r="H120" s="10">
        <f>H10-SUM(H70,H77,H84,H91,H98)</f>
        <v>0</v>
      </c>
    </row>
    <row r="121">
      <c r="B121" s="6" t="s">
        <v>65</v>
      </c>
      <c r="C121" s="1">
        <f>C10-C52-C60</f>
        <v>0</v>
      </c>
      <c r="D121" s="1">
        <f>D10-D52-D60</f>
        <v>0</v>
      </c>
      <c r="E121" s="1">
        <f>E10-E52-E60</f>
        <v>0</v>
      </c>
      <c r="F121" s="1">
        <f>F10-F52-F60</f>
        <v>0</v>
      </c>
      <c r="G121" s="1">
        <f>G10-G52-G60</f>
        <v>0</v>
      </c>
      <c r="H121" s="10">
        <f>H10-H52-H60</f>
        <v>0</v>
      </c>
    </row>
    <row r="122">
      <c r="B122" s="6"/>
      <c r="C122" s="24"/>
      <c r="D122" s="24"/>
      <c r="E122" s="24"/>
      <c r="F122" s="24"/>
      <c r="G122" s="24"/>
      <c r="H122" s="24"/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dimension ref="B2:J53"/>
  <sheetViews>
    <sheetView showGridLines="0" workbookViewId="0">
      <pane xSplit="2" ySplit="7" topLeftCell="C8" activePane="bottomRight" state="frozen"/>
    </sheetView>
  </sheetViews>
  <sheetFormatPr defaultColWidth="8.42578125" defaultRowHeight="15"/>
  <cols>
    <col min="1" max="1" width="3" customWidth="1"/>
    <col min="2" max="2" width="36" customWidth="1"/>
    <col min="3" max="8" width="13" customWidth="1"/>
    <col min="9" max="9" width="18" customWidth="1"/>
    <col min="10" max="10" width="75" customWidth="1"/>
  </cols>
  <sheetData>
    <row r="2">
      <c r="B2" s="3" t="s">
        <v>0</v>
      </c>
      <c r="C2" s="3"/>
      <c r="D2" s="3"/>
      <c r="E2" s="3"/>
      <c r="F2" s="3"/>
      <c r="G2" s="3"/>
      <c r="H2" s="3"/>
    </row>
    <row r="3">
      <c r="B3" s="3" t="s">
        <v>66</v>
      </c>
      <c r="C3" s="3"/>
      <c r="D3" s="3"/>
      <c r="E3" s="3"/>
      <c r="F3" s="3"/>
      <c r="G3" s="3"/>
      <c r="H3" s="3"/>
    </row>
    <row r="4">
      <c r="B4" s="3" t="s">
        <v>2</v>
      </c>
      <c r="C4" s="3"/>
      <c r="D4" s="3"/>
      <c r="E4" s="3"/>
      <c r="F4" s="3"/>
      <c r="G4" s="3"/>
      <c r="H4" s="3"/>
    </row>
    <row r="5">
      <c r="B5" s="5" t="s">
        <v>3</v>
      </c>
      <c r="C5" s="5" t="s">
        <v>4</v>
      </c>
      <c r="D5" s="5" t="s">
        <v>5</v>
      </c>
      <c r="E5" s="5" t="s">
        <v>6</v>
      </c>
      <c r="F5" s="5" t="s">
        <v>7</v>
      </c>
      <c r="G5" s="5" t="s">
        <v>8</v>
      </c>
      <c r="H5" s="5" t="s">
        <v>9</v>
      </c>
    </row>
    <row r="6">
      <c r="B6" s="5" t="s">
        <v>10</v>
      </c>
      <c r="C6" s="9">
        <v>45900</v>
      </c>
      <c r="D6" s="9">
        <v>45991</v>
      </c>
      <c r="E6" s="9">
        <v>46081</v>
      </c>
      <c r="F6" s="9">
        <v>46173</v>
      </c>
      <c r="G6" s="9">
        <v>45900</v>
      </c>
      <c r="H6" s="9">
        <v>46265</v>
      </c>
    </row>
    <row r="7">
      <c r="B7" s="5" t="s">
        <v>11</v>
      </c>
      <c r="C7" s="5">
        <v>92</v>
      </c>
      <c r="D7" s="5">
        <v>91</v>
      </c>
      <c r="E7" s="5">
        <v>90</v>
      </c>
      <c r="F7" s="5">
        <v>92</v>
      </c>
      <c r="G7" s="5">
        <v>365</v>
      </c>
      <c r="H7" s="5">
        <v>92</v>
      </c>
    </row>
    <row r="8">
      <c r="B8" s="6"/>
      <c r="C8" s="6"/>
      <c r="D8" s="6"/>
      <c r="E8" s="6"/>
      <c r="F8" s="6"/>
      <c r="G8" s="6"/>
      <c r="H8" s="8"/>
    </row>
    <row r="9" ht="31.5">
      <c r="B9" s="6" t="s">
        <v>67</v>
      </c>
      <c r="C9" s="6"/>
      <c r="D9" s="6"/>
      <c r="E9" s="6"/>
      <c r="F9" s="6"/>
      <c r="G9" s="6"/>
      <c r="H9" s="8"/>
      <c r="J9" s="17" t="s">
        <v>68</v>
      </c>
    </row>
    <row r="10">
      <c r="B10" s="6"/>
      <c r="C10" s="1"/>
      <c r="D10" s="1"/>
      <c r="E10" s="1"/>
      <c r="F10" s="1"/>
      <c r="G10" s="1"/>
      <c r="H10" s="10"/>
    </row>
    <row r="11">
      <c r="B11" s="6" t="s">
        <v>69</v>
      </c>
      <c r="C11" s="1"/>
      <c r="D11" s="1"/>
      <c r="E11" s="1"/>
      <c r="F11" s="1"/>
      <c r="G11" s="1"/>
      <c r="H11" s="10"/>
    </row>
    <row r="12">
      <c r="B12" s="6" t="s">
        <v>70</v>
      </c>
      <c r="C12" s="24"/>
      <c r="D12" s="24"/>
      <c r="E12" s="24"/>
      <c r="F12" s="24"/>
      <c r="G12" s="24"/>
      <c r="H12" s="28">
        <f>Inputs!H186</f>
        <v>0.0024</v>
      </c>
    </row>
    <row r="13">
      <c r="B13" s="6" t="s">
        <v>71</v>
      </c>
      <c r="C13" s="24"/>
      <c r="D13" s="24"/>
      <c r="E13" s="24"/>
      <c r="F13" s="24"/>
      <c r="G13" s="24"/>
      <c r="H13" s="28">
        <f>Inputs!H189</f>
        <v>0</v>
      </c>
    </row>
    <row r="14">
      <c r="B14" s="6" t="s">
        <v>72</v>
      </c>
      <c r="C14" s="24"/>
      <c r="D14" s="24"/>
      <c r="E14" s="24"/>
      <c r="F14" s="24"/>
      <c r="G14" s="24"/>
      <c r="H14" s="28">
        <f>Inputs!H192</f>
        <v>0.015</v>
      </c>
    </row>
    <row r="15">
      <c r="B15" s="6" t="s">
        <v>73</v>
      </c>
      <c r="C15" s="24"/>
      <c r="D15" s="24"/>
      <c r="E15" s="24"/>
      <c r="F15" s="24"/>
      <c r="G15" s="24"/>
      <c r="H15" s="28">
        <f>Inputs!H193</f>
        <v>-0.002</v>
      </c>
    </row>
    <row r="16">
      <c r="B16" s="6" t="s">
        <v>74</v>
      </c>
      <c r="C16" s="24"/>
      <c r="D16" s="24"/>
      <c r="E16" s="24"/>
      <c r="F16" s="24"/>
      <c r="G16" s="24"/>
      <c r="H16" s="26">
        <f>PRODUCT(1+H12,1+H13,1+H14,1+H15)-1</f>
        <v>0.015401127999999709</v>
      </c>
    </row>
    <row r="17">
      <c r="B17" s="6"/>
      <c r="C17" s="1"/>
      <c r="D17" s="1"/>
      <c r="E17" s="1"/>
      <c r="F17" s="1"/>
      <c r="G17" s="1"/>
      <c r="H17" s="10"/>
    </row>
    <row r="18">
      <c r="B18" s="2" t="s">
        <v>75</v>
      </c>
      <c r="C18" s="16">
        <f>Inputs!C83</f>
        <v>8804.391</v>
      </c>
      <c r="D18" s="16">
        <f>Inputs!D83</f>
        <v>9080.059</v>
      </c>
      <c r="E18" s="16">
        <f>Inputs!E83</f>
        <v>8896.402</v>
      </c>
      <c r="F18" s="16">
        <f>Inputs!F83</f>
        <v>9137.772</v>
      </c>
      <c r="G18" s="16">
        <f>Inputs!G83</f>
        <v>35056.715</v>
      </c>
      <c r="H18" s="12">
        <f>C18*(1+H16)</f>
        <v>8939.988552753046</v>
      </c>
    </row>
    <row r="19">
      <c r="B19" s="6" t="s">
        <v>42</v>
      </c>
      <c r="C19" s="24">
        <f>(1+C22)/((1+C20)*(1+C21))-1</f>
        <v>0.050000000000000044</v>
      </c>
      <c r="D19" s="24">
        <f>(1+D22)/((1+D20)*(1+D21))-1</f>
        <v>0.040000000000000036</v>
      </c>
      <c r="E19" s="24">
        <f>(1+E22)/((1+E20)*(1+E21))-1</f>
        <v>0.030000000000000027</v>
      </c>
      <c r="F19" s="24">
        <f>(1+F22)/((1+F20)*(1+F21))-1</f>
        <v>0.010000000000000009</v>
      </c>
      <c r="G19" s="24">
        <f>(1+G22)/((1+G20)*(1+G21))-1</f>
        <v>0.09000000000000008</v>
      </c>
      <c r="H19" s="26">
        <f>(1+H22)/((1+H20)*(1+H21))-1</f>
        <v>0.0023999999999997357</v>
      </c>
    </row>
    <row r="20">
      <c r="B20" s="6" t="s">
        <v>39</v>
      </c>
      <c r="C20" s="25">
        <f>Inputs!H257</f>
        <v>0</v>
      </c>
      <c r="D20" s="25">
        <f>Inputs!H257</f>
        <v>0</v>
      </c>
      <c r="E20" s="25">
        <f>Inputs!H257</f>
        <v>0</v>
      </c>
      <c r="F20" s="25">
        <f>Inputs!H257</f>
        <v>0</v>
      </c>
      <c r="G20" s="25">
        <f>Inputs!H257</f>
        <v>0</v>
      </c>
      <c r="H20" s="26">
        <f>H14</f>
        <v>0.015</v>
      </c>
    </row>
    <row r="21">
      <c r="B21" s="6" t="s">
        <v>40</v>
      </c>
      <c r="C21" s="25">
        <f>(1+C22)/(1+Inputs!C244)-1</f>
        <v>-0.004548341585780213</v>
      </c>
      <c r="D21" s="25">
        <f>(1+D22)/(1+Inputs!D244)-1</f>
        <v>-0.0002598206548238835</v>
      </c>
      <c r="E21" s="25">
        <f>(1+E22)/(1+Inputs!E244)-1</f>
        <v>0.009842690349815886</v>
      </c>
      <c r="F21" s="25">
        <f>(1+F22)/(1+Inputs!F244)-1</f>
        <v>0.009052735221132924</v>
      </c>
      <c r="G21" s="25">
        <f>(1+G22)/(1+Inputs!G244)-1</f>
        <v>-0.011991867865741246</v>
      </c>
      <c r="H21" s="26">
        <f>H15</f>
        <v>-0.002</v>
      </c>
    </row>
    <row r="22">
      <c r="B22" s="6" t="s">
        <v>36</v>
      </c>
      <c r="C22" s="25">
        <f>C18/Inputs!C233-1</f>
        <v>0.04522424133493086</v>
      </c>
      <c r="D22" s="25">
        <f>D18/Inputs!D233-1</f>
        <v>0.03972978651898318</v>
      </c>
      <c r="E22" s="25">
        <f>E18/Inputs!E233-1</f>
        <v>0.04013797106031047</v>
      </c>
      <c r="F22" s="25">
        <f>F18/Inputs!F233-1</f>
        <v>0.01914326257334431</v>
      </c>
      <c r="G22" s="25">
        <f>G18/Inputs!G233-1</f>
        <v>0.07692886402634214</v>
      </c>
      <c r="H22" s="26">
        <f>H16</f>
        <v>0.015401127999999709</v>
      </c>
    </row>
    <row r="23">
      <c r="B23" s="6" t="s">
        <v>37</v>
      </c>
      <c r="C23" s="24"/>
      <c r="D23" s="24">
        <f>IFERROR(D18/C18-1,0)</f>
        <v>0.03131028596980756</v>
      </c>
      <c r="E23" s="24">
        <f>IFERROR(E18/D18-1,0)</f>
        <v>-0.020226410423104024</v>
      </c>
      <c r="F23" s="24">
        <f>IFERROR(F18/E18-1,0)</f>
        <v>0.027131193037364998</v>
      </c>
      <c r="G23" s="24"/>
      <c r="H23" s="26">
        <f>H18/F18-1</f>
        <v>-0.021644603000266938</v>
      </c>
    </row>
    <row r="24">
      <c r="B24" s="6" t="s">
        <v>45</v>
      </c>
      <c r="C24" s="25">
        <f>IFERROR(C18/'Revenue summary'!C10,0)</f>
        <v>0.5003558142468911</v>
      </c>
      <c r="D24" s="25">
        <f>IFERROR(D18/'Revenue summary'!D10,0)</f>
        <v>0.484473292116022</v>
      </c>
      <c r="E24" s="25">
        <f>IFERROR(E18/'Revenue summary'!E10,0)</f>
        <v>0.49303754486377965</v>
      </c>
      <c r="F24" s="25">
        <f>IFERROR(F18/'Revenue summary'!F10,0)</f>
        <v>0.48817724663299955</v>
      </c>
      <c r="G24" s="25">
        <f>IFERROR(G18/'Revenue summary'!G10,0)</f>
        <v>0.5031608596256767</v>
      </c>
      <c r="H24" s="28">
        <f>IFERROR(H18/'Revenue summary'!H10,0)</f>
        <v>0.49804526465778254</v>
      </c>
    </row>
    <row r="25">
      <c r="B25" s="6" t="s">
        <v>76</v>
      </c>
      <c r="C25" s="1"/>
      <c r="D25" s="1">
        <f>D18-C18</f>
        <v>275.66799999999967</v>
      </c>
      <c r="E25" s="1">
        <f>E18-D18</f>
        <v>-183.65699999999924</v>
      </c>
      <c r="F25" s="1">
        <f>F18-E18</f>
        <v>241.3700000000008</v>
      </c>
      <c r="G25" s="1"/>
      <c r="H25" s="10">
        <f>H18-F18</f>
        <v>-197.7834472469549</v>
      </c>
    </row>
    <row r="26">
      <c r="B26" s="6" t="s">
        <v>77</v>
      </c>
      <c r="C26" s="1"/>
      <c r="D26" s="14">
        <f>Inputs!D96</f>
        <v>5828.921</v>
      </c>
      <c r="E26" s="14">
        <f>Inputs!E96</f>
        <v>5820.277</v>
      </c>
      <c r="F26" s="14">
        <f>Inputs!F96</f>
        <v>5629.691</v>
      </c>
      <c r="G26" s="1"/>
      <c r="H26" s="19">
        <f>H18*Inputs!H196</f>
        <v>5810.99255928948</v>
      </c>
    </row>
    <row r="27">
      <c r="B27" s="6" t="s">
        <v>78</v>
      </c>
      <c r="C27" s="24"/>
      <c r="D27" s="24"/>
      <c r="E27" s="24"/>
      <c r="F27" s="24"/>
      <c r="G27" s="24"/>
      <c r="H27" s="26"/>
    </row>
    <row r="28">
      <c r="B28" s="6" t="s">
        <v>79</v>
      </c>
      <c r="C28" s="23"/>
      <c r="D28" s="23"/>
      <c r="E28" s="23">
        <f>E26-D26</f>
        <v>-8.644000000000233</v>
      </c>
      <c r="F28" s="23">
        <f>F26-E26</f>
        <v>-190.58600000000024</v>
      </c>
      <c r="G28" s="23"/>
      <c r="H28" s="32">
        <f>H26-F26</f>
        <v>181.30155928947988</v>
      </c>
    </row>
    <row r="29">
      <c r="B29" s="6" t="s">
        <v>80</v>
      </c>
      <c r="C29" s="24" t="str">
        <f>IF(ISNUMBER(C26),C26/C18,"")</f>
        <v/>
      </c>
      <c r="D29" s="24">
        <f>IF(ISNUMBER(D26),D26/D18,"")</f>
        <v>0.6419474807377353</v>
      </c>
      <c r="E29" s="24">
        <f>IF(ISNUMBER(E26),E26/E18,"")</f>
        <v>0.6542281924760145</v>
      </c>
      <c r="F29" s="24">
        <f>IF(ISNUMBER(F26),F26/F18,"")</f>
        <v>0.6160901147456951</v>
      </c>
      <c r="G29" s="24" t="str">
        <f>IF(ISNUMBER(G26),G26/G18,"")</f>
        <v/>
      </c>
      <c r="H29" s="26">
        <f>IF(ISNUMBER(H26),H26/H18,"")</f>
        <v>0.65</v>
      </c>
    </row>
    <row r="30">
      <c r="B30" s="6" t="s">
        <v>81</v>
      </c>
      <c r="C30" s="23"/>
      <c r="D30" s="27"/>
      <c r="E30" s="23">
        <f>(E29-D29)*10000</f>
        <v>122.8071173827916</v>
      </c>
      <c r="F30" s="23">
        <f>(F29-E29)*10000</f>
        <v>-381.38077730319407</v>
      </c>
      <c r="G30" s="23"/>
      <c r="H30" s="32">
        <f>(H29-F29)*10000</f>
        <v>339.09885254304936</v>
      </c>
    </row>
    <row r="31">
      <c r="B31" s="6" t="s">
        <v>82</v>
      </c>
      <c r="C31" s="23"/>
      <c r="D31" s="27">
        <f>Inputs!D99</f>
        <v>1480.392</v>
      </c>
      <c r="E31" s="27">
        <f>Inputs!E99</f>
        <v>1491.471</v>
      </c>
      <c r="F31" s="27">
        <f>Inputs!F99</f>
        <v>1616.931</v>
      </c>
      <c r="G31" s="23"/>
      <c r="H31" s="30">
        <f>H18*Inputs!H199</f>
        <v>1519.798053968018</v>
      </c>
    </row>
    <row r="32">
      <c r="B32" s="6" t="s">
        <v>83</v>
      </c>
      <c r="C32" s="24"/>
      <c r="D32" s="24"/>
      <c r="E32" s="24"/>
      <c r="F32" s="24"/>
      <c r="G32" s="24"/>
      <c r="H32" s="26"/>
    </row>
    <row r="33">
      <c r="B33" s="6" t="s">
        <v>84</v>
      </c>
      <c r="C33" s="1"/>
      <c r="D33" s="1"/>
      <c r="E33" s="1">
        <f>E31-D31</f>
        <v>11.07899999999995</v>
      </c>
      <c r="F33" s="1">
        <f>F31-E31</f>
        <v>125.46000000000004</v>
      </c>
      <c r="G33" s="1"/>
      <c r="H33" s="10">
        <f>H31-F31</f>
        <v>-97.1329460319821</v>
      </c>
    </row>
    <row r="34">
      <c r="B34" s="6" t="s">
        <v>85</v>
      </c>
      <c r="C34" s="24" t="str">
        <f>IF(ISNUMBER(C31),C31/C18,"")</f>
        <v/>
      </c>
      <c r="D34" s="24">
        <f>IF(ISNUMBER(D31),D31/D18,"")</f>
        <v>0.16303770713384133</v>
      </c>
      <c r="E34" s="24">
        <f>IF(ISNUMBER(E31),E31/E18,"")</f>
        <v>0.16764878655438456</v>
      </c>
      <c r="F34" s="24">
        <f>IF(ISNUMBER(F31),F31/F18,"")</f>
        <v>0.17695024563974673</v>
      </c>
      <c r="G34" s="24" t="str">
        <f>IF(ISNUMBER(G31),G31/G18,"")</f>
        <v/>
      </c>
      <c r="H34" s="26">
        <f>IF(ISNUMBER(H31),H31/H18,"")</f>
        <v>0.17</v>
      </c>
    </row>
    <row r="35">
      <c r="B35" s="6" t="s">
        <v>86</v>
      </c>
      <c r="C35" s="23"/>
      <c r="D35" s="23"/>
      <c r="E35" s="23">
        <f>(E34-D34)*10000</f>
        <v>46.11079420543229</v>
      </c>
      <c r="F35" s="23">
        <f>(F34-E34)*10000</f>
        <v>93.01459085362174</v>
      </c>
      <c r="G35" s="23"/>
      <c r="H35" s="32">
        <f>(H34-F34)*10000</f>
        <v>-69.50245639746721</v>
      </c>
    </row>
    <row r="36">
      <c r="B36" s="6" t="s">
        <v>87</v>
      </c>
      <c r="C36" s="23"/>
      <c r="D36" s="27">
        <f>Inputs!D102</f>
        <v>176.662</v>
      </c>
      <c r="E36" s="27">
        <f>Inputs!E102</f>
        <v>191.595</v>
      </c>
      <c r="F36" s="27">
        <f>Inputs!F102</f>
        <v>183.052</v>
      </c>
      <c r="G36" s="23"/>
      <c r="H36" s="30">
        <f>H18*Inputs!H202</f>
        <v>268.1996565825914</v>
      </c>
    </row>
    <row r="37">
      <c r="B37" s="6" t="s">
        <v>88</v>
      </c>
      <c r="C37" s="24"/>
      <c r="D37" s="24"/>
      <c r="E37" s="24"/>
      <c r="F37" s="24"/>
      <c r="G37" s="24"/>
      <c r="H37" s="26"/>
    </row>
    <row r="38">
      <c r="B38" s="6" t="s">
        <v>89</v>
      </c>
      <c r="C38" s="1"/>
      <c r="D38" s="14"/>
      <c r="E38" s="1">
        <f>E36-D36</f>
        <v>14.932999999999993</v>
      </c>
      <c r="F38" s="1">
        <f>F36-E36</f>
        <v>-8.543000000000006</v>
      </c>
      <c r="G38" s="1"/>
      <c r="H38" s="10">
        <f>H36-F36</f>
        <v>85.1476565825914</v>
      </c>
    </row>
    <row r="39">
      <c r="B39" s="6" t="s">
        <v>90</v>
      </c>
      <c r="C39" s="24" t="str">
        <f>IF(ISNUMBER(C36),C36/C18,"")</f>
        <v/>
      </c>
      <c r="D39" s="24">
        <f>IF(ISNUMBER(D36),D36/D18,"")</f>
        <v>0.01945604097946941</v>
      </c>
      <c r="E39" s="24">
        <f>IF(ISNUMBER(E36),E36/E18,"")</f>
        <v>0.02153623453616417</v>
      </c>
      <c r="F39" s="24">
        <f>IF(ISNUMBER(F36),F36/F18,"")</f>
        <v>0.020032454300676353</v>
      </c>
      <c r="G39" s="24" t="str">
        <f>IF(ISNUMBER(G36),G36/G18,"")</f>
        <v/>
      </c>
      <c r="H39" s="26">
        <f>IF(ISNUMBER(H36),H36/H18,"")</f>
        <v>0.030000000000000002</v>
      </c>
    </row>
    <row r="40">
      <c r="B40" s="2" t="s">
        <v>91</v>
      </c>
      <c r="C40" s="31"/>
      <c r="D40" s="29"/>
      <c r="E40" s="29">
        <f>(E39-D39)*10000</f>
        <v>20.80193556694761</v>
      </c>
      <c r="F40" s="29">
        <f>(F39-E39)*10000</f>
        <v>-15.037802354878165</v>
      </c>
      <c r="G40" s="31"/>
      <c r="H40" s="33">
        <f>(H39-F39)*10000</f>
        <v>99.6754569932365</v>
      </c>
    </row>
    <row r="41">
      <c r="B41" s="6" t="s">
        <v>92</v>
      </c>
      <c r="C41" s="27">
        <f>Inputs!C260</f>
        <v>420.469</v>
      </c>
      <c r="D41" s="27">
        <f>Inputs!D105</f>
        <v>66.749</v>
      </c>
      <c r="E41" s="27">
        <f>Inputs!E112</f>
        <v>0</v>
      </c>
      <c r="F41" s="27">
        <f>Inputs!F112</f>
        <v>0</v>
      </c>
      <c r="G41" s="27">
        <f>Inputs!C260</f>
        <v>420.469</v>
      </c>
      <c r="H41" s="30">
        <f>Inputs!H229</f>
        <v>0</v>
      </c>
    </row>
    <row r="42">
      <c r="B42" s="6" t="s">
        <v>93</v>
      </c>
      <c r="C42" s="24"/>
      <c r="D42" s="24"/>
      <c r="E42" s="24"/>
      <c r="F42" s="24"/>
      <c r="G42" s="24"/>
      <c r="H42" s="26">
        <f>H41/C41-1</f>
        <v>-1</v>
      </c>
    </row>
    <row r="43">
      <c r="B43" s="2" t="s">
        <v>94</v>
      </c>
      <c r="C43" s="16">
        <f>Inputs!C93</f>
        <v>987.032</v>
      </c>
      <c r="D43" s="13">
        <f>D18-SUM(D26,D31,D36,D41)</f>
        <v>1527.3349999999991</v>
      </c>
      <c r="E43" s="13">
        <f>E18-SUM(E26,E31,E36,E41)</f>
        <v>1393.0590000000002</v>
      </c>
      <c r="F43" s="13">
        <f>F18-SUM(F26,F31,F36,F41)</f>
        <v>1708.0980000000009</v>
      </c>
      <c r="G43" s="16">
        <f>Inputs!G93</f>
        <v>5324.339</v>
      </c>
      <c r="H43" s="12">
        <f>H18-SUM(H26,H31,H36,H41)</f>
        <v>1340.9982829129567</v>
      </c>
    </row>
    <row r="44">
      <c r="B44" s="6" t="s">
        <v>95</v>
      </c>
      <c r="C44" s="24"/>
      <c r="D44" s="24"/>
      <c r="E44" s="24"/>
      <c r="F44" s="24"/>
      <c r="G44" s="24"/>
      <c r="H44" s="26">
        <f>H43/C43-1</f>
        <v>0.35861682591137534</v>
      </c>
    </row>
    <row r="45">
      <c r="B45" s="1" t="s">
        <v>96</v>
      </c>
      <c r="C45" s="23"/>
      <c r="D45" s="23">
        <f>D43-C43</f>
        <v>540.3029999999991</v>
      </c>
      <c r="E45" s="23">
        <f>E43-D43</f>
        <v>-134.27599999999893</v>
      </c>
      <c r="F45" s="23">
        <f>F43-E43</f>
        <v>315.03900000000067</v>
      </c>
      <c r="G45" s="23"/>
      <c r="H45" s="32">
        <f>H43-F43</f>
        <v>-367.09971708704416</v>
      </c>
    </row>
    <row r="46">
      <c r="B46" s="1" t="s">
        <v>97</v>
      </c>
      <c r="C46" s="24">
        <f>C43/C18</f>
        <v>0.1121067885331308</v>
      </c>
      <c r="D46" s="24">
        <f>D43/D18</f>
        <v>0.1682076074615814</v>
      </c>
      <c r="E46" s="24">
        <f>E43/E18</f>
        <v>0.15658678643343682</v>
      </c>
      <c r="F46" s="24">
        <f>F43/F18</f>
        <v>0.18692718531388183</v>
      </c>
      <c r="G46" s="24">
        <f>G43/G18</f>
        <v>0.15187786419805735</v>
      </c>
      <c r="H46" s="26">
        <f>H43/H18</f>
        <v>0.14999999999999997</v>
      </c>
    </row>
    <row r="47">
      <c r="B47" s="1" t="s">
        <v>98</v>
      </c>
      <c r="C47" s="23"/>
      <c r="D47" s="23">
        <f>(D46-C46)*10000</f>
        <v>561.0081892845059</v>
      </c>
      <c r="E47" s="23">
        <f>(E46-D46)*10000</f>
        <v>-116.20821028144573</v>
      </c>
      <c r="F47" s="23">
        <f>(F46-E46)*10000</f>
        <v>303.40398880445014</v>
      </c>
      <c r="G47" s="23"/>
      <c r="H47" s="32">
        <f>(H46-F46)*10000</f>
        <v>-369.27185313881864</v>
      </c>
    </row>
    <row r="48">
      <c r="B48" s="1"/>
      <c r="C48" s="1"/>
      <c r="D48" s="1"/>
      <c r="E48" s="1"/>
      <c r="F48" s="1"/>
      <c r="G48" s="1"/>
      <c r="H48" s="1"/>
    </row>
    <row r="49">
      <c r="B49" s="1"/>
      <c r="C49" s="24"/>
      <c r="D49" s="24"/>
      <c r="E49" s="24"/>
      <c r="F49" s="24"/>
      <c r="G49" s="24"/>
      <c r="H49" s="24"/>
    </row>
    <row r="50">
      <c r="B50" s="1"/>
      <c r="C50" s="1"/>
      <c r="D50" s="1"/>
      <c r="E50" s="1"/>
      <c r="F50" s="1"/>
      <c r="G50" s="1"/>
      <c r="H50" s="1"/>
    </row>
    <row r="51">
      <c r="B51" s="1"/>
      <c r="C51" s="24"/>
      <c r="D51" s="24"/>
      <c r="E51" s="24"/>
      <c r="F51" s="24"/>
      <c r="G51" s="24"/>
      <c r="H51" s="24"/>
    </row>
    <row r="52">
      <c r="B52" s="1"/>
      <c r="C52" s="1"/>
      <c r="D52" s="1"/>
      <c r="E52" s="1"/>
      <c r="F52" s="1"/>
      <c r="G52" s="1"/>
      <c r="H52" s="1"/>
    </row>
    <row r="53">
      <c r="B53" s="1"/>
      <c r="C53" s="1"/>
      <c r="D53" s="1"/>
      <c r="E53" s="1"/>
      <c r="F53" s="1"/>
      <c r="G53" s="1"/>
      <c r="H53" s="1"/>
    </row>
  </sheetData>
</worksheet>
</file>

<file path=xl/worksheets/sheet4.xml><?xml version="1.0" encoding="utf-8"?>
<worksheet xmlns="http://schemas.openxmlformats.org/spreadsheetml/2006/main" xmlns:r="http://schemas.openxmlformats.org/officeDocument/2006/relationships">
  <dimension ref="B2:J53"/>
  <sheetViews>
    <sheetView showGridLines="0" workbookViewId="0">
      <pane xSplit="2" ySplit="7" topLeftCell="C8" activePane="bottomRight" state="frozen"/>
    </sheetView>
  </sheetViews>
  <sheetFormatPr defaultColWidth="8.42578125" defaultRowHeight="15"/>
  <cols>
    <col min="1" max="1" width="3" customWidth="1"/>
    <col min="2" max="2" width="36" customWidth="1"/>
    <col min="3" max="8" width="13" customWidth="1"/>
    <col min="9" max="9" width="18" customWidth="1"/>
    <col min="10" max="10" width="75" customWidth="1"/>
  </cols>
  <sheetData>
    <row r="2">
      <c r="B2" s="3" t="s">
        <v>0</v>
      </c>
      <c r="C2" s="3"/>
      <c r="D2" s="3"/>
      <c r="E2" s="3"/>
      <c r="F2" s="3"/>
      <c r="G2" s="3"/>
      <c r="H2" s="3"/>
    </row>
    <row r="3">
      <c r="B3" s="3" t="s">
        <v>99</v>
      </c>
      <c r="C3" s="3"/>
      <c r="D3" s="3"/>
      <c r="E3" s="3"/>
      <c r="F3" s="3"/>
      <c r="G3" s="3"/>
      <c r="H3" s="3"/>
    </row>
    <row r="4">
      <c r="B4" s="3" t="s">
        <v>2</v>
      </c>
      <c r="C4" s="3"/>
      <c r="D4" s="3"/>
      <c r="E4" s="3"/>
      <c r="F4" s="3"/>
      <c r="G4" s="3"/>
      <c r="H4" s="3"/>
    </row>
    <row r="5">
      <c r="B5" s="5" t="s">
        <v>3</v>
      </c>
      <c r="C5" s="5" t="s">
        <v>4</v>
      </c>
      <c r="D5" s="5" t="s">
        <v>5</v>
      </c>
      <c r="E5" s="5" t="s">
        <v>6</v>
      </c>
      <c r="F5" s="5" t="s">
        <v>7</v>
      </c>
      <c r="G5" s="5" t="s">
        <v>8</v>
      </c>
      <c r="H5" s="5" t="s">
        <v>9</v>
      </c>
    </row>
    <row r="6">
      <c r="B6" s="5" t="s">
        <v>10</v>
      </c>
      <c r="C6" s="9">
        <v>45900</v>
      </c>
      <c r="D6" s="9">
        <v>45991</v>
      </c>
      <c r="E6" s="9">
        <v>46081</v>
      </c>
      <c r="F6" s="9">
        <v>46173</v>
      </c>
      <c r="G6" s="9">
        <v>45900</v>
      </c>
      <c r="H6" s="9">
        <v>46265</v>
      </c>
    </row>
    <row r="7">
      <c r="B7" s="5" t="s">
        <v>11</v>
      </c>
      <c r="C7" s="5">
        <v>92</v>
      </c>
      <c r="D7" s="5">
        <v>91</v>
      </c>
      <c r="E7" s="5">
        <v>90</v>
      </c>
      <c r="F7" s="5">
        <v>92</v>
      </c>
      <c r="G7" s="5">
        <v>365</v>
      </c>
      <c r="H7" s="5">
        <v>92</v>
      </c>
    </row>
    <row r="8">
      <c r="B8" s="6"/>
      <c r="C8" s="6"/>
      <c r="D8" s="6"/>
      <c r="E8" s="6"/>
      <c r="F8" s="6"/>
      <c r="G8" s="6"/>
      <c r="H8" s="8"/>
    </row>
    <row r="9" ht="31.5">
      <c r="B9" s="6" t="s">
        <v>67</v>
      </c>
      <c r="C9" s="6"/>
      <c r="D9" s="6"/>
      <c r="E9" s="6"/>
      <c r="F9" s="6"/>
      <c r="G9" s="6"/>
      <c r="H9" s="8"/>
      <c r="J9" s="17" t="s">
        <v>68</v>
      </c>
    </row>
    <row r="10">
      <c r="B10" s="6"/>
      <c r="C10" s="1"/>
      <c r="D10" s="1"/>
      <c r="E10" s="1"/>
      <c r="F10" s="1"/>
      <c r="G10" s="1"/>
      <c r="H10" s="10"/>
    </row>
    <row r="11">
      <c r="B11" s="6" t="s">
        <v>69</v>
      </c>
      <c r="C11" s="1"/>
      <c r="D11" s="1"/>
      <c r="E11" s="1"/>
      <c r="F11" s="1"/>
      <c r="G11" s="1"/>
      <c r="H11" s="10"/>
    </row>
    <row r="12">
      <c r="B12" s="6" t="s">
        <v>70</v>
      </c>
      <c r="C12" s="24"/>
      <c r="D12" s="24"/>
      <c r="E12" s="24"/>
      <c r="F12" s="24"/>
      <c r="G12" s="24"/>
      <c r="H12" s="28">
        <f>Inputs!H187</f>
        <v>0.028</v>
      </c>
    </row>
    <row r="13">
      <c r="B13" s="6" t="s">
        <v>71</v>
      </c>
      <c r="C13" s="24"/>
      <c r="D13" s="24"/>
      <c r="E13" s="24"/>
      <c r="F13" s="24"/>
      <c r="G13" s="24"/>
      <c r="H13" s="28">
        <f>Inputs!H190</f>
        <v>0</v>
      </c>
    </row>
    <row r="14">
      <c r="B14" s="6" t="s">
        <v>72</v>
      </c>
      <c r="C14" s="24"/>
      <c r="D14" s="24"/>
      <c r="E14" s="24"/>
      <c r="F14" s="24"/>
      <c r="G14" s="24"/>
      <c r="H14" s="28">
        <f>Inputs!H192</f>
        <v>0.015</v>
      </c>
    </row>
    <row r="15">
      <c r="B15" s="6" t="s">
        <v>73</v>
      </c>
      <c r="C15" s="24"/>
      <c r="D15" s="24"/>
      <c r="E15" s="24"/>
      <c r="F15" s="24"/>
      <c r="G15" s="24"/>
      <c r="H15" s="28">
        <f>Inputs!H194</f>
        <v>-0.01</v>
      </c>
    </row>
    <row r="16">
      <c r="B16" s="6" t="s">
        <v>74</v>
      </c>
      <c r="C16" s="24"/>
      <c r="D16" s="24"/>
      <c r="E16" s="24"/>
      <c r="F16" s="24"/>
      <c r="G16" s="24"/>
      <c r="H16" s="26">
        <f>PRODUCT(1+H12,1+H13,1+H14,1+H15)-1</f>
        <v>0.032985800000000065</v>
      </c>
    </row>
    <row r="17">
      <c r="B17" s="6"/>
      <c r="C17" s="1"/>
      <c r="D17" s="1"/>
      <c r="E17" s="1"/>
      <c r="F17" s="1"/>
      <c r="G17" s="1"/>
      <c r="H17" s="10"/>
    </row>
    <row r="18">
      <c r="B18" s="2" t="s">
        <v>75</v>
      </c>
      <c r="C18" s="16">
        <f>Inputs!C84</f>
        <v>6196.281</v>
      </c>
      <c r="D18" s="16">
        <f>Inputs!D84</f>
        <v>6935.233</v>
      </c>
      <c r="E18" s="16">
        <f>Inputs!E84</f>
        <v>6569.391</v>
      </c>
      <c r="F18" s="16">
        <f>Inputs!F84</f>
        <v>6873.448</v>
      </c>
      <c r="G18" s="16">
        <f>Inputs!G84</f>
        <v>24643.957</v>
      </c>
      <c r="H18" s="12">
        <f>C18*(1+H16)</f>
        <v>6400.670285809801</v>
      </c>
    </row>
    <row r="19">
      <c r="B19" s="6" t="s">
        <v>42</v>
      </c>
      <c r="C19" s="24">
        <f>(1+C22)/((1+C20)*(1+C21))-1</f>
        <v>0.030000000000000027</v>
      </c>
      <c r="D19" s="24">
        <f>(1+D22)/((1+D20)*(1+D21))-1</f>
        <v>0.040000000000000036</v>
      </c>
      <c r="E19" s="24">
        <f>(1+E22)/((1+E20)*(1+E21))-1</f>
        <v>0.020000000000000018</v>
      </c>
      <c r="F19" s="24">
        <f>(1+F22)/((1+F20)*(1+F21))-1</f>
        <v>0.040000000000000036</v>
      </c>
      <c r="G19" s="24">
        <f>(1+G22)/((1+G20)*(1+G21))-1</f>
        <v>0.06000000000000005</v>
      </c>
      <c r="H19" s="26">
        <f>(1+H22)/((1+H20)*(1+H21))-1</f>
        <v>0.028000000000000247</v>
      </c>
    </row>
    <row r="20">
      <c r="B20" s="6" t="s">
        <v>39</v>
      </c>
      <c r="C20" s="25">
        <f>Inputs!H257</f>
        <v>0</v>
      </c>
      <c r="D20" s="25">
        <f>Inputs!H257</f>
        <v>0</v>
      </c>
      <c r="E20" s="25">
        <f>Inputs!H257</f>
        <v>0</v>
      </c>
      <c r="F20" s="25">
        <f>Inputs!H257</f>
        <v>0</v>
      </c>
      <c r="G20" s="25">
        <f>Inputs!H257</f>
        <v>0</v>
      </c>
      <c r="H20" s="26">
        <f>H14</f>
        <v>0.015</v>
      </c>
    </row>
    <row r="21">
      <c r="B21" s="6" t="s">
        <v>40</v>
      </c>
      <c r="C21" s="25">
        <f>(1+C22)/(1+Inputs!C245)-1</f>
        <v>0.06686640245679865</v>
      </c>
      <c r="D21" s="25">
        <f>(1+D22)/(1+Inputs!D245)-1</f>
        <v>0.04000985491325704</v>
      </c>
      <c r="E21" s="25">
        <f>(1+E22)/(1+Inputs!E245)-1</f>
        <v>0.10970332954529605</v>
      </c>
      <c r="F21" s="25">
        <f>(1+F22)/(1+Inputs!F245)-1</f>
        <v>0.06053349742341574</v>
      </c>
      <c r="G21" s="25">
        <f>(1+G22)/(1+Inputs!G245)-1</f>
        <v>0.01889470260298287</v>
      </c>
      <c r="H21" s="26">
        <f>H15</f>
        <v>-0.01</v>
      </c>
    </row>
    <row r="22">
      <c r="B22" s="6" t="s">
        <v>36</v>
      </c>
      <c r="C22" s="25">
        <f>C18/Inputs!C234-1</f>
        <v>0.09887239453050256</v>
      </c>
      <c r="D22" s="25">
        <f>D18/Inputs!D234-1</f>
        <v>0.08161024910978742</v>
      </c>
      <c r="E22" s="25">
        <f>E18/Inputs!E234-1</f>
        <v>0.131897396136202</v>
      </c>
      <c r="F22" s="25">
        <f>F18/Inputs!F234-1</f>
        <v>0.10295483732035238</v>
      </c>
      <c r="G22" s="25">
        <f>G18/Inputs!G234-1</f>
        <v>0.08002838475916185</v>
      </c>
      <c r="H22" s="26">
        <f>H16</f>
        <v>0.032985800000000065</v>
      </c>
    </row>
    <row r="23">
      <c r="B23" s="6" t="s">
        <v>37</v>
      </c>
      <c r="C23" s="24"/>
      <c r="D23" s="24">
        <f>IFERROR(D18/C18-1,0)</f>
        <v>0.11925734162153079</v>
      </c>
      <c r="E23" s="24">
        <f>IFERROR(E18/D18-1,0)</f>
        <v>-0.05275121974993491</v>
      </c>
      <c r="F23" s="24">
        <f>IFERROR(F18/E18-1,0)</f>
        <v>0.046283894504072</v>
      </c>
      <c r="G23" s="24"/>
      <c r="H23" s="26">
        <f>H18/F18-1</f>
        <v>-0.06878319501219765</v>
      </c>
    </row>
    <row r="24">
      <c r="B24" s="6" t="s">
        <v>45</v>
      </c>
      <c r="C24" s="25">
        <f>IFERROR(C18/'Revenue summary'!C10,0)</f>
        <v>0.35213624940754457</v>
      </c>
      <c r="D24" s="25">
        <f>IFERROR(D18/'Revenue summary'!D10,0)</f>
        <v>0.3700345078266205</v>
      </c>
      <c r="E24" s="25">
        <f>IFERROR(E18/'Revenue summary'!E10,0)</f>
        <v>0.3640748709298669</v>
      </c>
      <c r="F24" s="25">
        <f>IFERROR(F18/'Revenue summary'!F10,0)</f>
        <v>0.3672077744460135</v>
      </c>
      <c r="G24" s="25">
        <f>IFERROR(G18/'Revenue summary'!G10,0)</f>
        <v>0.35370897098311155</v>
      </c>
      <c r="H24" s="28">
        <f>IFERROR(H18/'Revenue summary'!H10,0)</f>
        <v>0.3565802693899049</v>
      </c>
    </row>
    <row r="25">
      <c r="B25" s="6" t="s">
        <v>76</v>
      </c>
      <c r="C25" s="1"/>
      <c r="D25" s="1">
        <f>D18-C18</f>
        <v>738.9520000000002</v>
      </c>
      <c r="E25" s="1">
        <f>E18-D18</f>
        <v>-365.84200000000055</v>
      </c>
      <c r="F25" s="1">
        <f>F18-E18</f>
        <v>304.0570000000007</v>
      </c>
      <c r="G25" s="1"/>
      <c r="H25" s="10">
        <f>H18-F18</f>
        <v>-472.77771419019973</v>
      </c>
    </row>
    <row r="26">
      <c r="B26" s="6" t="s">
        <v>77</v>
      </c>
      <c r="C26" s="1"/>
      <c r="D26" s="14">
        <f>Inputs!D97</f>
        <v>4620.806</v>
      </c>
      <c r="E26" s="14">
        <f>Inputs!E97</f>
        <v>4612.648</v>
      </c>
      <c r="F26" s="14">
        <f>Inputs!F97</f>
        <v>4536.068</v>
      </c>
      <c r="G26" s="1"/>
      <c r="H26" s="19">
        <f>H18*Inputs!H197</f>
        <v>4288.449091492566</v>
      </c>
    </row>
    <row r="27">
      <c r="B27" s="6" t="s">
        <v>78</v>
      </c>
      <c r="C27" s="24"/>
      <c r="D27" s="24"/>
      <c r="E27" s="24"/>
      <c r="F27" s="24"/>
      <c r="G27" s="24"/>
      <c r="H27" s="26"/>
    </row>
    <row r="28">
      <c r="B28" s="6" t="s">
        <v>79</v>
      </c>
      <c r="C28" s="23"/>
      <c r="D28" s="23"/>
      <c r="E28" s="23">
        <f>E26-D26</f>
        <v>-8.157999999999447</v>
      </c>
      <c r="F28" s="23">
        <f>F26-E26</f>
        <v>-76.57999999999993</v>
      </c>
      <c r="G28" s="23"/>
      <c r="H28" s="32">
        <f>H26-F26</f>
        <v>-247.61890850743384</v>
      </c>
    </row>
    <row r="29">
      <c r="B29" s="6" t="s">
        <v>80</v>
      </c>
      <c r="C29" s="24" t="str">
        <f>IF(ISNUMBER(C26),C26/C18,"")</f>
        <v/>
      </c>
      <c r="D29" s="24">
        <f>IF(ISNUMBER(D26),D26/D18,"")</f>
        <v>0.6662798495739075</v>
      </c>
      <c r="E29" s="24">
        <f>IF(ISNUMBER(E26),E26/E18,"")</f>
        <v>0.7021424055898028</v>
      </c>
      <c r="F29" s="24">
        <f>IF(ISNUMBER(F26),F26/F18,"")</f>
        <v>0.6599406877014273</v>
      </c>
      <c r="G29" s="24" t="str">
        <f>IF(ISNUMBER(G26),G26/G18,"")</f>
        <v/>
      </c>
      <c r="H29" s="26">
        <f>IF(ISNUMBER(H26),H26/H18,"")</f>
        <v>0.67</v>
      </c>
    </row>
    <row r="30">
      <c r="B30" s="6" t="s">
        <v>81</v>
      </c>
      <c r="C30" s="23"/>
      <c r="D30" s="27"/>
      <c r="E30" s="23">
        <f>(E29-D29)*10000</f>
        <v>358.62556015895274</v>
      </c>
      <c r="F30" s="23">
        <f>(F29-E29)*10000</f>
        <v>-422.0171788837546</v>
      </c>
      <c r="G30" s="23"/>
      <c r="H30" s="32">
        <f>(H29-F29)*10000</f>
        <v>100.59312298572709</v>
      </c>
    </row>
    <row r="31">
      <c r="B31" s="6" t="s">
        <v>82</v>
      </c>
      <c r="C31" s="23"/>
      <c r="D31" s="27">
        <f>Inputs!D100</f>
        <v>1098.985</v>
      </c>
      <c r="E31" s="27">
        <f>Inputs!E100</f>
        <v>1128.806</v>
      </c>
      <c r="F31" s="27">
        <f>Inputs!F100</f>
        <v>1191.989</v>
      </c>
      <c r="G31" s="23"/>
      <c r="H31" s="30">
        <f>H18*Inputs!H200</f>
        <v>1088.113948587666</v>
      </c>
    </row>
    <row r="32">
      <c r="B32" s="6" t="s">
        <v>83</v>
      </c>
      <c r="C32" s="24"/>
      <c r="D32" s="24"/>
      <c r="E32" s="24"/>
      <c r="F32" s="24"/>
      <c r="G32" s="24"/>
      <c r="H32" s="26"/>
    </row>
    <row r="33">
      <c r="B33" s="6" t="s">
        <v>84</v>
      </c>
      <c r="C33" s="1"/>
      <c r="D33" s="1"/>
      <c r="E33" s="1">
        <f>E31-D31</f>
        <v>29.82100000000014</v>
      </c>
      <c r="F33" s="1">
        <f>F31-E31</f>
        <v>63.18299999999999</v>
      </c>
      <c r="G33" s="1"/>
      <c r="H33" s="10">
        <f>H31-F31</f>
        <v>-103.87505141233396</v>
      </c>
    </row>
    <row r="34">
      <c r="B34" s="6" t="s">
        <v>85</v>
      </c>
      <c r="C34" s="24" t="str">
        <f>IF(ISNUMBER(C31),C31/C18,"")</f>
        <v/>
      </c>
      <c r="D34" s="24">
        <f>IF(ISNUMBER(D31),D31/D18,"")</f>
        <v>0.15846403430137096</v>
      </c>
      <c r="E34" s="24">
        <f>IF(ISNUMBER(E31),E31/E18,"")</f>
        <v>0.1718281040053789</v>
      </c>
      <c r="F34" s="24">
        <f>IF(ISNUMBER(F31),F31/F18,"")</f>
        <v>0.17341936681560696</v>
      </c>
      <c r="G34" s="24" t="str">
        <f>IF(ISNUMBER(G31),G31/G18,"")</f>
        <v/>
      </c>
      <c r="H34" s="26">
        <f>IF(ISNUMBER(H31),H31/H18,"")</f>
        <v>0.16999999999999998</v>
      </c>
    </row>
    <row r="35">
      <c r="B35" s="6" t="s">
        <v>86</v>
      </c>
      <c r="C35" s="23"/>
      <c r="D35" s="23"/>
      <c r="E35" s="23">
        <f>(E34-D34)*10000</f>
        <v>133.6406970400794</v>
      </c>
      <c r="F35" s="23">
        <f>(F34-E34)*10000</f>
        <v>15.912628102280612</v>
      </c>
      <c r="G35" s="23"/>
      <c r="H35" s="32">
        <f>(H34-F34)*10000</f>
        <v>-34.193668156069776</v>
      </c>
    </row>
    <row r="36">
      <c r="B36" s="6" t="s">
        <v>87</v>
      </c>
      <c r="C36" s="23"/>
      <c r="D36" s="27">
        <f>Inputs!D103</f>
        <v>145.14</v>
      </c>
      <c r="E36" s="27">
        <f>Inputs!E103</f>
        <v>151.19</v>
      </c>
      <c r="F36" s="27">
        <f>Inputs!F103</f>
        <v>151.385</v>
      </c>
      <c r="G36" s="23"/>
      <c r="H36" s="30">
        <f>H18*Inputs!H203</f>
        <v>192.020108574294</v>
      </c>
    </row>
    <row r="37">
      <c r="B37" s="6" t="s">
        <v>88</v>
      </c>
      <c r="C37" s="24"/>
      <c r="D37" s="24"/>
      <c r="E37" s="24"/>
      <c r="F37" s="24"/>
      <c r="G37" s="24"/>
      <c r="H37" s="26"/>
    </row>
    <row r="38">
      <c r="B38" s="6" t="s">
        <v>89</v>
      </c>
      <c r="C38" s="1"/>
      <c r="D38" s="14"/>
      <c r="E38" s="1">
        <f>E36-D36</f>
        <v>6.050000000000011</v>
      </c>
      <c r="F38" s="1">
        <f>F36-E36</f>
        <v>0.19499999999999318</v>
      </c>
      <c r="G38" s="1"/>
      <c r="H38" s="10">
        <f>H36-F36</f>
        <v>40.63510857429401</v>
      </c>
    </row>
    <row r="39">
      <c r="B39" s="6" t="s">
        <v>90</v>
      </c>
      <c r="C39" s="24" t="str">
        <f>IF(ISNUMBER(C36),C36/C18,"")</f>
        <v/>
      </c>
      <c r="D39" s="24">
        <f>IF(ISNUMBER(D36),D36/D18,"")</f>
        <v>0.020927919797359366</v>
      </c>
      <c r="E39" s="24">
        <f>IF(ISNUMBER(E36),E36/E18,"")</f>
        <v>0.02301430985003024</v>
      </c>
      <c r="F39" s="24">
        <f>IF(ISNUMBER(F36),F36/F18,"")</f>
        <v>0.022024608318852487</v>
      </c>
      <c r="G39" s="24" t="str">
        <f>IF(ISNUMBER(G36),G36/G18,"")</f>
        <v/>
      </c>
      <c r="H39" s="26">
        <f>IF(ISNUMBER(H36),H36/H18,"")</f>
        <v>0.03</v>
      </c>
    </row>
    <row r="40">
      <c r="B40" s="2" t="s">
        <v>91</v>
      </c>
      <c r="C40" s="31"/>
      <c r="D40" s="29"/>
      <c r="E40" s="29">
        <f>(E39-D39)*10000</f>
        <v>20.86390052670875</v>
      </c>
      <c r="F40" s="29">
        <f>(F39-E39)*10000</f>
        <v>-9.897015311777537</v>
      </c>
      <c r="G40" s="31"/>
      <c r="H40" s="33">
        <f>(H39-F39)*10000</f>
        <v>79.75391681147512</v>
      </c>
    </row>
    <row r="41">
      <c r="B41" s="6" t="s">
        <v>92</v>
      </c>
      <c r="C41" s="27">
        <f>Inputs!C261</f>
        <v>131.98</v>
      </c>
      <c r="D41" s="27">
        <f>Inputs!D106</f>
        <v>169.811</v>
      </c>
      <c r="E41" s="27">
        <f>Inputs!E112</f>
        <v>0</v>
      </c>
      <c r="F41" s="27">
        <f>Inputs!F112</f>
        <v>0</v>
      </c>
      <c r="G41" s="27">
        <f>Inputs!C261</f>
        <v>131.98</v>
      </c>
      <c r="H41" s="30">
        <f>Inputs!H229</f>
        <v>0</v>
      </c>
    </row>
    <row r="42">
      <c r="B42" s="6" t="s">
        <v>93</v>
      </c>
      <c r="C42" s="24"/>
      <c r="D42" s="24"/>
      <c r="E42" s="24"/>
      <c r="F42" s="24"/>
      <c r="G42" s="24"/>
      <c r="H42" s="26">
        <f>H41/C41-1</f>
        <v>-1</v>
      </c>
    </row>
    <row r="43">
      <c r="B43" s="2" t="s">
        <v>94</v>
      </c>
      <c r="C43" s="16">
        <f>Inputs!C94</f>
        <v>662.688</v>
      </c>
      <c r="D43" s="13">
        <f>D18-SUM(D26,D31,D36,D41)</f>
        <v>900.4910000000009</v>
      </c>
      <c r="E43" s="13">
        <f>E18-SUM(E26,E31,E36,E41)</f>
        <v>676.7469999999994</v>
      </c>
      <c r="F43" s="13">
        <f>F18-SUM(F26,F31,F36,F41)</f>
        <v>994.0060000000003</v>
      </c>
      <c r="G43" s="16">
        <f>Inputs!G94</f>
        <v>3090.993</v>
      </c>
      <c r="H43" s="12">
        <f>H18-SUM(H26,H31,H36,H41)</f>
        <v>832.0871371552739</v>
      </c>
    </row>
    <row r="44">
      <c r="B44" s="6" t="s">
        <v>95</v>
      </c>
      <c r="C44" s="24"/>
      <c r="D44" s="24"/>
      <c r="E44" s="24"/>
      <c r="F44" s="24"/>
      <c r="G44" s="24"/>
      <c r="H44" s="26">
        <f>H43/C43-1</f>
        <v>0.2556242713845338</v>
      </c>
    </row>
    <row r="45">
      <c r="B45" s="1" t="s">
        <v>96</v>
      </c>
      <c r="C45" s="23"/>
      <c r="D45" s="23">
        <f>D43-C43</f>
        <v>237.8030000000009</v>
      </c>
      <c r="E45" s="23">
        <f>E43-D43</f>
        <v>-223.7440000000015</v>
      </c>
      <c r="F45" s="23">
        <f>F43-E43</f>
        <v>317.2590000000009</v>
      </c>
      <c r="G45" s="23"/>
      <c r="H45" s="32">
        <f>H43-F43</f>
        <v>-161.9188628447264</v>
      </c>
    </row>
    <row r="46">
      <c r="B46" s="1" t="s">
        <v>97</v>
      </c>
      <c r="C46" s="24">
        <f>C43/C18</f>
        <v>0.10694931362861045</v>
      </c>
      <c r="D46" s="24">
        <f>D43/D18</f>
        <v>0.12984293389998589</v>
      </c>
      <c r="E46" s="24">
        <f>E43/E18</f>
        <v>0.10301518055478802</v>
      </c>
      <c r="F46" s="24">
        <f>F43/F18</f>
        <v>0.14461533716411332</v>
      </c>
      <c r="G46" s="24">
        <f>G43/G18</f>
        <v>0.12542600200122084</v>
      </c>
      <c r="H46" s="26">
        <f>H43/H18</f>
        <v>0.12999999999999998</v>
      </c>
    </row>
    <row r="47">
      <c r="B47" s="1" t="s">
        <v>98</v>
      </c>
      <c r="C47" s="23"/>
      <c r="D47" s="23">
        <f>(D46-C46)*10000</f>
        <v>228.9362027137544</v>
      </c>
      <c r="E47" s="23">
        <f>(E46-D46)*10000</f>
        <v>-268.2775334519787</v>
      </c>
      <c r="F47" s="23">
        <f>(F46-E46)*10000</f>
        <v>416.00156609325296</v>
      </c>
      <c r="G47" s="23"/>
      <c r="H47" s="32">
        <f>(H46-F46)*10000</f>
        <v>-146.1533716411334</v>
      </c>
    </row>
    <row r="48">
      <c r="B48" s="1"/>
      <c r="C48" s="1"/>
      <c r="D48" s="1"/>
      <c r="E48" s="1"/>
      <c r="F48" s="1"/>
      <c r="G48" s="1"/>
      <c r="H48" s="1"/>
    </row>
    <row r="49">
      <c r="B49" s="1"/>
      <c r="C49" s="24"/>
      <c r="D49" s="24"/>
      <c r="E49" s="24"/>
      <c r="F49" s="24"/>
      <c r="G49" s="24"/>
      <c r="H49" s="24"/>
    </row>
    <row r="50">
      <c r="B50" s="1"/>
      <c r="C50" s="1"/>
      <c r="D50" s="1"/>
      <c r="E50" s="1"/>
      <c r="F50" s="1"/>
      <c r="G50" s="1"/>
      <c r="H50" s="1"/>
    </row>
    <row r="51">
      <c r="B51" s="1"/>
      <c r="C51" s="24"/>
      <c r="D51" s="24"/>
      <c r="E51" s="24"/>
      <c r="F51" s="24"/>
      <c r="G51" s="24"/>
      <c r="H51" s="24"/>
    </row>
    <row r="52">
      <c r="B52" s="1"/>
      <c r="C52" s="1"/>
      <c r="D52" s="1"/>
      <c r="E52" s="1"/>
      <c r="F52" s="1"/>
      <c r="G52" s="1"/>
      <c r="H52" s="1"/>
    </row>
    <row r="53">
      <c r="B53" s="1"/>
      <c r="C53" s="1"/>
      <c r="D53" s="1"/>
      <c r="E53" s="1"/>
      <c r="F53" s="1"/>
      <c r="G53" s="1"/>
      <c r="H53" s="1"/>
    </row>
  </sheetData>
</worksheet>
</file>

<file path=xl/worksheets/sheet5.xml><?xml version="1.0" encoding="utf-8"?>
<worksheet xmlns="http://schemas.openxmlformats.org/spreadsheetml/2006/main" xmlns:r="http://schemas.openxmlformats.org/officeDocument/2006/relationships">
  <dimension ref="B2:J53"/>
  <sheetViews>
    <sheetView showGridLines="0" workbookViewId="0">
      <pane xSplit="2" ySplit="7" topLeftCell="C8" activePane="bottomRight" state="frozen"/>
    </sheetView>
  </sheetViews>
  <sheetFormatPr defaultColWidth="8.42578125" defaultRowHeight="15"/>
  <cols>
    <col min="1" max="1" width="3" customWidth="1"/>
    <col min="2" max="2" width="36" customWidth="1"/>
    <col min="3" max="8" width="13" customWidth="1"/>
    <col min="9" max="9" width="18" customWidth="1"/>
    <col min="10" max="10" width="75" customWidth="1"/>
  </cols>
  <sheetData>
    <row r="2">
      <c r="B2" s="3" t="s">
        <v>0</v>
      </c>
      <c r="C2" s="3"/>
      <c r="D2" s="3"/>
      <c r="E2" s="3"/>
      <c r="F2" s="3"/>
      <c r="G2" s="3"/>
      <c r="H2" s="3"/>
    </row>
    <row r="3">
      <c r="B3" s="3" t="s">
        <v>100</v>
      </c>
      <c r="C3" s="3"/>
      <c r="D3" s="3"/>
      <c r="E3" s="3"/>
      <c r="F3" s="3"/>
      <c r="G3" s="3"/>
      <c r="H3" s="3"/>
    </row>
    <row r="4">
      <c r="B4" s="3" t="s">
        <v>2</v>
      </c>
      <c r="C4" s="3"/>
      <c r="D4" s="3"/>
      <c r="E4" s="3"/>
      <c r="F4" s="3"/>
      <c r="G4" s="3"/>
      <c r="H4" s="3"/>
    </row>
    <row r="5">
      <c r="B5" s="5" t="s">
        <v>3</v>
      </c>
      <c r="C5" s="5" t="s">
        <v>4</v>
      </c>
      <c r="D5" s="5" t="s">
        <v>5</v>
      </c>
      <c r="E5" s="5" t="s">
        <v>6</v>
      </c>
      <c r="F5" s="5" t="s">
        <v>7</v>
      </c>
      <c r="G5" s="5" t="s">
        <v>8</v>
      </c>
      <c r="H5" s="5" t="s">
        <v>9</v>
      </c>
    </row>
    <row r="6">
      <c r="B6" s="5" t="s">
        <v>10</v>
      </c>
      <c r="C6" s="9">
        <v>45900</v>
      </c>
      <c r="D6" s="9">
        <v>45991</v>
      </c>
      <c r="E6" s="9">
        <v>46081</v>
      </c>
      <c r="F6" s="9">
        <v>46173</v>
      </c>
      <c r="G6" s="9">
        <v>45900</v>
      </c>
      <c r="H6" s="9">
        <v>46265</v>
      </c>
    </row>
    <row r="7">
      <c r="B7" s="5" t="s">
        <v>11</v>
      </c>
      <c r="C7" s="5">
        <v>92</v>
      </c>
      <c r="D7" s="5">
        <v>91</v>
      </c>
      <c r="E7" s="5">
        <v>90</v>
      </c>
      <c r="F7" s="5">
        <v>92</v>
      </c>
      <c r="G7" s="5">
        <v>365</v>
      </c>
      <c r="H7" s="5">
        <v>92</v>
      </c>
    </row>
    <row r="8">
      <c r="B8" s="6"/>
      <c r="C8" s="6"/>
      <c r="D8" s="6"/>
      <c r="E8" s="6"/>
      <c r="F8" s="6"/>
      <c r="G8" s="6"/>
      <c r="H8" s="8"/>
    </row>
    <row r="9" ht="31.5">
      <c r="B9" s="6" t="s">
        <v>67</v>
      </c>
      <c r="C9" s="6"/>
      <c r="D9" s="6"/>
      <c r="E9" s="6"/>
      <c r="F9" s="6"/>
      <c r="G9" s="6"/>
      <c r="H9" s="8"/>
      <c r="J9" s="17" t="s">
        <v>68</v>
      </c>
    </row>
    <row r="10">
      <c r="B10" s="6"/>
      <c r="C10" s="1"/>
      <c r="D10" s="1"/>
      <c r="E10" s="1"/>
      <c r="F10" s="1"/>
      <c r="G10" s="1"/>
      <c r="H10" s="10"/>
    </row>
    <row r="11">
      <c r="B11" s="6" t="s">
        <v>69</v>
      </c>
      <c r="C11" s="1"/>
      <c r="D11" s="1"/>
      <c r="E11" s="1"/>
      <c r="F11" s="1"/>
      <c r="G11" s="1"/>
      <c r="H11" s="10"/>
    </row>
    <row r="12">
      <c r="B12" s="6" t="s">
        <v>70</v>
      </c>
      <c r="C12" s="24"/>
      <c r="D12" s="24"/>
      <c r="E12" s="24"/>
      <c r="F12" s="24"/>
      <c r="G12" s="24"/>
      <c r="H12" s="28">
        <f>Inputs!H188</f>
        <v>-0.0095</v>
      </c>
    </row>
    <row r="13">
      <c r="B13" s="6" t="s">
        <v>71</v>
      </c>
      <c r="C13" s="24"/>
      <c r="D13" s="24"/>
      <c r="E13" s="24"/>
      <c r="F13" s="24"/>
      <c r="G13" s="24"/>
      <c r="H13" s="28">
        <f>Inputs!H191</f>
        <v>0</v>
      </c>
    </row>
    <row r="14">
      <c r="B14" s="6" t="s">
        <v>72</v>
      </c>
      <c r="C14" s="24"/>
      <c r="D14" s="24"/>
      <c r="E14" s="24"/>
      <c r="F14" s="24"/>
      <c r="G14" s="24"/>
      <c r="H14" s="28">
        <f>Inputs!H192</f>
        <v>0.015</v>
      </c>
    </row>
    <row r="15">
      <c r="B15" s="6" t="s">
        <v>73</v>
      </c>
      <c r="C15" s="24"/>
      <c r="D15" s="24"/>
      <c r="E15" s="24"/>
      <c r="F15" s="24"/>
      <c r="G15" s="24"/>
      <c r="H15" s="28">
        <f>Inputs!H195</f>
        <v>0</v>
      </c>
    </row>
    <row r="16">
      <c r="B16" s="6" t="s">
        <v>74</v>
      </c>
      <c r="C16" s="24"/>
      <c r="D16" s="24"/>
      <c r="E16" s="24"/>
      <c r="F16" s="24"/>
      <c r="G16" s="24"/>
      <c r="H16" s="26">
        <f>PRODUCT(1+H12,1+H13,1+H14,1+H15)-1</f>
        <v>0.005357499999999904</v>
      </c>
    </row>
    <row r="17">
      <c r="B17" s="6"/>
      <c r="C17" s="1"/>
      <c r="D17" s="1"/>
      <c r="E17" s="1"/>
      <c r="F17" s="1"/>
      <c r="G17" s="1"/>
      <c r="H17" s="10"/>
    </row>
    <row r="18">
      <c r="B18" s="2" t="s">
        <v>75</v>
      </c>
      <c r="C18" s="16">
        <f>Inputs!C85</f>
        <v>2595.588</v>
      </c>
      <c r="D18" s="16">
        <f>Inputs!D85</f>
        <v>2726.833</v>
      </c>
      <c r="E18" s="16">
        <f>Inputs!E85</f>
        <v>2578.273</v>
      </c>
      <c r="F18" s="16">
        <f>Inputs!F85</f>
        <v>2706.924</v>
      </c>
      <c r="G18" s="16">
        <f>Inputs!G85</f>
        <v>9972.305</v>
      </c>
      <c r="H18" s="12">
        <f>C18*(1+H16)</f>
        <v>2609.49386271</v>
      </c>
    </row>
    <row r="19">
      <c r="B19" s="6" t="s">
        <v>42</v>
      </c>
      <c r="C19" s="24">
        <f>(1+C22)/((1+C20)*(1+C21))-1</f>
        <v>0.06000000000000005</v>
      </c>
      <c r="D19" s="24">
        <f>(1+D22)/((1+D20)*(1+D21))-1</f>
        <v>0.09000000000000008</v>
      </c>
      <c r="E19" s="24">
        <f>(1+E22)/((1+E20)*(1+E21))-1</f>
        <v>0.10000000000000009</v>
      </c>
      <c r="F19" s="24">
        <f>(1+F22)/((1+F20)*(1+F21))-1</f>
        <v>0.08000000000000007</v>
      </c>
      <c r="G19" s="24">
        <f>(1+G22)/((1+G20)*(1+G21))-1</f>
        <v>0.040000000000000036</v>
      </c>
      <c r="H19" s="26">
        <f>(1+H22)/((1+H20)*(1+H21))-1</f>
        <v>-0.009499999999999953</v>
      </c>
    </row>
    <row r="20">
      <c r="B20" s="6" t="s">
        <v>39</v>
      </c>
      <c r="C20" s="25">
        <f>Inputs!H257</f>
        <v>0</v>
      </c>
      <c r="D20" s="25">
        <f>Inputs!H257</f>
        <v>0</v>
      </c>
      <c r="E20" s="25">
        <f>Inputs!H257</f>
        <v>0</v>
      </c>
      <c r="F20" s="25">
        <f>Inputs!H257</f>
        <v>0</v>
      </c>
      <c r="G20" s="25">
        <f>Inputs!H257</f>
        <v>0</v>
      </c>
      <c r="H20" s="26">
        <f>H14</f>
        <v>0.015</v>
      </c>
    </row>
    <row r="21">
      <c r="B21" s="6" t="s">
        <v>40</v>
      </c>
      <c r="C21" s="25">
        <f>(1+C22)/(1+Inputs!C246)-1</f>
        <v>0.04482783797480816</v>
      </c>
      <c r="D21" s="25">
        <f>(1+D22)/(1+Inputs!D246)-1</f>
        <v>-0.016827031746086463</v>
      </c>
      <c r="E21" s="25">
        <f>(1+E22)/(1+Inputs!E246)-1</f>
        <v>0.018049793710776862</v>
      </c>
      <c r="F21" s="25">
        <f>(1+F22)/(1+Inputs!F246)-1</f>
        <v>-0.009280988346489605</v>
      </c>
      <c r="G21" s="25">
        <f>(1+G22)/(1+Inputs!G246)-1</f>
        <v>0.00657759565852678</v>
      </c>
      <c r="H21" s="26">
        <f>H15</f>
        <v>0</v>
      </c>
    </row>
    <row r="22">
      <c r="B22" s="6" t="s">
        <v>36</v>
      </c>
      <c r="C22" s="25">
        <f>C18/Inputs!C235-1</f>
        <v>0.10751750825329665</v>
      </c>
      <c r="D22" s="25">
        <f>D18/Inputs!D235-1</f>
        <v>0.07165853539676581</v>
      </c>
      <c r="E22" s="25">
        <f>E18/Inputs!E235-1</f>
        <v>0.11985477308185466</v>
      </c>
      <c r="F22" s="25">
        <f>F18/Inputs!F235-1</f>
        <v>0.06997653258579128</v>
      </c>
      <c r="G22" s="25">
        <f>G18/Inputs!G235-1</f>
        <v>0.0468406994848678</v>
      </c>
      <c r="H22" s="26">
        <f>H16</f>
        <v>0.005357499999999904</v>
      </c>
    </row>
    <row r="23">
      <c r="B23" s="6" t="s">
        <v>37</v>
      </c>
      <c r="C23" s="24"/>
      <c r="D23" s="24">
        <f>IFERROR(D18/C18-1,0)</f>
        <v>0.05056465047611547</v>
      </c>
      <c r="E23" s="24">
        <f>IFERROR(E18/D18-1,0)</f>
        <v>-0.05448078411842605</v>
      </c>
      <c r="F23" s="24">
        <f>IFERROR(F18/E18-1,0)</f>
        <v>0.049898129484348575</v>
      </c>
      <c r="G23" s="24"/>
      <c r="H23" s="26">
        <f>H18/F18-1</f>
        <v>-0.03599293415330462</v>
      </c>
    </row>
    <row r="24">
      <c r="B24" s="6" t="s">
        <v>45</v>
      </c>
      <c r="C24" s="25">
        <f>IFERROR(C18/'Revenue summary'!C10,0)</f>
        <v>0.14750793634556436</v>
      </c>
      <c r="D24" s="25">
        <f>IFERROR(D18/'Revenue summary'!D10,0)</f>
        <v>0.14549220005735744</v>
      </c>
      <c r="E24" s="25">
        <f>IFERROR(E18/'Revenue summary'!E10,0)</f>
        <v>0.1428875842063535</v>
      </c>
      <c r="F24" s="25">
        <f>IFERROR(F18/'Revenue summary'!F10,0)</f>
        <v>0.14461497892098704</v>
      </c>
      <c r="G24" s="25">
        <f>IFERROR(G18/'Revenue summary'!G10,0)</f>
        <v>0.14313016939121176</v>
      </c>
      <c r="H24" s="28">
        <f>IFERROR(H18/'Revenue summary'!H10,0)</f>
        <v>0.14537446595231251</v>
      </c>
    </row>
    <row r="25">
      <c r="B25" s="6" t="s">
        <v>76</v>
      </c>
      <c r="C25" s="1"/>
      <c r="D25" s="1">
        <f>D18-C18</f>
        <v>131.2449999999999</v>
      </c>
      <c r="E25" s="1">
        <f>E18-D18</f>
        <v>-148.55999999999995</v>
      </c>
      <c r="F25" s="1">
        <f>F18-E18</f>
        <v>128.65099999999984</v>
      </c>
      <c r="G25" s="1"/>
      <c r="H25" s="10">
        <f>H18-F18</f>
        <v>-97.43013728999995</v>
      </c>
    </row>
    <row r="26">
      <c r="B26" s="6" t="s">
        <v>77</v>
      </c>
      <c r="C26" s="1"/>
      <c r="D26" s="14">
        <f>Inputs!D98</f>
        <v>1680.353</v>
      </c>
      <c r="E26" s="14">
        <f>Inputs!E98</f>
        <v>1620.452</v>
      </c>
      <c r="F26" s="14">
        <f>Inputs!F98</f>
        <v>1668.328</v>
      </c>
      <c r="G26" s="1"/>
      <c r="H26" s="19">
        <f>H18*Inputs!H198</f>
        <v>1591.7912562531</v>
      </c>
    </row>
    <row r="27">
      <c r="B27" s="6" t="s">
        <v>78</v>
      </c>
      <c r="C27" s="24"/>
      <c r="D27" s="24"/>
      <c r="E27" s="24"/>
      <c r="F27" s="24"/>
      <c r="G27" s="24"/>
      <c r="H27" s="26"/>
    </row>
    <row r="28">
      <c r="B28" s="6" t="s">
        <v>79</v>
      </c>
      <c r="C28" s="23"/>
      <c r="D28" s="23"/>
      <c r="E28" s="23">
        <f>E26-D26</f>
        <v>-59.90100000000007</v>
      </c>
      <c r="F28" s="23">
        <f>F26-E26</f>
        <v>47.875999999999976</v>
      </c>
      <c r="G28" s="23"/>
      <c r="H28" s="32">
        <f>H26-F26</f>
        <v>-76.5367437468999</v>
      </c>
    </row>
    <row r="29">
      <c r="B29" s="6" t="s">
        <v>80</v>
      </c>
      <c r="C29" s="24" t="str">
        <f>IF(ISNUMBER(C26),C26/C18,"")</f>
        <v/>
      </c>
      <c r="D29" s="24">
        <f>IF(ISNUMBER(D26),D26/D18,"")</f>
        <v>0.6162287899552338</v>
      </c>
      <c r="E29" s="24">
        <f>IF(ISNUMBER(E26),E26/E18,"")</f>
        <v>0.6285028777014692</v>
      </c>
      <c r="F29" s="24">
        <f>IF(ISNUMBER(F26),F26/F18,"")</f>
        <v>0.6163187440799963</v>
      </c>
      <c r="G29" s="24" t="str">
        <f>IF(ISNUMBER(G26),G26/G18,"")</f>
        <v/>
      </c>
      <c r="H29" s="26">
        <f>IF(ISNUMBER(H26),H26/H18,"")</f>
        <v>0.61</v>
      </c>
    </row>
    <row r="30">
      <c r="B30" s="6" t="s">
        <v>81</v>
      </c>
      <c r="C30" s="23"/>
      <c r="D30" s="27"/>
      <c r="E30" s="23">
        <f>(E29-D29)*10000</f>
        <v>122.74087746235396</v>
      </c>
      <c r="F30" s="23">
        <f>(F29-E29)*10000</f>
        <v>-121.84133621472859</v>
      </c>
      <c r="G30" s="23"/>
      <c r="H30" s="32">
        <f>(H29-F29)*10000</f>
        <v>-63.1874407999633</v>
      </c>
    </row>
    <row r="31">
      <c r="B31" s="6" t="s">
        <v>82</v>
      </c>
      <c r="C31" s="23"/>
      <c r="D31" s="27">
        <f>Inputs!D101</f>
        <v>479.486</v>
      </c>
      <c r="E31" s="27">
        <f>Inputs!E101</f>
        <v>483.342</v>
      </c>
      <c r="F31" s="27">
        <f>Inputs!F101</f>
        <v>508.993</v>
      </c>
      <c r="G31" s="23"/>
      <c r="H31" s="30">
        <f>H18*Inputs!H201</f>
        <v>443.6139566607</v>
      </c>
    </row>
    <row r="32">
      <c r="B32" s="6" t="s">
        <v>83</v>
      </c>
      <c r="C32" s="24"/>
      <c r="D32" s="24"/>
      <c r="E32" s="24"/>
      <c r="F32" s="24"/>
      <c r="G32" s="24"/>
      <c r="H32" s="26"/>
    </row>
    <row r="33">
      <c r="B33" s="6" t="s">
        <v>84</v>
      </c>
      <c r="C33" s="1"/>
      <c r="D33" s="1"/>
      <c r="E33" s="1">
        <f>E31-D31</f>
        <v>3.8559999999999945</v>
      </c>
      <c r="F33" s="1">
        <f>F31-E31</f>
        <v>25.65100000000001</v>
      </c>
      <c r="G33" s="1"/>
      <c r="H33" s="10">
        <f>H31-F31</f>
        <v>-65.37904333929998</v>
      </c>
    </row>
    <row r="34">
      <c r="B34" s="6" t="s">
        <v>85</v>
      </c>
      <c r="C34" s="24" t="str">
        <f>IF(ISNUMBER(C31),C31/C18,"")</f>
        <v/>
      </c>
      <c r="D34" s="24">
        <f>IF(ISNUMBER(D31),D31/D18,"")</f>
        <v>0.17583988458405775</v>
      </c>
      <c r="E34" s="24">
        <f>IF(ISNUMBER(E31),E31/E18,"")</f>
        <v>0.18746734732900666</v>
      </c>
      <c r="F34" s="24">
        <f>IF(ISNUMBER(F31),F31/F18,"")</f>
        <v>0.18803372388733486</v>
      </c>
      <c r="G34" s="24" t="str">
        <f>IF(ISNUMBER(G31),G31/G18,"")</f>
        <v/>
      </c>
      <c r="H34" s="26">
        <f>IF(ISNUMBER(H31),H31/H18,"")</f>
        <v>0.17</v>
      </c>
    </row>
    <row r="35">
      <c r="B35" s="6" t="s">
        <v>86</v>
      </c>
      <c r="C35" s="23"/>
      <c r="D35" s="23"/>
      <c r="E35" s="23">
        <f>(E34-D34)*10000</f>
        <v>116.27462744948913</v>
      </c>
      <c r="F35" s="23">
        <f>(F34-E34)*10000</f>
        <v>5.6637655832819656</v>
      </c>
      <c r="G35" s="23"/>
      <c r="H35" s="32">
        <f>(H34-F34)*10000</f>
        <v>-180.33723887334847</v>
      </c>
    </row>
    <row r="36">
      <c r="B36" s="6" t="s">
        <v>87</v>
      </c>
      <c r="C36" s="23"/>
      <c r="D36" s="27">
        <f>Inputs!D104</f>
        <v>50.141</v>
      </c>
      <c r="E36" s="27">
        <f>Inputs!E104</f>
        <v>50.738</v>
      </c>
      <c r="F36" s="27">
        <f>Inputs!F104</f>
        <v>56.409</v>
      </c>
      <c r="G36" s="23"/>
      <c r="H36" s="30">
        <f>H18*Inputs!H204</f>
        <v>52.1898772542</v>
      </c>
    </row>
    <row r="37">
      <c r="B37" s="6" t="s">
        <v>88</v>
      </c>
      <c r="C37" s="24"/>
      <c r="D37" s="24"/>
      <c r="E37" s="24"/>
      <c r="F37" s="24"/>
      <c r="G37" s="24"/>
      <c r="H37" s="26"/>
    </row>
    <row r="38">
      <c r="B38" s="6" t="s">
        <v>89</v>
      </c>
      <c r="C38" s="1"/>
      <c r="D38" s="14"/>
      <c r="E38" s="1">
        <f>E36-D36</f>
        <v>0.5970000000000013</v>
      </c>
      <c r="F38" s="1">
        <f>F36-E36</f>
        <v>5.670999999999999</v>
      </c>
      <c r="G38" s="1"/>
      <c r="H38" s="10">
        <f>H36-F36</f>
        <v>-4.2191227458</v>
      </c>
    </row>
    <row r="39">
      <c r="B39" s="6" t="s">
        <v>90</v>
      </c>
      <c r="C39" s="24" t="str">
        <f>IF(ISNUMBER(C36),C36/C18,"")</f>
        <v/>
      </c>
      <c r="D39" s="24">
        <f>IF(ISNUMBER(D36),D36/D18,"")</f>
        <v>0.01838799809155896</v>
      </c>
      <c r="E39" s="24">
        <f>IF(ISNUMBER(E36),E36/E18,"")</f>
        <v>0.019679064241839402</v>
      </c>
      <c r="F39" s="24">
        <f>IF(ISNUMBER(F36),F36/F18,"")</f>
        <v>0.020838782322665873</v>
      </c>
      <c r="G39" s="24" t="str">
        <f>IF(ISNUMBER(G36),G36/G18,"")</f>
        <v/>
      </c>
      <c r="H39" s="26">
        <f>IF(ISNUMBER(H36),H36/H18,"")</f>
        <v>0.02</v>
      </c>
    </row>
    <row r="40">
      <c r="B40" s="2" t="s">
        <v>91</v>
      </c>
      <c r="C40" s="31"/>
      <c r="D40" s="29"/>
      <c r="E40" s="29">
        <f>(E39-D39)*10000</f>
        <v>12.910661502804412</v>
      </c>
      <c r="F40" s="29">
        <f>(F39-E39)*10000</f>
        <v>11.59718080826471</v>
      </c>
      <c r="G40" s="31"/>
      <c r="H40" s="33">
        <f>(H39-F39)*10000</f>
        <v>-8.387823226658728</v>
      </c>
    </row>
    <row r="41">
      <c r="B41" s="6" t="s">
        <v>92</v>
      </c>
      <c r="C41" s="27">
        <f>Inputs!C262</f>
        <v>62.875</v>
      </c>
      <c r="D41" s="27">
        <f>Inputs!D107</f>
        <v>70.981</v>
      </c>
      <c r="E41" s="27">
        <f>Inputs!E112</f>
        <v>0</v>
      </c>
      <c r="F41" s="27">
        <f>Inputs!F112</f>
        <v>0</v>
      </c>
      <c r="G41" s="27">
        <f>Inputs!C262</f>
        <v>62.875</v>
      </c>
      <c r="H41" s="30">
        <f>Inputs!H229</f>
        <v>0</v>
      </c>
    </row>
    <row r="42">
      <c r="B42" s="6" t="s">
        <v>93</v>
      </c>
      <c r="C42" s="24"/>
      <c r="D42" s="24"/>
      <c r="E42" s="24"/>
      <c r="F42" s="24"/>
      <c r="G42" s="24"/>
      <c r="H42" s="26">
        <f>H41/C41-1</f>
        <v>-1</v>
      </c>
    </row>
    <row r="43">
      <c r="B43" s="2" t="s">
        <v>94</v>
      </c>
      <c r="C43" s="16">
        <f>Inputs!C95</f>
        <v>399.971</v>
      </c>
      <c r="D43" s="13">
        <f>D18-SUM(D26,D31,D36,D41)</f>
        <v>445.87199999999984</v>
      </c>
      <c r="E43" s="13">
        <f>E18-SUM(E26,E31,E36,E41)</f>
        <v>423.741</v>
      </c>
      <c r="F43" s="13">
        <f>F18-SUM(F26,F31,F36,F41)</f>
        <v>473.19399999999996</v>
      </c>
      <c r="G43" s="16">
        <f>Inputs!G95</f>
        <v>1810.332</v>
      </c>
      <c r="H43" s="12">
        <f>H18-SUM(H26,H31,H36,H41)</f>
        <v>521.8987725419997</v>
      </c>
    </row>
    <row r="44">
      <c r="B44" s="6" t="s">
        <v>95</v>
      </c>
      <c r="C44" s="24"/>
      <c r="D44" s="24"/>
      <c r="E44" s="24"/>
      <c r="F44" s="24"/>
      <c r="G44" s="24"/>
      <c r="H44" s="26">
        <f>H43/C43-1</f>
        <v>0.3048415323660958</v>
      </c>
    </row>
    <row r="45">
      <c r="B45" s="1" t="s">
        <v>96</v>
      </c>
      <c r="C45" s="23"/>
      <c r="D45" s="23">
        <f>D43-C43</f>
        <v>45.90099999999984</v>
      </c>
      <c r="E45" s="23">
        <f>E43-D43</f>
        <v>-22.130999999999858</v>
      </c>
      <c r="F45" s="23">
        <f>F43-E43</f>
        <v>49.452999999999975</v>
      </c>
      <c r="G45" s="23"/>
      <c r="H45" s="32">
        <f>H43-F43</f>
        <v>48.70477254199977</v>
      </c>
    </row>
    <row r="46">
      <c r="B46" s="1" t="s">
        <v>97</v>
      </c>
      <c r="C46" s="24">
        <f>C43/C18</f>
        <v>0.1540964898897668</v>
      </c>
      <c r="D46" s="24">
        <f>D43/D18</f>
        <v>0.1635127637079351</v>
      </c>
      <c r="E46" s="24">
        <f>E43/E18</f>
        <v>0.16435071072768476</v>
      </c>
      <c r="F46" s="24">
        <f>F43/F18</f>
        <v>0.17480874971000293</v>
      </c>
      <c r="G46" s="24">
        <f>G43/G18</f>
        <v>0.1815359638518878</v>
      </c>
      <c r="H46" s="26">
        <f>H43/H18</f>
        <v>0.1999999999999999</v>
      </c>
    </row>
    <row r="47">
      <c r="B47" s="1" t="s">
        <v>98</v>
      </c>
      <c r="C47" s="23"/>
      <c r="D47" s="23">
        <f>(D46-C46)*10000</f>
        <v>94.16273818168314</v>
      </c>
      <c r="E47" s="23">
        <f>(E46-D46)*10000</f>
        <v>8.37947019749652</v>
      </c>
      <c r="F47" s="23">
        <f>(F46-E46)*10000</f>
        <v>104.58038982318175</v>
      </c>
      <c r="G47" s="23"/>
      <c r="H47" s="32">
        <f>(H46-F46)*10000</f>
        <v>251.9125028999697</v>
      </c>
    </row>
    <row r="48">
      <c r="B48" s="1"/>
      <c r="C48" s="1"/>
      <c r="D48" s="1"/>
      <c r="E48" s="1"/>
      <c r="F48" s="1"/>
      <c r="G48" s="1"/>
      <c r="H48" s="1"/>
    </row>
    <row r="49">
      <c r="B49" s="1"/>
      <c r="C49" s="24"/>
      <c r="D49" s="24"/>
      <c r="E49" s="24"/>
      <c r="F49" s="24"/>
      <c r="G49" s="24"/>
      <c r="H49" s="24"/>
    </row>
    <row r="50">
      <c r="B50" s="1"/>
      <c r="C50" s="1"/>
      <c r="D50" s="1"/>
      <c r="E50" s="1"/>
      <c r="F50" s="1"/>
      <c r="G50" s="1"/>
      <c r="H50" s="1"/>
    </row>
    <row r="51">
      <c r="B51" s="1"/>
      <c r="C51" s="24"/>
      <c r="D51" s="24"/>
      <c r="E51" s="24"/>
      <c r="F51" s="24"/>
      <c r="G51" s="24"/>
      <c r="H51" s="24"/>
    </row>
    <row r="52">
      <c r="B52" s="1"/>
      <c r="C52" s="1"/>
      <c r="D52" s="1"/>
      <c r="E52" s="1"/>
      <c r="F52" s="1"/>
      <c r="G52" s="1"/>
      <c r="H52" s="1"/>
    </row>
    <row r="53">
      <c r="B53" s="1"/>
      <c r="C53" s="1"/>
      <c r="D53" s="1"/>
      <c r="E53" s="1"/>
      <c r="F53" s="1"/>
      <c r="G53" s="1"/>
      <c r="H53" s="1"/>
    </row>
  </sheetData>
</worksheet>
</file>

<file path=xl/worksheets/sheet6.xml><?xml version="1.0" encoding="utf-8"?>
<worksheet xmlns="http://schemas.openxmlformats.org/spreadsheetml/2006/main" xmlns:r="http://schemas.openxmlformats.org/officeDocument/2006/relationships">
  <dimension ref="B2:H52"/>
  <sheetViews>
    <sheetView showGridLines="0" workbookViewId="0">
      <pane xSplit="2" ySplit="7" topLeftCell="C8" activePane="bottomRight" state="frozen"/>
    </sheetView>
  </sheetViews>
  <sheetFormatPr defaultColWidth="8.42578125" defaultRowHeight="15"/>
  <cols>
    <col min="1" max="1" width="3" customWidth="1"/>
    <col min="2" max="2" width="36" customWidth="1"/>
    <col min="3" max="8" width="13" customWidth="1"/>
    <col min="9" max="9" width="18" customWidth="1"/>
  </cols>
  <sheetData>
    <row r="2">
      <c r="B2" s="3" t="s">
        <v>0</v>
      </c>
      <c r="C2" s="3"/>
      <c r="D2" s="3"/>
      <c r="E2" s="3"/>
      <c r="F2" s="3"/>
      <c r="G2" s="3"/>
      <c r="H2" s="3"/>
    </row>
    <row r="3">
      <c r="B3" s="3" t="s">
        <v>101</v>
      </c>
      <c r="C3" s="3"/>
      <c r="D3" s="3"/>
      <c r="E3" s="3"/>
      <c r="F3" s="3"/>
      <c r="G3" s="3"/>
      <c r="H3" s="3"/>
    </row>
    <row r="4">
      <c r="B4" s="3" t="s">
        <v>2</v>
      </c>
      <c r="C4" s="3"/>
      <c r="D4" s="3"/>
      <c r="E4" s="3"/>
      <c r="F4" s="3"/>
      <c r="G4" s="3"/>
      <c r="H4" s="3"/>
    </row>
    <row r="5">
      <c r="B5" s="5" t="s">
        <v>3</v>
      </c>
      <c r="C5" s="5" t="s">
        <v>4</v>
      </c>
      <c r="D5" s="5" t="s">
        <v>5</v>
      </c>
      <c r="E5" s="5" t="s">
        <v>6</v>
      </c>
      <c r="F5" s="5" t="s">
        <v>7</v>
      </c>
      <c r="G5" s="5" t="s">
        <v>8</v>
      </c>
      <c r="H5" s="5" t="s">
        <v>9</v>
      </c>
    </row>
    <row r="6">
      <c r="B6" s="5" t="s">
        <v>10</v>
      </c>
      <c r="C6" s="9">
        <v>45900</v>
      </c>
      <c r="D6" s="9">
        <v>45991</v>
      </c>
      <c r="E6" s="9">
        <v>46081</v>
      </c>
      <c r="F6" s="9">
        <v>46173</v>
      </c>
      <c r="G6" s="9">
        <v>45900</v>
      </c>
      <c r="H6" s="9">
        <v>46265</v>
      </c>
    </row>
    <row r="7">
      <c r="B7" s="5" t="s">
        <v>11</v>
      </c>
      <c r="C7" s="5">
        <v>92</v>
      </c>
      <c r="D7" s="5">
        <v>91</v>
      </c>
      <c r="E7" s="5">
        <v>90</v>
      </c>
      <c r="F7" s="5">
        <v>92</v>
      </c>
      <c r="G7" s="5">
        <v>365</v>
      </c>
      <c r="H7" s="5">
        <v>92</v>
      </c>
    </row>
    <row r="8">
      <c r="B8" s="6"/>
      <c r="C8" s="6"/>
      <c r="D8" s="6"/>
      <c r="E8" s="6"/>
      <c r="F8" s="6"/>
      <c r="G8" s="6"/>
      <c r="H8" s="8"/>
    </row>
    <row r="9">
      <c r="B9" s="6"/>
      <c r="C9" s="6"/>
      <c r="D9" s="6"/>
      <c r="E9" s="6"/>
      <c r="F9" s="6"/>
      <c r="G9" s="6"/>
      <c r="H9" s="8"/>
    </row>
    <row r="10">
      <c r="B10" s="2" t="s">
        <v>102</v>
      </c>
      <c r="C10" s="16">
        <f>'Revenue summary'!C10</f>
        <v>17596.26</v>
      </c>
      <c r="D10" s="16">
        <f>'Revenue summary'!D10</f>
        <v>18742.125</v>
      </c>
      <c r="E10" s="16">
        <f>'Revenue summary'!E10</f>
        <v>18044.066</v>
      </c>
      <c r="F10" s="16">
        <f>'Revenue summary'!F10</f>
        <v>18718.144</v>
      </c>
      <c r="G10" s="16">
        <f>'Revenue summary'!G10</f>
        <v>69672.977</v>
      </c>
      <c r="H10" s="22">
        <f>'Revenue summary'!H10</f>
        <v>17950.152701272847</v>
      </c>
    </row>
    <row r="11">
      <c r="B11" s="6" t="s">
        <v>103</v>
      </c>
      <c r="C11" s="25">
        <f>'Revenue summary'!C11</f>
        <v>0.07256211957476788</v>
      </c>
      <c r="D11" s="25">
        <f>'Revenue summary'!D11</f>
        <v>0.05950294368792419</v>
      </c>
      <c r="E11" s="25">
        <f>'Revenue summary'!E11</f>
        <v>0.08312263521740793</v>
      </c>
      <c r="F11" s="25">
        <f>'Revenue summary'!F11</f>
        <v>0.055859668653951866</v>
      </c>
      <c r="G11" s="25">
        <f>'Revenue summary'!G11</f>
        <v>0.07360205326441216</v>
      </c>
      <c r="H11" s="26">
        <f>H10/C10-1</f>
        <v>0.020111813605439455</v>
      </c>
    </row>
    <row r="12">
      <c r="B12" s="6" t="s">
        <v>104</v>
      </c>
      <c r="C12" s="24"/>
      <c r="D12" s="24">
        <f>D10/C10-1</f>
        <v>0.06511980386741278</v>
      </c>
      <c r="E12" s="24">
        <f>E10/D10-1</f>
        <v>-0.03724545642503185</v>
      </c>
      <c r="F12" s="24">
        <f>F10/E10-1</f>
        <v>0.03735732290050375</v>
      </c>
      <c r="G12" s="24"/>
      <c r="H12" s="26">
        <f>H10/F10-1</f>
        <v>-0.04102924407073438</v>
      </c>
    </row>
    <row r="13">
      <c r="B13" s="6" t="s">
        <v>105</v>
      </c>
      <c r="C13" s="14">
        <f>Inputs!C109</f>
        <v>11985.326</v>
      </c>
      <c r="D13" s="14">
        <f>Inputs!D109</f>
        <v>12545.007</v>
      </c>
      <c r="E13" s="14">
        <f>Inputs!E109</f>
        <v>12584.705</v>
      </c>
      <c r="F13" s="14">
        <f>Inputs!F109</f>
        <v>12583.809</v>
      </c>
      <c r="G13" s="14">
        <f>Inputs!G109</f>
        <v>47437.576</v>
      </c>
      <c r="H13" s="19">
        <f>H10*Inputs!H205</f>
        <v>12242.004142268082</v>
      </c>
    </row>
    <row r="14">
      <c r="B14" s="2" t="s">
        <v>106</v>
      </c>
      <c r="C14" s="13">
        <f>C10-C13</f>
        <v>5610.933999999999</v>
      </c>
      <c r="D14" s="13">
        <f>D10-D13</f>
        <v>6197.118</v>
      </c>
      <c r="E14" s="13">
        <f>E10-E13</f>
        <v>5459.360999999999</v>
      </c>
      <c r="F14" s="13">
        <f>F10-F13</f>
        <v>6134.335000000001</v>
      </c>
      <c r="G14" s="13">
        <f>G10-G13</f>
        <v>22235.400999999998</v>
      </c>
      <c r="H14" s="12">
        <f>H10-H13</f>
        <v>5708.148559004765</v>
      </c>
    </row>
    <row r="15">
      <c r="B15" s="6" t="s">
        <v>107</v>
      </c>
      <c r="C15" s="24">
        <f>C14/C10</f>
        <v>0.31887082823281765</v>
      </c>
      <c r="D15" s="24">
        <f>D14/D10</f>
        <v>0.3306518337701835</v>
      </c>
      <c r="E15" s="24">
        <f>E14/E10</f>
        <v>0.302557139837551</v>
      </c>
      <c r="F15" s="24">
        <f>F14/F10</f>
        <v>0.32772132749913674</v>
      </c>
      <c r="G15" s="24">
        <f>G14/G10</f>
        <v>0.319139528084181</v>
      </c>
      <c r="H15" s="26">
        <f>H14/H10</f>
        <v>0.31799999999999995</v>
      </c>
    </row>
    <row r="16">
      <c r="B16" s="6" t="s">
        <v>108</v>
      </c>
      <c r="C16" s="23"/>
      <c r="D16" s="23">
        <f>(D15-C15)*10000</f>
        <v>117.8100553736583</v>
      </c>
      <c r="E16" s="23">
        <f>(E15-D15)*10000</f>
        <v>-280.94693932632475</v>
      </c>
      <c r="F16" s="23">
        <f>(F15-E15)*10000</f>
        <v>251.64187661585734</v>
      </c>
      <c r="G16" s="23"/>
      <c r="H16" s="32">
        <f>(H15-F15)*10000</f>
        <v>-97.2132749913679</v>
      </c>
    </row>
    <row r="17">
      <c r="B17" s="6" t="s">
        <v>109</v>
      </c>
      <c r="C17" s="14">
        <f>Inputs!C110</f>
        <v>1793.056</v>
      </c>
      <c r="D17" s="14">
        <f>Inputs!D110</f>
        <v>1874.932</v>
      </c>
      <c r="E17" s="14">
        <f>Inputs!E110</f>
        <v>1748.902</v>
      </c>
      <c r="F17" s="14">
        <f>Inputs!F110</f>
        <v>1811.028</v>
      </c>
      <c r="G17" s="14">
        <f>Inputs!G110</f>
        <v>7043.445</v>
      </c>
      <c r="H17" s="19">
        <f>H10*Inputs!H206</f>
        <v>1821.9404991791941</v>
      </c>
    </row>
    <row r="18">
      <c r="B18" s="6" t="s">
        <v>110</v>
      </c>
      <c r="C18" s="14">
        <f>Inputs!C111</f>
        <v>1152.863</v>
      </c>
      <c r="D18" s="14">
        <f>Inputs!D111</f>
        <v>1140.947</v>
      </c>
      <c r="E18" s="14">
        <f>Inputs!E111</f>
        <v>1216.912</v>
      </c>
      <c r="F18" s="14">
        <f>Inputs!F111</f>
        <v>1148.009</v>
      </c>
      <c r="G18" s="14">
        <f>Inputs!G111</f>
        <v>4350.968</v>
      </c>
      <c r="H18" s="10">
        <f>H14-H17-H20-H19</f>
        <v>1191.2238672153403</v>
      </c>
    </row>
    <row r="19">
      <c r="B19" s="6" t="s">
        <v>111</v>
      </c>
      <c r="C19" s="14">
        <f>Inputs!C112</f>
        <v>615.324</v>
      </c>
      <c r="D19" s="14">
        <f>Inputs!D112</f>
        <v>307.541</v>
      </c>
      <c r="E19" s="14">
        <f>Inputs!E112</f>
        <v>0</v>
      </c>
      <c r="F19" s="14">
        <f>Inputs!F112</f>
        <v>0</v>
      </c>
      <c r="G19" s="14">
        <f>Inputs!G112</f>
        <v>615.324</v>
      </c>
      <c r="H19" s="19">
        <f>Inputs!H229</f>
        <v>0</v>
      </c>
    </row>
    <row r="20">
      <c r="B20" s="2" t="s">
        <v>112</v>
      </c>
      <c r="C20" s="13">
        <f>C14-SUM(C17:C19)</f>
        <v>2049.6909999999993</v>
      </c>
      <c r="D20" s="13">
        <f>D14-SUM(D17:D19)</f>
        <v>2873.6980000000003</v>
      </c>
      <c r="E20" s="13">
        <f>E14-SUM(E17:E19)</f>
        <v>2493.5469999999987</v>
      </c>
      <c r="F20" s="13">
        <f>F14-SUM(F17:F19)</f>
        <v>3175.2980000000007</v>
      </c>
      <c r="G20" s="13">
        <f>G14-SUM(G17:G19)</f>
        <v>10225.663999999999</v>
      </c>
      <c r="H20" s="22">
        <f>SUM('Segment - Americas'!H43,'Segment - EMEA'!H43,'Segment - Asia Pacific'!H43)</f>
        <v>2694.9841926102304</v>
      </c>
    </row>
    <row r="21">
      <c r="B21" s="6" t="s">
        <v>113</v>
      </c>
      <c r="C21" s="24">
        <f>C20/C10</f>
        <v>0.11648446885872336</v>
      </c>
      <c r="D21" s="24">
        <f>D20/D10</f>
        <v>0.15332829121564392</v>
      </c>
      <c r="E21" s="24">
        <f>E20/E10</f>
        <v>0.13819207932402813</v>
      </c>
      <c r="F21" s="24">
        <f>F20/F10</f>
        <v>0.16963743841269735</v>
      </c>
      <c r="G21" s="24">
        <f>G20/G10</f>
        <v>0.14676657206710142</v>
      </c>
      <c r="H21" s="26">
        <f>H20/H10</f>
        <v>0.15013711790981749</v>
      </c>
    </row>
    <row r="22">
      <c r="B22" s="6" t="s">
        <v>114</v>
      </c>
      <c r="C22" s="23"/>
      <c r="D22" s="23">
        <f>(D21-C21)*10000</f>
        <v>368.4382235692056</v>
      </c>
      <c r="E22" s="23">
        <f>(E21-D21)*10000</f>
        <v>-151.36211891615793</v>
      </c>
      <c r="F22" s="23">
        <f>(F21-E21)*10000</f>
        <v>314.45359088669215</v>
      </c>
      <c r="G22" s="23"/>
      <c r="H22" s="32">
        <f>(H21-F21)*10000</f>
        <v>-195.00320502879865</v>
      </c>
    </row>
    <row r="23">
      <c r="B23" s="6" t="s">
        <v>115</v>
      </c>
      <c r="C23" s="14">
        <f>Inputs!C113</f>
        <v>105.197</v>
      </c>
      <c r="D23" s="14">
        <f>Inputs!D113</f>
        <v>106.223</v>
      </c>
      <c r="E23" s="14">
        <f>Inputs!E113</f>
        <v>78.536</v>
      </c>
      <c r="F23" s="14">
        <f>Inputs!F113</f>
        <v>75.069</v>
      </c>
      <c r="G23" s="14">
        <f>Inputs!G113</f>
        <v>336.324</v>
      </c>
      <c r="H23" s="19">
        <f>Inputs!H208</f>
        <v>75</v>
      </c>
    </row>
    <row r="24">
      <c r="B24" s="6" t="s">
        <v>116</v>
      </c>
      <c r="C24" s="14">
        <f>Inputs!C114</f>
        <v>-66.243</v>
      </c>
      <c r="D24" s="14">
        <f>Inputs!D114</f>
        <v>-65.365</v>
      </c>
      <c r="E24" s="14">
        <f>Inputs!E114</f>
        <v>-63.566</v>
      </c>
      <c r="F24" s="14">
        <f>Inputs!F114</f>
        <v>-70.645</v>
      </c>
      <c r="G24" s="14">
        <f>Inputs!G114</f>
        <v>-228.555</v>
      </c>
      <c r="H24" s="19">
        <f>Inputs!H209</f>
        <v>-72</v>
      </c>
    </row>
    <row r="25" ht="25.5">
      <c r="B25" s="17" t="s">
        <v>117</v>
      </c>
      <c r="C25" s="14">
        <f>Inputs!C115</f>
        <v>-13.41</v>
      </c>
      <c r="D25" s="14">
        <f>Inputs!D115</f>
        <v>53.114</v>
      </c>
      <c r="E25" s="14">
        <f>Inputs!E115</f>
        <v>-51.863</v>
      </c>
      <c r="F25" s="14">
        <f>Inputs!F115</f>
        <v>-29.894</v>
      </c>
      <c r="G25" s="14">
        <f>Inputs!G115</f>
        <v>-63.04</v>
      </c>
      <c r="H25" s="19">
        <f>Inputs!H210</f>
        <v>-30</v>
      </c>
    </row>
    <row r="26">
      <c r="B26" s="2" t="s">
        <v>118</v>
      </c>
      <c r="C26" s="13">
        <f>SUM(C20,C23:C25)</f>
        <v>2075.234999999999</v>
      </c>
      <c r="D26" s="13">
        <f>SUM(D20,D23:D25)</f>
        <v>2967.6700000000005</v>
      </c>
      <c r="E26" s="13">
        <f>SUM(E20,E23:E25)</f>
        <v>2456.6539999999986</v>
      </c>
      <c r="F26" s="13">
        <f>SUM(F20,F23:F25)</f>
        <v>3149.828000000001</v>
      </c>
      <c r="G26" s="13">
        <f>SUM(G20,G23:G25)</f>
        <v>10270.392999999998</v>
      </c>
      <c r="H26" s="12">
        <f>SUM(H20,H23:H25)</f>
        <v>2667.9841926102304</v>
      </c>
    </row>
    <row r="27">
      <c r="B27" s="6" t="s">
        <v>119</v>
      </c>
      <c r="C27" s="14">
        <f>Inputs!C116</f>
        <v>625.429</v>
      </c>
      <c r="D27" s="14">
        <f>Inputs!D116</f>
        <v>725.774</v>
      </c>
      <c r="E27" s="14">
        <f>Inputs!E116</f>
        <v>597.266</v>
      </c>
      <c r="F27" s="14">
        <f>Inputs!F116</f>
        <v>761.935</v>
      </c>
      <c r="G27" s="14">
        <f>Inputs!G116</f>
        <v>2437.993</v>
      </c>
      <c r="H27" s="19">
        <f>H26*Inputs!H207</f>
        <v>693.6758900786599</v>
      </c>
    </row>
    <row r="28">
      <c r="B28" s="6" t="s">
        <v>120</v>
      </c>
      <c r="C28" s="24">
        <f>C27/C26</f>
        <v>0.3013774343628554</v>
      </c>
      <c r="D28" s="24">
        <f>D27/D26</f>
        <v>0.24456021053553795</v>
      </c>
      <c r="E28" s="24">
        <f>E27/E26</f>
        <v>0.2431217420116957</v>
      </c>
      <c r="F28" s="24">
        <f>F27/F26</f>
        <v>0.24189733534656488</v>
      </c>
      <c r="G28" s="24">
        <f>G27/G26</f>
        <v>0.2373806922480961</v>
      </c>
      <c r="H28" s="26">
        <f>H27/H26</f>
        <v>0.26</v>
      </c>
    </row>
    <row r="29">
      <c r="B29" s="6" t="s">
        <v>121</v>
      </c>
      <c r="C29" s="23"/>
      <c r="D29" s="23">
        <f>(D28-C28)*10000</f>
        <v>-568.1722382731747</v>
      </c>
      <c r="E29" s="23">
        <f>(E28-D28)*10000</f>
        <v>-14.384685238422456</v>
      </c>
      <c r="F29" s="23">
        <f>(F28-E28)*10000</f>
        <v>-12.244066651308227</v>
      </c>
      <c r="G29" s="23"/>
      <c r="H29" s="32">
        <f>(H28-F28)*10000</f>
        <v>181.0266465343513</v>
      </c>
    </row>
    <row r="30">
      <c r="B30" s="2" t="s">
        <v>122</v>
      </c>
      <c r="C30" s="13">
        <f>C26-C27</f>
        <v>1449.8059999999991</v>
      </c>
      <c r="D30" s="13">
        <f>D26-D27</f>
        <v>2241.8960000000006</v>
      </c>
      <c r="E30" s="13">
        <f>E26-E27</f>
        <v>1859.3879999999986</v>
      </c>
      <c r="F30" s="13">
        <f>F26-F27</f>
        <v>2387.893000000001</v>
      </c>
      <c r="G30" s="13">
        <f>G26-G27</f>
        <v>7832.399999999998</v>
      </c>
      <c r="H30" s="12">
        <f>H26-H27</f>
        <v>1974.3083025315705</v>
      </c>
    </row>
    <row r="31">
      <c r="B31" s="6" t="s">
        <v>123</v>
      </c>
      <c r="C31" s="35">
        <v>-1.326</v>
      </c>
      <c r="D31" s="35">
        <v>-2.083</v>
      </c>
      <c r="E31" s="35">
        <v>-1.714</v>
      </c>
      <c r="F31" s="35">
        <v>-2.203</v>
      </c>
      <c r="G31" s="35">
        <v>-7.24</v>
      </c>
      <c r="H31" s="10">
        <f>-H34</f>
        <v>-2</v>
      </c>
    </row>
    <row r="32">
      <c r="B32" s="6" t="s">
        <v>124</v>
      </c>
      <c r="C32" s="14">
        <f>Inputs!C118-Inputs!C117-C31</f>
        <v>-34.517000000000074</v>
      </c>
      <c r="D32" s="14">
        <f>Inputs!D118-Inputs!D117-D31</f>
        <v>-28.252000000000038</v>
      </c>
      <c r="E32" s="14">
        <f>Inputs!E118-Inputs!E117-E31</f>
        <v>-32.43499999999989</v>
      </c>
      <c r="F32" s="14">
        <f>Inputs!F118-Inputs!F117-F31</f>
        <v>-46.70099999999999</v>
      </c>
      <c r="G32" s="14">
        <f>Inputs!G118-Inputs!G117-G31</f>
        <v>-146.72699999999963</v>
      </c>
      <c r="H32" s="19">
        <f>Inputs!H212</f>
        <v>-44</v>
      </c>
    </row>
    <row r="33" ht="25.5">
      <c r="B33" s="21" t="s">
        <v>125</v>
      </c>
      <c r="C33" s="13">
        <f>C30+SUM(C31:C32)</f>
        <v>1413.962999999999</v>
      </c>
      <c r="D33" s="13">
        <f>D30+SUM(D31:D32)</f>
        <v>2211.5610000000006</v>
      </c>
      <c r="E33" s="13">
        <f>E30+SUM(E31:E32)</f>
        <v>1825.2389999999987</v>
      </c>
      <c r="F33" s="13">
        <f>F30+SUM(F31:F32)</f>
        <v>2338.989000000001</v>
      </c>
      <c r="G33" s="13">
        <f>G30+SUM(G31:G32)</f>
        <v>7678.432999999998</v>
      </c>
      <c r="H33" s="12">
        <f>H30+SUM(H31:H32)</f>
        <v>1928.3083025315705</v>
      </c>
    </row>
    <row r="34" ht="25.5">
      <c r="B34" s="17" t="s">
        <v>126</v>
      </c>
      <c r="C34" s="1">
        <f>-C31</f>
        <v>1.326</v>
      </c>
      <c r="D34" s="1">
        <f>-D31</f>
        <v>2.083</v>
      </c>
      <c r="E34" s="1">
        <f>-E31</f>
        <v>1.714</v>
      </c>
      <c r="F34" s="1">
        <f>-F31</f>
        <v>2.203</v>
      </c>
      <c r="G34" s="1">
        <f>-G31</f>
        <v>7.24</v>
      </c>
      <c r="H34" s="19">
        <f>Inputs!H211</f>
        <v>2</v>
      </c>
    </row>
    <row r="35">
      <c r="B35" s="2" t="s">
        <v>127</v>
      </c>
      <c r="C35" s="13">
        <f>C33+C34</f>
        <v>1415.288999999999</v>
      </c>
      <c r="D35" s="13">
        <f>D33+D34</f>
        <v>2213.6440000000007</v>
      </c>
      <c r="E35" s="13">
        <f>E33+E34</f>
        <v>1826.9529999999986</v>
      </c>
      <c r="F35" s="13">
        <f>F33+F34</f>
        <v>2341.192000000001</v>
      </c>
      <c r="G35" s="13">
        <f>G33+G34</f>
        <v>7685.672999999998</v>
      </c>
      <c r="H35" s="12">
        <f>H33+H34</f>
        <v>1930.3083025315705</v>
      </c>
    </row>
    <row r="36">
      <c r="B36" s="6" t="s">
        <v>128</v>
      </c>
      <c r="C36" s="14">
        <f>'Share Count'!C10</f>
        <v>622.635814</v>
      </c>
      <c r="D36" s="14">
        <f>'Share Count'!D10</f>
        <v>619.307086</v>
      </c>
      <c r="E36" s="14">
        <f>'Share Count'!E10</f>
        <v>616.992111</v>
      </c>
      <c r="F36" s="14">
        <f>'Share Count'!F10</f>
        <v>612.213453</v>
      </c>
      <c r="G36" s="14">
        <f>'Share Count'!G10</f>
        <v>624.891649</v>
      </c>
      <c r="H36" s="19">
        <f>'Share Count'!H10</f>
        <v>609.713453</v>
      </c>
    </row>
    <row r="37">
      <c r="B37" s="6" t="s">
        <v>129</v>
      </c>
      <c r="C37" s="14">
        <f>'Share Count'!C15</f>
        <v>629.418129</v>
      </c>
      <c r="D37" s="14">
        <f>'Share Count'!D15</f>
        <v>626.04304</v>
      </c>
      <c r="E37" s="14">
        <f>'Share Count'!E15</f>
        <v>622.640891</v>
      </c>
      <c r="F37" s="14">
        <f>'Share Count'!F15</f>
        <v>615.593409</v>
      </c>
      <c r="G37" s="14">
        <f>'Share Count'!G15</f>
        <v>632.435108</v>
      </c>
      <c r="H37" s="19">
        <f>'Share Count'!H15</f>
        <v>613.093409</v>
      </c>
    </row>
    <row r="38">
      <c r="B38" s="6" t="s">
        <v>130</v>
      </c>
      <c r="C38" s="42">
        <f>C33/C36</f>
        <v>2.2709310454152565</v>
      </c>
      <c r="D38" s="42">
        <f>D33/D36</f>
        <v>3.571024859870569</v>
      </c>
      <c r="E38" s="42">
        <f>E33/E36</f>
        <v>2.9582857988924895</v>
      </c>
      <c r="F38" s="42">
        <f>F33/F36</f>
        <v>3.8205449235693307</v>
      </c>
      <c r="G38" s="42">
        <f>G33/G36</f>
        <v>12.287623001983818</v>
      </c>
      <c r="H38" s="45">
        <f>H33/H36</f>
        <v>3.1626468024342094</v>
      </c>
    </row>
    <row r="39">
      <c r="B39" s="2" t="s">
        <v>131</v>
      </c>
      <c r="C39" s="7">
        <f>C35/C37</f>
        <v>2.2485672636226197</v>
      </c>
      <c r="D39" s="7">
        <f>D35/D37</f>
        <v>3.5359294146932783</v>
      </c>
      <c r="E39" s="7">
        <f>E35/E37</f>
        <v>2.934200156796317</v>
      </c>
      <c r="F39" s="7">
        <f>F35/F37</f>
        <v>3.8031466318054763</v>
      </c>
      <c r="G39" s="7">
        <f>G35/G37</f>
        <v>12.152508459413353</v>
      </c>
      <c r="H39" s="20">
        <f>H35/H37</f>
        <v>3.1484734205184886</v>
      </c>
    </row>
    <row r="40">
      <c r="B40" s="6" t="s">
        <v>132</v>
      </c>
      <c r="C40" s="24"/>
      <c r="D40" s="24"/>
      <c r="E40" s="24"/>
      <c r="F40" s="24"/>
      <c r="G40" s="24"/>
      <c r="H40" s="26">
        <f>H39/C39-1</f>
        <v>0.4002131363622403</v>
      </c>
    </row>
    <row r="41">
      <c r="B41" s="6"/>
      <c r="C41" s="1"/>
      <c r="D41" s="1"/>
      <c r="E41" s="1"/>
      <c r="F41" s="1"/>
      <c r="G41" s="1"/>
      <c r="H41" s="10"/>
    </row>
    <row r="42" ht="25.5">
      <c r="B42" s="17" t="s">
        <v>133</v>
      </c>
      <c r="C42" s="1">
        <f>C19</f>
        <v>615.324</v>
      </c>
      <c r="D42" s="1">
        <f>D19</f>
        <v>307.541</v>
      </c>
      <c r="E42" s="1">
        <f>0*E10</f>
        <v>0</v>
      </c>
      <c r="F42" s="1">
        <f>0*F10</f>
        <v>0</v>
      </c>
      <c r="G42" s="1">
        <f>G19</f>
        <v>615.324</v>
      </c>
      <c r="H42" s="10">
        <f>H19</f>
        <v>0</v>
      </c>
    </row>
    <row r="43">
      <c r="B43" s="6" t="s">
        <v>134</v>
      </c>
      <c r="C43" s="14">
        <f>-Inputs!C182</f>
        <v>-125.913</v>
      </c>
      <c r="D43" s="14">
        <f>-Inputs!D182</f>
        <v>-57.232</v>
      </c>
      <c r="E43" s="1">
        <f>0*E10</f>
        <v>0</v>
      </c>
      <c r="F43" s="1">
        <f>0*F10</f>
        <v>0</v>
      </c>
      <c r="G43" s="14">
        <f>-Inputs!C182</f>
        <v>-125.913</v>
      </c>
      <c r="H43" s="10">
        <f>-H42*H28</f>
        <v>0</v>
      </c>
    </row>
    <row r="44">
      <c r="B44" s="6" t="s">
        <v>135</v>
      </c>
      <c r="C44" s="1">
        <f>0*C10</f>
        <v>0</v>
      </c>
      <c r="D44" s="1">
        <f>0*D10</f>
        <v>0</v>
      </c>
      <c r="E44" s="1">
        <f>0*E10</f>
        <v>0</v>
      </c>
      <c r="F44" s="1">
        <f>0*F10</f>
        <v>0</v>
      </c>
      <c r="G44" s="1">
        <f>0*G10</f>
        <v>0</v>
      </c>
      <c r="H44" s="19">
        <f>Inputs!H230</f>
        <v>0</v>
      </c>
    </row>
    <row r="45">
      <c r="B45" s="2" t="s">
        <v>136</v>
      </c>
      <c r="C45" s="13">
        <f>C35+SUM(C42:C44)</f>
        <v>1904.699999999999</v>
      </c>
      <c r="D45" s="13">
        <f>D35+SUM(D42:D44)</f>
        <v>2463.953000000001</v>
      </c>
      <c r="E45" s="13">
        <f>E35+SUM(E42:E44)</f>
        <v>1826.9529999999986</v>
      </c>
      <c r="F45" s="13">
        <f>F35+SUM(F42:F44)</f>
        <v>2341.192000000001</v>
      </c>
      <c r="G45" s="13">
        <f>G35+SUM(G42:G44)</f>
        <v>8175.083999999998</v>
      </c>
      <c r="H45" s="12">
        <f>H35+SUM(H42:H44)</f>
        <v>1930.3083025315705</v>
      </c>
    </row>
    <row r="46">
      <c r="B46" s="2" t="s">
        <v>137</v>
      </c>
      <c r="C46" s="7">
        <f>C45/C37</f>
        <v>3.0261282798227103</v>
      </c>
      <c r="D46" s="7">
        <f>D45/D37</f>
        <v>3.9357565575683116</v>
      </c>
      <c r="E46" s="7">
        <f>E45/E37</f>
        <v>2.934200156796317</v>
      </c>
      <c r="F46" s="7">
        <f>F45/F37</f>
        <v>3.8031466318054763</v>
      </c>
      <c r="G46" s="7">
        <f>G45/G37</f>
        <v>12.926360185557563</v>
      </c>
      <c r="H46" s="20">
        <f>H45/H37</f>
        <v>3.1484734205184886</v>
      </c>
    </row>
    <row r="47">
      <c r="B47" s="6" t="s">
        <v>138</v>
      </c>
      <c r="C47" s="42">
        <f>C46-(C39+SUM(C42:C44)/C37)</f>
        <v>0</v>
      </c>
      <c r="D47" s="42">
        <f>D46-(D39+SUM(D42:D44)/D37)</f>
        <v>0</v>
      </c>
      <c r="E47" s="42">
        <f>E46-(E39+SUM(E42:E44)/E37)</f>
        <v>0</v>
      </c>
      <c r="F47" s="42">
        <f>F46-(F39+SUM(F42:F44)/F37)</f>
        <v>0</v>
      </c>
      <c r="G47" s="42">
        <f>G46-(G39+SUM(G42:G44)/G37)</f>
        <v>0</v>
      </c>
      <c r="H47" s="45">
        <f>H46-(H39+SUM(H42:H44)/H37)</f>
        <v>0</v>
      </c>
    </row>
    <row r="49">
      <c r="B49" s="42" t="s">
        <v>139</v>
      </c>
      <c r="C49" s="44">
        <f>Inputs!F13</f>
        <v>2.25</v>
      </c>
      <c r="D49" s="44">
        <f>Inputs!F14</f>
        <v>3.54</v>
      </c>
      <c r="E49" s="44">
        <f>Inputs!F15</f>
        <v>2.93</v>
      </c>
      <c r="F49" s="44">
        <f>Inputs!F16</f>
        <v>3.8</v>
      </c>
      <c r="G49" s="42"/>
      <c r="H49" s="42"/>
    </row>
    <row r="50">
      <c r="B50" s="42" t="s">
        <v>140</v>
      </c>
      <c r="C50" s="44">
        <f>Inputs!D13</f>
        <v>3.03</v>
      </c>
      <c r="D50" s="44">
        <f>Inputs!D14</f>
        <v>3.94</v>
      </c>
      <c r="E50" s="44">
        <f>Inputs!D15</f>
        <v>2.93</v>
      </c>
      <c r="F50" s="44">
        <f>Inputs!D16</f>
        <v>3.8</v>
      </c>
      <c r="G50" s="42"/>
      <c r="H50" s="42"/>
    </row>
    <row r="51" ht="25.5">
      <c r="B51" s="46" t="s">
        <v>141</v>
      </c>
      <c r="C51" s="42">
        <f>C39-C49</f>
        <v>-0.0014327363773802837</v>
      </c>
      <c r="D51" s="42">
        <f>D39-D49</f>
        <v>-0.0040705853067217745</v>
      </c>
      <c r="E51" s="42">
        <f>E39-E49</f>
        <v>0.004200156796316801</v>
      </c>
      <c r="F51" s="42">
        <f>F39-F49</f>
        <v>0.003146631805476474</v>
      </c>
      <c r="G51" s="42"/>
      <c r="H51" s="42"/>
    </row>
    <row r="52" ht="25.5">
      <c r="B52" s="46" t="s">
        <v>142</v>
      </c>
      <c r="C52" s="42">
        <f>C46-C50</f>
        <v>-0.0038717201772895393</v>
      </c>
      <c r="D52" s="42">
        <f>D46-D50</f>
        <v>-0.004243442431688393</v>
      </c>
      <c r="E52" s="42">
        <f>E46-E50</f>
        <v>0.004200156796316801</v>
      </c>
      <c r="F52" s="42">
        <f>F46-F50</f>
        <v>0.003146631805476474</v>
      </c>
      <c r="G52" s="42"/>
      <c r="H52" s="42"/>
    </row>
  </sheetData>
</worksheet>
</file>

<file path=xl/worksheets/sheet7.xml><?xml version="1.0" encoding="utf-8"?>
<worksheet xmlns="http://schemas.openxmlformats.org/spreadsheetml/2006/main" xmlns:r="http://schemas.openxmlformats.org/officeDocument/2006/relationships">
  <dimension ref="B2:H44"/>
  <sheetViews>
    <sheetView showGridLines="0" workbookViewId="0">
      <pane xSplit="2" ySplit="7" topLeftCell="C8" activePane="bottomRight" state="frozen"/>
    </sheetView>
  </sheetViews>
  <sheetFormatPr defaultColWidth="8.42578125" defaultRowHeight="15"/>
  <cols>
    <col min="1" max="1" width="3" customWidth="1"/>
    <col min="2" max="2" width="36" customWidth="1"/>
    <col min="3" max="8" width="13" customWidth="1"/>
    <col min="9" max="9" width="18" customWidth="1"/>
  </cols>
  <sheetData>
    <row r="2">
      <c r="B2" s="3" t="s">
        <v>0</v>
      </c>
      <c r="C2" s="3"/>
      <c r="D2" s="3"/>
      <c r="E2" s="3"/>
      <c r="F2" s="3"/>
      <c r="G2" s="3"/>
      <c r="H2" s="3"/>
    </row>
    <row r="3">
      <c r="B3" s="3" t="s">
        <v>143</v>
      </c>
      <c r="C3" s="3"/>
      <c r="D3" s="3"/>
      <c r="E3" s="3"/>
      <c r="F3" s="3"/>
      <c r="G3" s="3"/>
      <c r="H3" s="3"/>
    </row>
    <row r="4">
      <c r="B4" s="3" t="s">
        <v>2</v>
      </c>
      <c r="C4" s="3"/>
      <c r="D4" s="3"/>
      <c r="E4" s="3"/>
      <c r="F4" s="3"/>
      <c r="G4" s="3"/>
      <c r="H4" s="3"/>
    </row>
    <row r="5">
      <c r="B5" s="5" t="s">
        <v>3</v>
      </c>
      <c r="C5" s="5" t="s">
        <v>4</v>
      </c>
      <c r="D5" s="5" t="s">
        <v>5</v>
      </c>
      <c r="E5" s="5" t="s">
        <v>6</v>
      </c>
      <c r="F5" s="5" t="s">
        <v>7</v>
      </c>
      <c r="G5" s="5" t="s">
        <v>8</v>
      </c>
      <c r="H5" s="5" t="s">
        <v>9</v>
      </c>
    </row>
    <row r="6">
      <c r="B6" s="5" t="s">
        <v>10</v>
      </c>
      <c r="C6" s="9">
        <v>45900</v>
      </c>
      <c r="D6" s="9">
        <v>45991</v>
      </c>
      <c r="E6" s="9">
        <v>46081</v>
      </c>
      <c r="F6" s="9">
        <v>46173</v>
      </c>
      <c r="G6" s="9">
        <v>45900</v>
      </c>
      <c r="H6" s="9">
        <v>46265</v>
      </c>
    </row>
    <row r="7">
      <c r="B7" s="5" t="s">
        <v>11</v>
      </c>
      <c r="C7" s="5">
        <v>92</v>
      </c>
      <c r="D7" s="5">
        <v>91</v>
      </c>
      <c r="E7" s="5">
        <v>90</v>
      </c>
      <c r="F7" s="5">
        <v>92</v>
      </c>
      <c r="G7" s="5">
        <v>365</v>
      </c>
      <c r="H7" s="5">
        <v>92</v>
      </c>
    </row>
    <row r="8">
      <c r="B8" s="6"/>
      <c r="C8" s="6"/>
      <c r="D8" s="6"/>
      <c r="E8" s="6"/>
      <c r="F8" s="6"/>
      <c r="G8" s="6"/>
      <c r="H8" s="8"/>
    </row>
    <row r="9">
      <c r="B9" s="6"/>
      <c r="C9" s="6"/>
      <c r="D9" s="6"/>
      <c r="E9" s="6"/>
      <c r="F9" s="6"/>
      <c r="G9" s="6"/>
      <c r="H9" s="8"/>
    </row>
    <row r="10">
      <c r="B10" s="6" t="s">
        <v>144</v>
      </c>
      <c r="C10" s="14">
        <f>Inputs!C121</f>
        <v>11478.729</v>
      </c>
      <c r="D10" s="14">
        <f>Inputs!D121</f>
        <v>9649.405</v>
      </c>
      <c r="E10" s="14">
        <f>Inputs!E121</f>
        <v>9399.183</v>
      </c>
      <c r="F10" s="14">
        <f>Inputs!F121</f>
        <v>10165.245</v>
      </c>
      <c r="G10" s="14">
        <f>Inputs!G121</f>
        <v>11478.729</v>
      </c>
      <c r="H10" s="19">
        <f>F10+'Cash Flow Statement'!H35</f>
        <v>9679.55330253157</v>
      </c>
    </row>
    <row r="11">
      <c r="B11" s="6" t="s">
        <v>145</v>
      </c>
      <c r="C11" s="14">
        <f>Inputs!C122</f>
        <v>5.945</v>
      </c>
      <c r="D11" s="14">
        <f>Inputs!D122</f>
        <v>5.906</v>
      </c>
      <c r="E11" s="14">
        <f>Inputs!E122</f>
        <v>6.413</v>
      </c>
      <c r="F11" s="14">
        <f>Inputs!F122</f>
        <v>6.322</v>
      </c>
      <c r="G11" s="14">
        <f>Inputs!G122</f>
        <v>5.945</v>
      </c>
      <c r="H11" s="10">
        <f>F11</f>
        <v>6.322</v>
      </c>
    </row>
    <row r="12">
      <c r="B12" s="6" t="s">
        <v>146</v>
      </c>
      <c r="C12" s="14">
        <f>Inputs!C123</f>
        <v>14985.073</v>
      </c>
      <c r="D12" s="14">
        <f>Inputs!D123</f>
        <v>16006.709</v>
      </c>
      <c r="E12" s="14">
        <f>Inputs!E123</f>
        <v>15737.519</v>
      </c>
      <c r="F12" s="14">
        <f>Inputs!F123</f>
        <v>16035.963</v>
      </c>
      <c r="G12" s="14">
        <f>Inputs!G123</f>
        <v>14985.073</v>
      </c>
      <c r="H12" s="19">
        <f>F12-'Cash Flow Statement'!H13</f>
        <v>16235.963</v>
      </c>
    </row>
    <row r="13">
      <c r="B13" s="6" t="s">
        <v>147</v>
      </c>
      <c r="C13" s="14">
        <f>Inputs!C124</f>
        <v>2430.942</v>
      </c>
      <c r="D13" s="14">
        <f>Inputs!D124</f>
        <v>2404.674</v>
      </c>
      <c r="E13" s="14">
        <f>Inputs!E124</f>
        <v>2864.223</v>
      </c>
      <c r="F13" s="14">
        <f>Inputs!F124</f>
        <v>2730.815</v>
      </c>
      <c r="G13" s="14">
        <f>Inputs!G124</f>
        <v>2430.942</v>
      </c>
      <c r="H13" s="10">
        <f>F13</f>
        <v>2730.815</v>
      </c>
    </row>
    <row r="14">
      <c r="B14" s="6" t="s">
        <v>148</v>
      </c>
      <c r="C14" s="14">
        <f>Inputs!C125</f>
        <v>180.362</v>
      </c>
      <c r="D14" s="14">
        <f>Inputs!D125</f>
        <v>188.147</v>
      </c>
      <c r="E14" s="14">
        <f>Inputs!E125</f>
        <v>271.701</v>
      </c>
      <c r="F14" s="14">
        <f>Inputs!F125</f>
        <v>333.577</v>
      </c>
      <c r="G14" s="14">
        <f>Inputs!G125</f>
        <v>180.362</v>
      </c>
      <c r="H14" s="10">
        <f>F14</f>
        <v>333.577</v>
      </c>
    </row>
    <row r="15">
      <c r="B15" s="6" t="s">
        <v>149</v>
      </c>
      <c r="C15" s="14">
        <f>Inputs!C126</f>
        <v>721.26</v>
      </c>
      <c r="D15" s="14">
        <f>Inputs!D126</f>
        <v>803</v>
      </c>
      <c r="E15" s="14">
        <f>Inputs!E126</f>
        <v>852.156</v>
      </c>
      <c r="F15" s="14">
        <f>Inputs!F126</f>
        <v>925.324</v>
      </c>
      <c r="G15" s="14">
        <f>Inputs!G126</f>
        <v>721.26</v>
      </c>
      <c r="H15" s="10">
        <f>F15</f>
        <v>925.324</v>
      </c>
    </row>
    <row r="16">
      <c r="B16" s="6" t="s">
        <v>150</v>
      </c>
      <c r="C16" s="14">
        <f>Inputs!C127</f>
        <v>1566.374</v>
      </c>
      <c r="D16" s="14">
        <f>Inputs!D127</f>
        <v>1558.316</v>
      </c>
      <c r="E16" s="14">
        <f>Inputs!E127</f>
        <v>1600.823</v>
      </c>
      <c r="F16" s="14">
        <f>Inputs!F127</f>
        <v>1619.981</v>
      </c>
      <c r="G16" s="14">
        <f>Inputs!G127</f>
        <v>1566.374</v>
      </c>
      <c r="H16" s="19">
        <f>F16-'Cash Flow Statement'!H16-'Cash Flow Statement'!H11</f>
        <v>1229.981</v>
      </c>
    </row>
    <row r="17">
      <c r="B17" s="6" t="s">
        <v>151</v>
      </c>
      <c r="C17" s="14">
        <f>Inputs!C128</f>
        <v>2740.321</v>
      </c>
      <c r="D17" s="14">
        <f>Inputs!D128</f>
        <v>2758.958</v>
      </c>
      <c r="E17" s="14">
        <f>Inputs!E128</f>
        <v>2910.831</v>
      </c>
      <c r="F17" s="14">
        <f>Inputs!F128</f>
        <v>2973.53</v>
      </c>
      <c r="G17" s="14">
        <f>Inputs!G128</f>
        <v>2740.321</v>
      </c>
      <c r="H17" s="10">
        <f>F17</f>
        <v>2973.53</v>
      </c>
    </row>
    <row r="18">
      <c r="B18" s="6" t="s">
        <v>152</v>
      </c>
      <c r="C18" s="14">
        <f>Inputs!C129</f>
        <v>22536.416</v>
      </c>
      <c r="D18" s="14">
        <f>Inputs!D129</f>
        <v>22621.663</v>
      </c>
      <c r="E18" s="14">
        <f>Inputs!E129</f>
        <v>24581.153</v>
      </c>
      <c r="F18" s="14">
        <f>Inputs!F129</f>
        <v>25322.8</v>
      </c>
      <c r="G18" s="14">
        <f>Inputs!G129</f>
        <v>22536.416</v>
      </c>
      <c r="H18" s="19">
        <f>F18-'Cash Flow Statement'!H17</f>
        <v>26622.8</v>
      </c>
    </row>
    <row r="19">
      <c r="B19" s="6" t="s">
        <v>153</v>
      </c>
      <c r="C19" s="14">
        <f>Inputs!C130</f>
        <v>1025.391</v>
      </c>
      <c r="D19" s="14">
        <f>Inputs!D130</f>
        <v>1045.856</v>
      </c>
      <c r="E19" s="14">
        <f>Inputs!E130</f>
        <v>1097.567</v>
      </c>
      <c r="F19" s="14">
        <f>Inputs!F130</f>
        <v>1136.76</v>
      </c>
      <c r="G19" s="14">
        <f>Inputs!G130</f>
        <v>1025.391</v>
      </c>
      <c r="H19" s="10">
        <f>F19</f>
        <v>1136.76</v>
      </c>
    </row>
    <row r="20">
      <c r="B20" s="6" t="s">
        <v>154</v>
      </c>
      <c r="C20" s="14">
        <f>Inputs!C131</f>
        <v>3791.215</v>
      </c>
      <c r="D20" s="14">
        <f>Inputs!D131</f>
        <v>3690.039</v>
      </c>
      <c r="E20" s="14">
        <f>Inputs!E131</f>
        <v>3570.872</v>
      </c>
      <c r="F20" s="14">
        <f>Inputs!F131</f>
        <v>3567.536</v>
      </c>
      <c r="G20" s="14">
        <f>Inputs!G131</f>
        <v>3791.215</v>
      </c>
      <c r="H20" s="10">
        <f>F20</f>
        <v>3567.536</v>
      </c>
    </row>
    <row r="21">
      <c r="B21" s="6" t="s">
        <v>155</v>
      </c>
      <c r="C21" s="14">
        <f>Inputs!C132</f>
        <v>2410.755</v>
      </c>
      <c r="D21" s="14">
        <f>Inputs!D132</f>
        <v>2331.615</v>
      </c>
      <c r="E21" s="14">
        <f>Inputs!E132</f>
        <v>2548.534</v>
      </c>
      <c r="F21" s="14">
        <f>Inputs!F132</f>
        <v>2498.992</v>
      </c>
      <c r="G21" s="14">
        <f>Inputs!G132</f>
        <v>2410.755</v>
      </c>
      <c r="H21" s="10">
        <f>F21</f>
        <v>2498.992</v>
      </c>
    </row>
    <row r="22">
      <c r="B22" s="6" t="s">
        <v>156</v>
      </c>
      <c r="C22" s="14">
        <f>Inputs!C133</f>
        <v>1522.114</v>
      </c>
      <c r="D22" s="14">
        <f>Inputs!D133</f>
        <v>1634.175</v>
      </c>
      <c r="E22" s="14">
        <f>Inputs!E133</f>
        <v>1623.241</v>
      </c>
      <c r="F22" s="14">
        <f>Inputs!F133</f>
        <v>1489.716</v>
      </c>
      <c r="G22" s="14">
        <f>Inputs!G133</f>
        <v>1522.114</v>
      </c>
      <c r="H22" s="10">
        <f>F22</f>
        <v>1489.716</v>
      </c>
    </row>
    <row r="23">
      <c r="B23" s="2" t="s">
        <v>157</v>
      </c>
      <c r="C23" s="13">
        <f>SUM(C10:C22)</f>
        <v>65394.897</v>
      </c>
      <c r="D23" s="13">
        <f>SUM(D10:D22)</f>
        <v>64698.463</v>
      </c>
      <c r="E23" s="13">
        <f>SUM(E10:E22)</f>
        <v>67064.216</v>
      </c>
      <c r="F23" s="13">
        <f>SUM(F10:F22)</f>
        <v>68806.561</v>
      </c>
      <c r="G23" s="13">
        <f>SUM(G10:G22)</f>
        <v>65394.897</v>
      </c>
      <c r="H23" s="12">
        <f>SUM(H10:H22)</f>
        <v>69430.86930253157</v>
      </c>
    </row>
    <row r="24">
      <c r="B24" s="6"/>
      <c r="C24" s="1"/>
      <c r="D24" s="1"/>
      <c r="E24" s="1"/>
      <c r="F24" s="1"/>
      <c r="G24" s="1"/>
      <c r="H24" s="10"/>
    </row>
    <row r="25">
      <c r="B25" s="6"/>
      <c r="C25" s="1"/>
      <c r="D25" s="1"/>
      <c r="E25" s="1"/>
      <c r="F25" s="1"/>
      <c r="G25" s="1"/>
      <c r="H25" s="10"/>
    </row>
    <row r="26" ht="36">
      <c r="B26" s="17" t="s">
        <v>158</v>
      </c>
      <c r="C26" s="14">
        <f>Inputs!C134</f>
        <v>114.484</v>
      </c>
      <c r="D26" s="14">
        <f>Inputs!D134</f>
        <v>113.676</v>
      </c>
      <c r="E26" s="14">
        <f>Inputs!E134</f>
        <v>114.063</v>
      </c>
      <c r="F26" s="14">
        <f>Inputs!F134</f>
        <v>112.816</v>
      </c>
      <c r="G26" s="14">
        <f>Inputs!G134</f>
        <v>114.484</v>
      </c>
      <c r="H26" s="10">
        <f>F26</f>
        <v>112.816</v>
      </c>
    </row>
    <row r="27">
      <c r="B27" s="6" t="s">
        <v>159</v>
      </c>
      <c r="C27" s="14">
        <f>Inputs!C135</f>
        <v>2695.589</v>
      </c>
      <c r="D27" s="14">
        <f>Inputs!D135</f>
        <v>2971.647</v>
      </c>
      <c r="E27" s="14">
        <f>Inputs!E135</f>
        <v>3116.735</v>
      </c>
      <c r="F27" s="14">
        <f>Inputs!F135</f>
        <v>3176.74</v>
      </c>
      <c r="G27" s="14">
        <f>Inputs!G135</f>
        <v>2695.589</v>
      </c>
      <c r="H27" s="10">
        <f>F27</f>
        <v>3176.74</v>
      </c>
    </row>
    <row r="28">
      <c r="B28" s="6" t="s">
        <v>160</v>
      </c>
      <c r="C28" s="14">
        <f>Inputs!C143</f>
        <v>6073.17</v>
      </c>
      <c r="D28" s="14">
        <f>Inputs!D143</f>
        <v>5494.732</v>
      </c>
      <c r="E28" s="14">
        <f>Inputs!E143</f>
        <v>6620.1</v>
      </c>
      <c r="F28" s="14">
        <f>Inputs!F143</f>
        <v>6529.286</v>
      </c>
      <c r="G28" s="14">
        <f>Inputs!G143</f>
        <v>6073.17</v>
      </c>
      <c r="H28" s="10">
        <f>F28</f>
        <v>6529.286</v>
      </c>
    </row>
    <row r="29" ht="25.5">
      <c r="B29" s="17" t="s">
        <v>161</v>
      </c>
      <c r="C29" s="14">
        <f>Inputs!C136</f>
        <v>8084.214</v>
      </c>
      <c r="D29" s="14">
        <f>Inputs!D136</f>
        <v>7937.214</v>
      </c>
      <c r="E29" s="14">
        <f>Inputs!E136</f>
        <v>7813.959</v>
      </c>
      <c r="F29" s="14">
        <f>Inputs!F136</f>
        <v>8701.843</v>
      </c>
      <c r="G29" s="14">
        <f>Inputs!G136</f>
        <v>8084.214</v>
      </c>
      <c r="H29" s="10">
        <f>F29</f>
        <v>8701.843</v>
      </c>
    </row>
    <row r="30">
      <c r="B30" s="6" t="s">
        <v>162</v>
      </c>
      <c r="C30" s="14">
        <f>Inputs!C145</f>
        <v>701.219</v>
      </c>
      <c r="D30" s="14">
        <f>Inputs!D145</f>
        <v>665.737</v>
      </c>
      <c r="E30" s="14">
        <f>Inputs!E145</f>
        <v>529.543</v>
      </c>
      <c r="F30" s="14">
        <f>Inputs!F145</f>
        <v>331.211</v>
      </c>
      <c r="G30" s="14">
        <f>Inputs!G145</f>
        <v>701.219</v>
      </c>
      <c r="H30" s="10">
        <f>F30</f>
        <v>331.211</v>
      </c>
    </row>
    <row r="31">
      <c r="B31" s="6" t="s">
        <v>163</v>
      </c>
      <c r="C31" s="14">
        <f>Inputs!C147</f>
        <v>729.003</v>
      </c>
      <c r="D31" s="14">
        <f>Inputs!D147</f>
        <v>729.244</v>
      </c>
      <c r="E31" s="14">
        <f>Inputs!E147</f>
        <v>754.699</v>
      </c>
      <c r="F31" s="14">
        <f>Inputs!F147</f>
        <v>750.922</v>
      </c>
      <c r="G31" s="14">
        <f>Inputs!G147</f>
        <v>729.003</v>
      </c>
      <c r="H31" s="10">
        <f>F31</f>
        <v>750.922</v>
      </c>
    </row>
    <row r="32">
      <c r="B32" s="6" t="s">
        <v>164</v>
      </c>
      <c r="C32" s="14">
        <f>Inputs!C137</f>
        <v>1954.418</v>
      </c>
      <c r="D32" s="14">
        <f>Inputs!D137</f>
        <v>1984.271</v>
      </c>
      <c r="E32" s="14">
        <f>Inputs!E137</f>
        <v>2008.341</v>
      </c>
      <c r="F32" s="14">
        <f>Inputs!F137</f>
        <v>2006.289</v>
      </c>
      <c r="G32" s="14">
        <f>Inputs!G137</f>
        <v>1954.418</v>
      </c>
      <c r="H32" s="10">
        <f>F32</f>
        <v>2006.289</v>
      </c>
    </row>
    <row r="33">
      <c r="B33" s="6" t="s">
        <v>165</v>
      </c>
      <c r="C33" s="14">
        <f>Inputs!C138</f>
        <v>5034.169</v>
      </c>
      <c r="D33" s="14">
        <f>Inputs!D138</f>
        <v>5031.646</v>
      </c>
      <c r="E33" s="14">
        <f>Inputs!E138</f>
        <v>5030.322</v>
      </c>
      <c r="F33" s="14">
        <f>Inputs!F138</f>
        <v>5029.449</v>
      </c>
      <c r="G33" s="14">
        <f>Inputs!G138</f>
        <v>5034.169</v>
      </c>
      <c r="H33" s="10">
        <f>F33</f>
        <v>5029.449</v>
      </c>
    </row>
    <row r="34">
      <c r="B34" s="6" t="s">
        <v>166</v>
      </c>
      <c r="C34" s="14">
        <f>Inputs!C144</f>
        <v>642.361</v>
      </c>
      <c r="D34" s="14">
        <f>Inputs!D144</f>
        <v>727.393</v>
      </c>
      <c r="E34" s="14">
        <f>Inputs!E144</f>
        <v>827.849</v>
      </c>
      <c r="F34" s="14">
        <f>Inputs!F144</f>
        <v>1038.253</v>
      </c>
      <c r="G34" s="14">
        <f>Inputs!G144</f>
        <v>642.361</v>
      </c>
      <c r="H34" s="10">
        <f>F34</f>
        <v>1038.253</v>
      </c>
    </row>
    <row r="35">
      <c r="B35" s="6" t="s">
        <v>167</v>
      </c>
      <c r="C35" s="14">
        <f>Inputs!C139</f>
        <v>1858.499</v>
      </c>
      <c r="D35" s="14">
        <f>Inputs!D139</f>
        <v>1828.303</v>
      </c>
      <c r="E35" s="14">
        <f>Inputs!E139</f>
        <v>1917.262</v>
      </c>
      <c r="F35" s="14">
        <f>Inputs!F139</f>
        <v>1910.231</v>
      </c>
      <c r="G35" s="14">
        <f>Inputs!G139</f>
        <v>1858.499</v>
      </c>
      <c r="H35" s="10">
        <f>F35</f>
        <v>1910.231</v>
      </c>
    </row>
    <row r="36">
      <c r="B36" s="6" t="s">
        <v>168</v>
      </c>
      <c r="C36" s="14">
        <f>Inputs!C140</f>
        <v>471.931</v>
      </c>
      <c r="D36" s="14">
        <f>Inputs!D140</f>
        <v>459.236</v>
      </c>
      <c r="E36" s="14">
        <f>Inputs!E140</f>
        <v>497.623</v>
      </c>
      <c r="F36" s="14">
        <f>Inputs!F140</f>
        <v>551.538</v>
      </c>
      <c r="G36" s="14">
        <f>Inputs!G140</f>
        <v>471.931</v>
      </c>
      <c r="H36" s="10">
        <f>F36</f>
        <v>551.538</v>
      </c>
    </row>
    <row r="37">
      <c r="B37" s="6" t="s">
        <v>169</v>
      </c>
      <c r="C37" s="14">
        <f>Inputs!C146</f>
        <v>1291.921</v>
      </c>
      <c r="D37" s="14">
        <f>Inputs!D146</f>
        <v>1329.11</v>
      </c>
      <c r="E37" s="14">
        <f>Inputs!E146</f>
        <v>1368.702</v>
      </c>
      <c r="F37" s="14">
        <f>Inputs!F146</f>
        <v>1396.944</v>
      </c>
      <c r="G37" s="14">
        <f>Inputs!G146</f>
        <v>1291.921</v>
      </c>
      <c r="H37" s="10">
        <f>F37</f>
        <v>1396.944</v>
      </c>
    </row>
    <row r="38">
      <c r="B38" s="6" t="s">
        <v>170</v>
      </c>
      <c r="C38" s="14">
        <f>Inputs!C148</f>
        <v>2305.21</v>
      </c>
      <c r="D38" s="14">
        <f>Inputs!D148</f>
        <v>2327.433</v>
      </c>
      <c r="E38" s="14">
        <f>Inputs!E148</f>
        <v>2448.283</v>
      </c>
      <c r="F38" s="14">
        <f>Inputs!F148</f>
        <v>2495.583</v>
      </c>
      <c r="G38" s="14">
        <f>Inputs!G148</f>
        <v>2305.21</v>
      </c>
      <c r="H38" s="10">
        <f>F38</f>
        <v>2495.583</v>
      </c>
    </row>
    <row r="39">
      <c r="B39" s="6" t="s">
        <v>171</v>
      </c>
      <c r="C39" s="14">
        <f>Inputs!C141</f>
        <v>1197.742</v>
      </c>
      <c r="D39" s="14">
        <f>Inputs!D141</f>
        <v>1176.539</v>
      </c>
      <c r="E39" s="14">
        <f>Inputs!E141</f>
        <v>1241.72</v>
      </c>
      <c r="F39" s="14">
        <f>Inputs!F141</f>
        <v>1267.743</v>
      </c>
      <c r="G39" s="14">
        <f>Inputs!G141</f>
        <v>1197.742</v>
      </c>
      <c r="H39" s="10">
        <f>F39</f>
        <v>1267.743</v>
      </c>
    </row>
    <row r="40">
      <c r="B40" s="2" t="s">
        <v>172</v>
      </c>
      <c r="C40" s="13">
        <f>SUM(C26:C39)</f>
        <v>33153.93</v>
      </c>
      <c r="D40" s="13">
        <f>SUM(D26:D39)</f>
        <v>32776.181</v>
      </c>
      <c r="E40" s="13">
        <f>SUM(E26:E39)</f>
        <v>34289.201</v>
      </c>
      <c r="F40" s="13">
        <f>SUM(F26:F39)</f>
        <v>35298.848</v>
      </c>
      <c r="G40" s="13">
        <f>SUM(G26:G39)</f>
        <v>33153.93</v>
      </c>
      <c r="H40" s="12">
        <f>SUM(H26:H39)</f>
        <v>35298.848</v>
      </c>
    </row>
    <row r="41">
      <c r="B41" s="6" t="s">
        <v>173</v>
      </c>
      <c r="C41" s="1">
        <f>0</f>
        <v>0</v>
      </c>
      <c r="D41" s="1">
        <f>0</f>
        <v>0</v>
      </c>
      <c r="E41" s="14">
        <f>Inputs!E149</f>
        <v>475.823</v>
      </c>
      <c r="F41" s="14">
        <f>Inputs!F149</f>
        <v>493.874</v>
      </c>
      <c r="G41" s="1">
        <f>0</f>
        <v>0</v>
      </c>
      <c r="H41" s="10">
        <f>F41</f>
        <v>493.874</v>
      </c>
    </row>
    <row r="42">
      <c r="B42" s="6"/>
      <c r="C42" s="1"/>
      <c r="D42" s="1"/>
      <c r="E42" s="1"/>
      <c r="F42" s="1"/>
      <c r="G42" s="1"/>
      <c r="H42" s="10"/>
    </row>
    <row r="43">
      <c r="B43" s="2" t="s">
        <v>174</v>
      </c>
      <c r="C43" s="16">
        <f>Inputs!C142</f>
        <v>32240.967</v>
      </c>
      <c r="D43" s="16">
        <f>Inputs!D142</f>
        <v>31922.282</v>
      </c>
      <c r="E43" s="16">
        <f>Inputs!E142</f>
        <v>32299.192</v>
      </c>
      <c r="F43" s="16">
        <f>Inputs!F142</f>
        <v>33013.839</v>
      </c>
      <c r="G43" s="16">
        <f>Inputs!G142</f>
        <v>32240.967</v>
      </c>
      <c r="H43" s="22">
        <f>F43+'Income Statement'!H30+'Cash Flow Statement'!H25+'Cash Flow Statement'!H23+'Cash Flow Statement'!H22+'Cash Flow Statement'!H12+'Cash Flow Statement'!H29</f>
        <v>33638.14730253157</v>
      </c>
    </row>
    <row r="44" ht="25.5">
      <c r="B44" s="21" t="s">
        <v>175</v>
      </c>
      <c r="C44" s="13">
        <f>C23-SUM(C40:C41)-C43</f>
        <v>0</v>
      </c>
      <c r="D44" s="13">
        <f>D23-SUM(D40:D41)-D43</f>
        <v>0</v>
      </c>
      <c r="E44" s="13">
        <f>E23-SUM(E40:E41)-E43</f>
        <v>0</v>
      </c>
      <c r="F44" s="13">
        <f>F23-SUM(F40:F41)-F43</f>
        <v>0</v>
      </c>
      <c r="G44" s="13">
        <f>G23-SUM(G40:G41)-G43</f>
        <v>0</v>
      </c>
      <c r="H44" s="12">
        <f>H23-SUM(H40:H41)-H43</f>
        <v>0</v>
      </c>
    </row>
  </sheetData>
</worksheet>
</file>

<file path=xl/worksheets/sheet8.xml><?xml version="1.0" encoding="utf-8"?>
<worksheet xmlns="http://schemas.openxmlformats.org/spreadsheetml/2006/main" xmlns:r="http://schemas.openxmlformats.org/officeDocument/2006/relationships">
  <dimension ref="B2:H38"/>
  <sheetViews>
    <sheetView showGridLines="0" workbookViewId="0">
      <pane xSplit="2" ySplit="7" topLeftCell="C8" activePane="bottomRight" state="frozen"/>
    </sheetView>
  </sheetViews>
  <sheetFormatPr defaultColWidth="8.42578125" defaultRowHeight="15"/>
  <cols>
    <col min="1" max="1" width="3" customWidth="1"/>
    <col min="2" max="2" width="36" customWidth="1"/>
    <col min="3" max="8" width="13" customWidth="1"/>
    <col min="9" max="9" width="18" customWidth="1"/>
  </cols>
  <sheetData>
    <row r="2">
      <c r="B2" s="3" t="s">
        <v>0</v>
      </c>
      <c r="C2" s="3"/>
      <c r="D2" s="3"/>
      <c r="E2" s="3"/>
      <c r="F2" s="3"/>
      <c r="G2" s="3"/>
      <c r="H2" s="3"/>
    </row>
    <row r="3">
      <c r="B3" s="3" t="s">
        <v>176</v>
      </c>
      <c r="C3" s="3"/>
      <c r="D3" s="3"/>
      <c r="E3" s="3"/>
      <c r="F3" s="3"/>
      <c r="G3" s="3"/>
      <c r="H3" s="3"/>
    </row>
    <row r="4">
      <c r="B4" s="3" t="s">
        <v>2</v>
      </c>
      <c r="C4" s="3"/>
      <c r="D4" s="3"/>
      <c r="E4" s="3"/>
      <c r="F4" s="3"/>
      <c r="G4" s="3"/>
      <c r="H4" s="3"/>
    </row>
    <row r="5">
      <c r="B5" s="5" t="s">
        <v>3</v>
      </c>
      <c r="C5" s="5" t="s">
        <v>4</v>
      </c>
      <c r="D5" s="5" t="s">
        <v>5</v>
      </c>
      <c r="E5" s="5" t="s">
        <v>6</v>
      </c>
      <c r="F5" s="5" t="s">
        <v>7</v>
      </c>
      <c r="G5" s="5" t="s">
        <v>8</v>
      </c>
      <c r="H5" s="5" t="s">
        <v>9</v>
      </c>
    </row>
    <row r="6">
      <c r="B6" s="5" t="s">
        <v>10</v>
      </c>
      <c r="C6" s="9">
        <v>45900</v>
      </c>
      <c r="D6" s="9">
        <v>45991</v>
      </c>
      <c r="E6" s="9">
        <v>46081</v>
      </c>
      <c r="F6" s="9">
        <v>46173</v>
      </c>
      <c r="G6" s="9">
        <v>45900</v>
      </c>
      <c r="H6" s="9">
        <v>46265</v>
      </c>
    </row>
    <row r="7">
      <c r="B7" s="5" t="s">
        <v>11</v>
      </c>
      <c r="C7" s="5">
        <v>92</v>
      </c>
      <c r="D7" s="5">
        <v>91</v>
      </c>
      <c r="E7" s="5">
        <v>90</v>
      </c>
      <c r="F7" s="5">
        <v>92</v>
      </c>
      <c r="G7" s="5">
        <v>365</v>
      </c>
      <c r="H7" s="5">
        <v>92</v>
      </c>
    </row>
    <row r="8">
      <c r="B8" s="6"/>
      <c r="C8" s="6"/>
      <c r="D8" s="6"/>
      <c r="E8" s="6"/>
      <c r="F8" s="6"/>
      <c r="G8" s="6"/>
      <c r="H8" s="8"/>
    </row>
    <row r="9">
      <c r="B9" s="6"/>
      <c r="C9" s="6"/>
      <c r="D9" s="6"/>
      <c r="E9" s="6"/>
      <c r="F9" s="6"/>
      <c r="G9" s="6"/>
      <c r="H9" s="8"/>
    </row>
    <row r="10">
      <c r="B10" s="6" t="s">
        <v>177</v>
      </c>
      <c r="C10" s="14">
        <f>SUM(Inputs!C150)</f>
        <v>1449.806</v>
      </c>
      <c r="D10" s="14">
        <f>SUM(Inputs!D150)</f>
        <v>2241.896</v>
      </c>
      <c r="E10" s="14">
        <f>SUM((Inputs!E150-Inputs!D150))</f>
        <v>1859.3879999999995</v>
      </c>
      <c r="F10" s="14">
        <f>SUM((Inputs!F150-Inputs!E150))</f>
        <v>2387.893</v>
      </c>
      <c r="G10" s="14">
        <f>SUM(Inputs!G150)</f>
        <v>7832.4</v>
      </c>
      <c r="H10" s="19">
        <f>'Income Statement'!H30</f>
        <v>1974.3083025315705</v>
      </c>
    </row>
    <row r="11">
      <c r="B11" s="6" t="s">
        <v>87</v>
      </c>
      <c r="C11" s="14">
        <f>SUM(Inputs!C151)</f>
        <v>758.932</v>
      </c>
      <c r="D11" s="14">
        <f>SUM(Inputs!D151)</f>
        <v>581.791</v>
      </c>
      <c r="E11" s="14">
        <f>SUM((Inputs!E151-Inputs!D151))</f>
        <v>585.4999999999999</v>
      </c>
      <c r="F11" s="14">
        <f>SUM((Inputs!F151-Inputs!E151))</f>
        <v>584.579</v>
      </c>
      <c r="G11" s="14">
        <f>SUM(Inputs!G151)</f>
        <v>2441.594</v>
      </c>
      <c r="H11" s="19">
        <f>Inputs!H217</f>
        <v>590</v>
      </c>
    </row>
    <row r="12">
      <c r="B12" s="6" t="s">
        <v>178</v>
      </c>
      <c r="C12" s="14">
        <f>SUM(Inputs!C152)</f>
        <v>439.547</v>
      </c>
      <c r="D12" s="14">
        <f>SUM(Inputs!D152)</f>
        <v>468.992</v>
      </c>
      <c r="E12" s="14">
        <f>SUM((Inputs!E152-Inputs!D152))</f>
        <v>713.386</v>
      </c>
      <c r="F12" s="14">
        <f>SUM((Inputs!F152-Inputs!E152))</f>
        <v>462.1400000000001</v>
      </c>
      <c r="G12" s="14">
        <f>SUM(Inputs!G152)</f>
        <v>2093.878</v>
      </c>
      <c r="H12" s="19">
        <f>Inputs!H218</f>
        <v>500</v>
      </c>
    </row>
    <row r="13">
      <c r="B13" s="6" t="s">
        <v>179</v>
      </c>
      <c r="C13" s="14">
        <f>Inputs!C153</f>
        <v>1265.862</v>
      </c>
      <c r="D13" s="14">
        <f>SUM(Inputs!D170,Inputs!D171,Inputs!D172,Inputs!D173,Inputs!D174,Inputs!D175,Inputs!D176,Inputs!D177,Inputs!D178)</f>
        <v>-1628.582</v>
      </c>
      <c r="E13" s="14">
        <f>SUM((Inputs!E170-Inputs!D170),(Inputs!E171-Inputs!D171),(Inputs!E172-Inputs!D172),(Inputs!E173-Inputs!D173),(Inputs!E174-Inputs!D174),(Inputs!E175-Inputs!D175),(Inputs!E176-Inputs!D176),(Inputs!E177-Inputs!D177),(Inputs!E178-Inputs!D178))</f>
        <v>659.3640000000001</v>
      </c>
      <c r="F13" s="14">
        <f>SUM((Inputs!F170-Inputs!E170),(Inputs!F171-Inputs!E171),(Inputs!F172-Inputs!E172),(Inputs!F173-Inputs!E173),(Inputs!F174-Inputs!E174),(Inputs!F175-Inputs!E175),(Inputs!F176-Inputs!E176),(Inputs!F177-Inputs!E177),(Inputs!F178-Inputs!E178))</f>
        <v>351.5999999999999</v>
      </c>
      <c r="G13" s="14">
        <f>Inputs!G153</f>
        <v>-893.473</v>
      </c>
      <c r="H13" s="19">
        <f>Inputs!H219</f>
        <v>-200</v>
      </c>
    </row>
    <row r="14">
      <c r="B14" s="2" t="s">
        <v>180</v>
      </c>
      <c r="C14" s="13">
        <f>SUM(C10:C13)</f>
        <v>3914.147</v>
      </c>
      <c r="D14" s="13">
        <f>SUM(D10:D13)</f>
        <v>1664.0970000000002</v>
      </c>
      <c r="E14" s="13">
        <f>SUM(E10:E13)</f>
        <v>3817.6379999999995</v>
      </c>
      <c r="F14" s="13">
        <f>SUM(F10:F13)</f>
        <v>3786.212</v>
      </c>
      <c r="G14" s="13">
        <f>SUM(G10:G13)</f>
        <v>11474.399</v>
      </c>
      <c r="H14" s="12">
        <f>SUM(H10:H13)</f>
        <v>2864.3083025315705</v>
      </c>
    </row>
    <row r="15">
      <c r="B15" s="6"/>
      <c r="C15" s="1"/>
      <c r="D15" s="1"/>
      <c r="E15" s="1"/>
      <c r="F15" s="1"/>
      <c r="G15" s="1"/>
      <c r="H15" s="10"/>
    </row>
    <row r="16">
      <c r="B16" s="6" t="s">
        <v>181</v>
      </c>
      <c r="C16" s="14">
        <f>SUM(Inputs!C155)</f>
        <v>-107.915</v>
      </c>
      <c r="D16" s="14">
        <f>SUM(Inputs!D155)</f>
        <v>-156.582</v>
      </c>
      <c r="E16" s="14">
        <f>SUM((Inputs!E155-Inputs!D155))</f>
        <v>-149.685</v>
      </c>
      <c r="F16" s="14">
        <f>SUM((Inputs!F155-Inputs!E155))</f>
        <v>-186.224</v>
      </c>
      <c r="G16" s="14">
        <f>SUM(Inputs!G155)</f>
        <v>-600.039</v>
      </c>
      <c r="H16" s="19">
        <f>Inputs!H220</f>
        <v>-200</v>
      </c>
    </row>
    <row r="17">
      <c r="B17" s="6" t="s">
        <v>182</v>
      </c>
      <c r="C17" s="14">
        <f>SUM(Inputs!C156)</f>
        <v>-681.76</v>
      </c>
      <c r="D17" s="14">
        <f>SUM(Inputs!D156)</f>
        <v>-373.794</v>
      </c>
      <c r="E17" s="14">
        <f>SUM((Inputs!E156-Inputs!D156))</f>
        <v>-1593.971</v>
      </c>
      <c r="F17" s="14">
        <f>SUM((Inputs!F156-Inputs!E156))</f>
        <v>-1036.238</v>
      </c>
      <c r="G17" s="14">
        <f>SUM(Inputs!G156)</f>
        <v>-1471.255</v>
      </c>
      <c r="H17" s="19">
        <f>Inputs!H221</f>
        <v>-1300</v>
      </c>
    </row>
    <row r="18">
      <c r="B18" s="6" t="s">
        <v>183</v>
      </c>
      <c r="C18" s="14">
        <f>SUM(Inputs!C157)</f>
        <v>14.086</v>
      </c>
      <c r="D18" s="14">
        <f>SUM(Inputs!D157)</f>
        <v>22.633</v>
      </c>
      <c r="E18" s="14">
        <f>SUM((Inputs!E157-Inputs!D157))</f>
        <v>0.34800000000000253</v>
      </c>
      <c r="F18" s="14">
        <f>SUM((Inputs!F157-Inputs!E157))</f>
        <v>13.673000000000002</v>
      </c>
      <c r="G18" s="14">
        <f>SUM(Inputs!G157)</f>
        <v>36.834</v>
      </c>
      <c r="H18" s="19">
        <f>Inputs!H254</f>
        <v>0</v>
      </c>
    </row>
    <row r="19">
      <c r="B19" s="6" t="s">
        <v>184</v>
      </c>
      <c r="C19" s="14">
        <f>SUM(Inputs!C158)</f>
        <v>4.299</v>
      </c>
      <c r="D19" s="14">
        <f>SUM(Inputs!D158)</f>
        <v>2.868</v>
      </c>
      <c r="E19" s="14">
        <f>SUM((Inputs!E158-Inputs!D158))</f>
        <v>2.4310000000000005</v>
      </c>
      <c r="F19" s="14">
        <f>SUM((Inputs!F158-Inputs!E158))</f>
        <v>2.2359999999999998</v>
      </c>
      <c r="G19" s="14">
        <f>SUM(Inputs!G158)</f>
        <v>14.81</v>
      </c>
      <c r="H19" s="19">
        <f>Inputs!H255</f>
        <v>0</v>
      </c>
    </row>
    <row r="20">
      <c r="B20" s="2" t="s">
        <v>185</v>
      </c>
      <c r="C20" s="13">
        <f>SUM(C16:C19)</f>
        <v>-771.29</v>
      </c>
      <c r="D20" s="13">
        <f>SUM(D16:D19)</f>
        <v>-504.875</v>
      </c>
      <c r="E20" s="13">
        <f>SUM(E16:E19)</f>
        <v>-1740.877</v>
      </c>
      <c r="F20" s="13">
        <f>SUM(F16:F19)</f>
        <v>-1206.5529999999999</v>
      </c>
      <c r="G20" s="13">
        <f>SUM(G16:G19)</f>
        <v>-2019.65</v>
      </c>
      <c r="H20" s="12">
        <f>SUM(H16:H19)</f>
        <v>-1500</v>
      </c>
    </row>
    <row r="21">
      <c r="B21" s="6"/>
      <c r="C21" s="1"/>
      <c r="D21" s="1"/>
      <c r="E21" s="1"/>
      <c r="F21" s="1"/>
      <c r="G21" s="1"/>
      <c r="H21" s="10"/>
    </row>
    <row r="22">
      <c r="B22" s="6" t="s">
        <v>186</v>
      </c>
      <c r="C22" s="14">
        <f>SUM(Inputs!C160)</f>
        <v>156.11</v>
      </c>
      <c r="D22" s="14">
        <f>SUM(Inputs!D179)</f>
        <v>466.199</v>
      </c>
      <c r="E22" s="14">
        <f>SUM((Inputs!E179-Inputs!D179))</f>
        <v>289.455</v>
      </c>
      <c r="F22" s="14">
        <f>SUM((Inputs!F179-Inputs!E179))</f>
        <v>452.12300000000005</v>
      </c>
      <c r="G22" s="14">
        <f>SUM(Inputs!G160)</f>
        <v>1353.753</v>
      </c>
      <c r="H22" s="19">
        <f>Inputs!H222</f>
        <v>200</v>
      </c>
    </row>
    <row r="23">
      <c r="B23" s="6" t="s">
        <v>187</v>
      </c>
      <c r="C23" s="14">
        <f>SUM(Inputs!C161)</f>
        <v>-473.888</v>
      </c>
      <c r="D23" s="14">
        <f>SUM(Inputs!D161)</f>
        <v>-2330.593</v>
      </c>
      <c r="E23" s="14">
        <f>SUM((Inputs!E161-Inputs!D161))</f>
        <v>-1679.0590000000002</v>
      </c>
      <c r="F23" s="14">
        <f>SUM((Inputs!F161-Inputs!E161))</f>
        <v>-1183.625</v>
      </c>
      <c r="G23" s="14">
        <f>SUM(Inputs!G161)</f>
        <v>-4619.497</v>
      </c>
      <c r="H23" s="19">
        <f>Inputs!H223</f>
        <v>-1000</v>
      </c>
    </row>
    <row r="24">
      <c r="B24" s="6" t="s">
        <v>188</v>
      </c>
      <c r="C24" s="14">
        <f>SUM(Inputs!C162)</f>
        <v>0</v>
      </c>
      <c r="D24" s="14">
        <f>SUM(Inputs!D180,Inputs!D181)</f>
        <v>0</v>
      </c>
      <c r="E24" s="14">
        <f>SUM((Inputs!E180-Inputs!D180),(Inputs!E181-Inputs!D181))</f>
        <v>0</v>
      </c>
      <c r="F24" s="14">
        <f>SUM((Inputs!F180-Inputs!E180),(Inputs!F181-Inputs!E181))</f>
        <v>0</v>
      </c>
      <c r="G24" s="14">
        <f>SUM(Inputs!G162)</f>
        <v>4129.2</v>
      </c>
      <c r="H24" s="19">
        <f>Inputs!H256</f>
        <v>0</v>
      </c>
    </row>
    <row r="25">
      <c r="B25" s="6" t="s">
        <v>189</v>
      </c>
      <c r="C25" s="14">
        <f>SUM(Inputs!C163)</f>
        <v>-921.725</v>
      </c>
      <c r="D25" s="14">
        <f>SUM(Inputs!D163)</f>
        <v>-1009.816</v>
      </c>
      <c r="E25" s="14">
        <f>SUM((Inputs!E163-Inputs!D163))</f>
        <v>-1007.6959999999999</v>
      </c>
      <c r="F25" s="14">
        <f>SUM((Inputs!F163-Inputs!E163))</f>
        <v>-995.3329999999999</v>
      </c>
      <c r="G25" s="14">
        <f>SUM(Inputs!G163)</f>
        <v>-3700.169</v>
      </c>
      <c r="H25" s="19">
        <f>Inputs!H224</f>
        <v>-1000</v>
      </c>
    </row>
    <row r="26">
      <c r="B26" s="6" t="s">
        <v>190</v>
      </c>
      <c r="C26" s="14">
        <f>SUM(Inputs!C164)</f>
        <v>-35.571</v>
      </c>
      <c r="D26" s="14">
        <f>SUM(Inputs!D164)</f>
        <v>-36.84</v>
      </c>
      <c r="E26" s="14">
        <f>SUM((Inputs!E164-Inputs!D164))</f>
        <v>-16.064999999999998</v>
      </c>
      <c r="F26" s="14">
        <f>SUM((Inputs!F164-Inputs!E164))</f>
        <v>-39.31</v>
      </c>
      <c r="G26" s="14">
        <f>SUM(Inputs!G164)</f>
        <v>-111.621</v>
      </c>
      <c r="H26" s="19">
        <f>Inputs!H225</f>
        <v>0</v>
      </c>
    </row>
    <row r="27">
      <c r="B27" s="2" t="s">
        <v>191</v>
      </c>
      <c r="C27" s="13">
        <f>SUM(C22:C26)</f>
        <v>-1275.074</v>
      </c>
      <c r="D27" s="13">
        <f>SUM(D22:D26)</f>
        <v>-2911.0499999999997</v>
      </c>
      <c r="E27" s="13">
        <f>SUM(E22:E26)</f>
        <v>-2413.3650000000002</v>
      </c>
      <c r="F27" s="13">
        <f>SUM(F22:F26)</f>
        <v>-1766.1449999999998</v>
      </c>
      <c r="G27" s="13">
        <f>SUM(G22:G26)</f>
        <v>-2948.3340000000007</v>
      </c>
      <c r="H27" s="12">
        <f>SUM(H22:H26)</f>
        <v>-1800</v>
      </c>
    </row>
    <row r="28">
      <c r="B28" s="6"/>
      <c r="C28" s="1"/>
      <c r="D28" s="1"/>
      <c r="E28" s="1"/>
      <c r="F28" s="1"/>
      <c r="G28" s="1"/>
      <c r="H28" s="10"/>
    </row>
    <row r="29">
      <c r="B29" s="6" t="s">
        <v>192</v>
      </c>
      <c r="C29" s="14">
        <f>SUM(Inputs!C166)</f>
        <v>-20.661</v>
      </c>
      <c r="D29" s="14">
        <f>SUM(Inputs!D166)</f>
        <v>-77.496</v>
      </c>
      <c r="E29" s="14">
        <f>SUM((Inputs!E166-Inputs!D166))</f>
        <v>86.38199999999999</v>
      </c>
      <c r="F29" s="14">
        <f>SUM((Inputs!F166-Inputs!E166))</f>
        <v>-47.452</v>
      </c>
      <c r="G29" s="14">
        <f>SUM(Inputs!G166)</f>
        <v>-32.155</v>
      </c>
      <c r="H29" s="19">
        <f>Inputs!H226</f>
        <v>-50</v>
      </c>
    </row>
    <row r="30">
      <c r="B30" s="2" t="s">
        <v>193</v>
      </c>
      <c r="C30" s="13">
        <f>SUM(C14,C20,C27,C29)</f>
        <v>1847.1219999999998</v>
      </c>
      <c r="D30" s="13">
        <f>SUM(D14,D20,D27,D29)</f>
        <v>-1829.3239999999996</v>
      </c>
      <c r="E30" s="13">
        <f>SUM(E14,E20,E27,E29)</f>
        <v>-250.22200000000072</v>
      </c>
      <c r="F30" s="13">
        <f>SUM(F14,F20,F27,F29)</f>
        <v>766.0620000000004</v>
      </c>
      <c r="G30" s="13">
        <f>SUM(G14,G20,G27,G29)</f>
        <v>6474.259999999998</v>
      </c>
      <c r="H30" s="12">
        <f>SUM(H14,H20,H27,H29)</f>
        <v>-485.69169746842954</v>
      </c>
    </row>
    <row r="31">
      <c r="B31" s="6"/>
      <c r="C31" s="1"/>
      <c r="D31" s="1"/>
      <c r="E31" s="1"/>
      <c r="F31" s="1"/>
      <c r="G31" s="1"/>
      <c r="H31" s="10"/>
    </row>
    <row r="32">
      <c r="B32" s="6" t="s">
        <v>194</v>
      </c>
      <c r="C32" s="14">
        <f>Inputs!C168</f>
        <v>9631.607</v>
      </c>
      <c r="D32" s="14">
        <f>'Balance Sheet'!G10</f>
        <v>11478.729</v>
      </c>
      <c r="E32" s="14">
        <f>'Balance Sheet'!D10</f>
        <v>9649.405</v>
      </c>
      <c r="F32" s="14">
        <f>'Balance Sheet'!E10</f>
        <v>9399.183</v>
      </c>
      <c r="G32" s="14">
        <f>Inputs!G168</f>
        <v>5004.469</v>
      </c>
      <c r="H32" s="19">
        <f>'Balance Sheet'!F10</f>
        <v>10165.245</v>
      </c>
    </row>
    <row r="33">
      <c r="B33" s="2" t="s">
        <v>195</v>
      </c>
      <c r="C33" s="13">
        <f>C32+C30</f>
        <v>11478.729</v>
      </c>
      <c r="D33" s="13">
        <f>D32+D30</f>
        <v>9649.404999999999</v>
      </c>
      <c r="E33" s="13">
        <f>E32+E30</f>
        <v>9399.182999999999</v>
      </c>
      <c r="F33" s="13">
        <f>F32+F30</f>
        <v>10165.245</v>
      </c>
      <c r="G33" s="13">
        <f>G32+G30</f>
        <v>11478.729</v>
      </c>
      <c r="H33" s="12">
        <f>H32+H30</f>
        <v>9679.55330253157</v>
      </c>
    </row>
    <row r="34">
      <c r="B34" s="6"/>
      <c r="C34" s="1"/>
      <c r="D34" s="1"/>
      <c r="E34" s="1"/>
      <c r="F34" s="1"/>
      <c r="G34" s="1"/>
      <c r="H34" s="10"/>
    </row>
    <row r="35">
      <c r="B35" s="6" t="s">
        <v>196</v>
      </c>
      <c r="C35" s="1">
        <f>C30</f>
        <v>1847.1219999999998</v>
      </c>
      <c r="D35" s="1">
        <f>D30</f>
        <v>-1829.3239999999996</v>
      </c>
      <c r="E35" s="1">
        <f>E30</f>
        <v>-250.22200000000072</v>
      </c>
      <c r="F35" s="1">
        <f>F30</f>
        <v>766.0620000000004</v>
      </c>
      <c r="G35" s="1">
        <f>G30</f>
        <v>6474.259999999998</v>
      </c>
      <c r="H35" s="10">
        <f>H30</f>
        <v>-485.69169746842954</v>
      </c>
    </row>
    <row r="36" ht="25.5">
      <c r="B36" s="21" t="s">
        <v>197</v>
      </c>
      <c r="C36" s="16">
        <f>C33-'Balance Sheet'!C10</f>
        <v>0</v>
      </c>
      <c r="D36" s="16">
        <f>D33-'Balance Sheet'!D10</f>
        <v>0</v>
      </c>
      <c r="E36" s="16">
        <f>E33-'Balance Sheet'!E10</f>
        <v>0</v>
      </c>
      <c r="F36" s="16">
        <f>F33-'Balance Sheet'!F10</f>
        <v>0</v>
      </c>
      <c r="G36" s="16">
        <f>G33-'Balance Sheet'!G10</f>
        <v>0</v>
      </c>
      <c r="H36" s="22">
        <f>H33-'Balance Sheet'!H10</f>
        <v>0</v>
      </c>
    </row>
    <row r="37">
      <c r="B37" s="6"/>
      <c r="C37" s="1"/>
      <c r="D37" s="1"/>
      <c r="E37" s="1"/>
      <c r="F37" s="1"/>
      <c r="G37" s="1"/>
      <c r="H37" s="10"/>
    </row>
    <row r="38">
      <c r="B38" s="2" t="s">
        <v>198</v>
      </c>
      <c r="C38" s="13">
        <f>C14+C16</f>
        <v>3806.232</v>
      </c>
      <c r="D38" s="13">
        <f>D14+D16</f>
        <v>1507.5150000000003</v>
      </c>
      <c r="E38" s="13">
        <f>E14+E16</f>
        <v>3667.9529999999995</v>
      </c>
      <c r="F38" s="13">
        <f>F14+F16</f>
        <v>3599.988</v>
      </c>
      <c r="G38" s="13">
        <f>G14+G16</f>
        <v>10874.359999999999</v>
      </c>
      <c r="H38" s="12">
        <f>H14+H16</f>
        <v>2664.3083025315705</v>
      </c>
    </row>
  </sheetData>
</worksheet>
</file>

<file path=xl/worksheets/sheet9.xml><?xml version="1.0" encoding="utf-8"?>
<worksheet xmlns="http://schemas.openxmlformats.org/spreadsheetml/2006/main" xmlns:r="http://schemas.openxmlformats.org/officeDocument/2006/relationships">
  <dimension ref="B2:H48"/>
  <sheetViews>
    <sheetView showGridLines="0" workbookViewId="0">
      <pane xSplit="2" ySplit="7" topLeftCell="C8" activePane="bottomRight" state="frozen"/>
    </sheetView>
  </sheetViews>
  <sheetFormatPr defaultColWidth="8.42578125" defaultRowHeight="15"/>
  <cols>
    <col min="1" max="1" width="3" customWidth="1"/>
    <col min="2" max="2" width="36" customWidth="1"/>
    <col min="3" max="8" width="13" customWidth="1"/>
    <col min="9" max="9" width="18" customWidth="1"/>
  </cols>
  <sheetData>
    <row r="2">
      <c r="B2" s="3" t="s">
        <v>0</v>
      </c>
      <c r="C2" s="3"/>
      <c r="D2" s="3"/>
      <c r="E2" s="3"/>
      <c r="F2" s="3"/>
      <c r="G2" s="3"/>
      <c r="H2" s="3"/>
    </row>
    <row r="3">
      <c r="B3" s="3" t="s">
        <v>199</v>
      </c>
      <c r="C3" s="3"/>
      <c r="D3" s="3"/>
      <c r="E3" s="3"/>
      <c r="F3" s="3"/>
      <c r="G3" s="3"/>
      <c r="H3" s="3"/>
    </row>
    <row r="4">
      <c r="B4" s="3" t="s">
        <v>2</v>
      </c>
      <c r="C4" s="3"/>
      <c r="D4" s="3"/>
      <c r="E4" s="3"/>
      <c r="F4" s="3"/>
      <c r="G4" s="3"/>
      <c r="H4" s="3"/>
    </row>
    <row r="5">
      <c r="B5" s="5" t="s">
        <v>3</v>
      </c>
      <c r="C5" s="5" t="s">
        <v>4</v>
      </c>
      <c r="D5" s="5" t="s">
        <v>5</v>
      </c>
      <c r="E5" s="5" t="s">
        <v>6</v>
      </c>
      <c r="F5" s="5" t="s">
        <v>7</v>
      </c>
      <c r="G5" s="5" t="s">
        <v>8</v>
      </c>
      <c r="H5" s="5" t="s">
        <v>9</v>
      </c>
    </row>
    <row r="6">
      <c r="B6" s="5" t="s">
        <v>10</v>
      </c>
      <c r="C6" s="9">
        <v>45900</v>
      </c>
      <c r="D6" s="9">
        <v>45991</v>
      </c>
      <c r="E6" s="9">
        <v>46081</v>
      </c>
      <c r="F6" s="9">
        <v>46173</v>
      </c>
      <c r="G6" s="9">
        <v>45900</v>
      </c>
      <c r="H6" s="9">
        <v>46265</v>
      </c>
    </row>
    <row r="7">
      <c r="B7" s="5" t="s">
        <v>11</v>
      </c>
      <c r="C7" s="5">
        <v>92</v>
      </c>
      <c r="D7" s="5">
        <v>91</v>
      </c>
      <c r="E7" s="5">
        <v>90</v>
      </c>
      <c r="F7" s="5">
        <v>92</v>
      </c>
      <c r="G7" s="5">
        <v>365</v>
      </c>
      <c r="H7" s="5">
        <v>92</v>
      </c>
    </row>
    <row r="8">
      <c r="B8" s="6"/>
      <c r="C8" s="6"/>
      <c r="D8" s="6"/>
      <c r="E8" s="6"/>
      <c r="F8" s="6"/>
      <c r="G8" s="6"/>
      <c r="H8" s="8"/>
    </row>
    <row r="9">
      <c r="B9" s="6"/>
      <c r="C9" s="6"/>
      <c r="D9" s="6"/>
      <c r="E9" s="6"/>
      <c r="F9" s="6"/>
      <c r="G9" s="6"/>
      <c r="H9" s="8"/>
    </row>
    <row r="10">
      <c r="B10" s="2" t="s">
        <v>41</v>
      </c>
      <c r="C10" s="16">
        <f>'Revenue summary'!C19</f>
        <v>8804.391</v>
      </c>
      <c r="D10" s="16">
        <f>'Revenue summary'!D19</f>
        <v>9080.059</v>
      </c>
      <c r="E10" s="16">
        <f>'Revenue summary'!E19</f>
        <v>8896.402</v>
      </c>
      <c r="F10" s="16">
        <f>'Revenue summary'!F19</f>
        <v>9137.772</v>
      </c>
      <c r="G10" s="16">
        <f>'Revenue summary'!G19</f>
        <v>35056.715</v>
      </c>
      <c r="H10" s="22">
        <f>'Revenue summary'!H19</f>
        <v>8939.988552753046</v>
      </c>
    </row>
    <row r="11">
      <c r="B11" s="6" t="s">
        <v>200</v>
      </c>
      <c r="C11" s="25">
        <f>'Revenue summary'!C23</f>
        <v>0.04522424133493086</v>
      </c>
      <c r="D11" s="25">
        <f>'Revenue summary'!D23</f>
        <v>0.03972978651898318</v>
      </c>
      <c r="E11" s="25">
        <f>'Revenue summary'!E23</f>
        <v>0.04013797106031047</v>
      </c>
      <c r="F11" s="25">
        <f>'Revenue summary'!F23</f>
        <v>0.01914326257334431</v>
      </c>
      <c r="G11" s="25">
        <f>'Revenue summary'!G23</f>
        <v>0.07692886402634214</v>
      </c>
      <c r="H11" s="28">
        <f>'Revenue summary'!H23</f>
        <v>0.015401127999999709</v>
      </c>
    </row>
    <row r="12">
      <c r="B12" s="6" t="s">
        <v>76</v>
      </c>
      <c r="C12" s="27"/>
      <c r="D12" s="23">
        <f>D10-C10</f>
        <v>275.66799999999967</v>
      </c>
      <c r="E12" s="23">
        <f>E10-D10</f>
        <v>-183.65699999999924</v>
      </c>
      <c r="F12" s="23">
        <f>F10-E10</f>
        <v>241.3700000000008</v>
      </c>
      <c r="G12" s="27"/>
      <c r="H12" s="32">
        <f>H10-F10</f>
        <v>-197.7834472469549</v>
      </c>
    </row>
    <row r="13">
      <c r="B13" s="6" t="s">
        <v>42</v>
      </c>
      <c r="C13" s="25">
        <f>'Revenue summary'!C20</f>
        <v>0.050000000000000044</v>
      </c>
      <c r="D13" s="25">
        <f>'Revenue summary'!D20</f>
        <v>0.040000000000000036</v>
      </c>
      <c r="E13" s="25">
        <f>'Revenue summary'!E20</f>
        <v>0.030000000000000027</v>
      </c>
      <c r="F13" s="25">
        <f>'Revenue summary'!F20</f>
        <v>0.010000000000000009</v>
      </c>
      <c r="G13" s="25">
        <f>'Revenue summary'!G20</f>
        <v>0.09000000000000008</v>
      </c>
      <c r="H13" s="28">
        <f>'Revenue summary'!H20</f>
        <v>0.0023999999999997357</v>
      </c>
    </row>
    <row r="14">
      <c r="B14" s="6" t="s">
        <v>39</v>
      </c>
      <c r="C14" s="25">
        <f>'Revenue summary'!C21</f>
        <v>0</v>
      </c>
      <c r="D14" s="25">
        <f>'Revenue summary'!D21</f>
        <v>0</v>
      </c>
      <c r="E14" s="25">
        <f>'Revenue summary'!E21</f>
        <v>0</v>
      </c>
      <c r="F14" s="25">
        <f>'Revenue summary'!F21</f>
        <v>0</v>
      </c>
      <c r="G14" s="25">
        <f>'Revenue summary'!G21</f>
        <v>0</v>
      </c>
      <c r="H14" s="28">
        <f>'Revenue summary'!H21</f>
        <v>0.015</v>
      </c>
    </row>
    <row r="15">
      <c r="B15" s="6" t="s">
        <v>40</v>
      </c>
      <c r="C15" s="25">
        <f>'Revenue summary'!C22</f>
        <v>-0.004548341585780213</v>
      </c>
      <c r="D15" s="25">
        <f>'Revenue summary'!D22</f>
        <v>-0.0002598206548238835</v>
      </c>
      <c r="E15" s="25">
        <f>'Revenue summary'!E22</f>
        <v>0.009842690349815886</v>
      </c>
      <c r="F15" s="25">
        <f>'Revenue summary'!F22</f>
        <v>0.009052735221132924</v>
      </c>
      <c r="G15" s="25">
        <f>'Revenue summary'!G22</f>
        <v>-0.011991867865741246</v>
      </c>
      <c r="H15" s="28">
        <f>'Revenue summary'!H22</f>
        <v>-0.002</v>
      </c>
    </row>
    <row r="16">
      <c r="B16" s="2" t="s">
        <v>45</v>
      </c>
      <c r="C16" s="48">
        <f>C10/C43</f>
        <v>0.5003558142468911</v>
      </c>
      <c r="D16" s="48">
        <f>D10/D43</f>
        <v>0.484473292116022</v>
      </c>
      <c r="E16" s="48">
        <f>E10/E43</f>
        <v>0.49303754486377965</v>
      </c>
      <c r="F16" s="48">
        <f>F10/F43</f>
        <v>0.48817724663299955</v>
      </c>
      <c r="G16" s="48">
        <f>G10/G43</f>
        <v>0.5031608596256767</v>
      </c>
      <c r="H16" s="43">
        <f>H10/H43</f>
        <v>0.49804526465778254</v>
      </c>
    </row>
    <row r="17">
      <c r="B17" s="2" t="s">
        <v>201</v>
      </c>
      <c r="C17" s="31">
        <f>'Segment - Americas'!C43</f>
        <v>987.032</v>
      </c>
      <c r="D17" s="31">
        <f>'Segment - Americas'!D43</f>
        <v>1527.3349999999991</v>
      </c>
      <c r="E17" s="31">
        <f>'Segment - Americas'!E43</f>
        <v>1393.0590000000002</v>
      </c>
      <c r="F17" s="31">
        <f>'Segment - Americas'!F43</f>
        <v>1708.0980000000009</v>
      </c>
      <c r="G17" s="31">
        <f>'Segment - Americas'!G43</f>
        <v>5324.339</v>
      </c>
      <c r="H17" s="52">
        <f>'Segment - Americas'!H43</f>
        <v>1340.9982829129567</v>
      </c>
    </row>
    <row r="18">
      <c r="B18" s="6" t="s">
        <v>97</v>
      </c>
      <c r="C18" s="24">
        <f>C17/C10</f>
        <v>0.1121067885331308</v>
      </c>
      <c r="D18" s="24">
        <f>D17/D10</f>
        <v>0.1682076074615814</v>
      </c>
      <c r="E18" s="24">
        <f>E17/E10</f>
        <v>0.15658678643343682</v>
      </c>
      <c r="F18" s="24">
        <f>F17/F10</f>
        <v>0.18692718531388183</v>
      </c>
      <c r="G18" s="24">
        <f>G17/G10</f>
        <v>0.15187786419805735</v>
      </c>
      <c r="H18" s="26">
        <f>H17/H10</f>
        <v>0.14999999999999997</v>
      </c>
    </row>
    <row r="19">
      <c r="B19" s="2" t="s">
        <v>202</v>
      </c>
      <c r="C19" s="31"/>
      <c r="D19" s="29">
        <f>(D18-C18)*10000</f>
        <v>561.0081892845059</v>
      </c>
      <c r="E19" s="29">
        <f>(E18-D18)*10000</f>
        <v>-116.20821028144573</v>
      </c>
      <c r="F19" s="29">
        <f>(F18-E18)*10000</f>
        <v>303.40398880445014</v>
      </c>
      <c r="G19" s="31"/>
      <c r="H19" s="33">
        <f>(H18-F18)*10000</f>
        <v>-369.27185313881864</v>
      </c>
    </row>
    <row r="20">
      <c r="B20" s="2"/>
      <c r="C20" s="31"/>
      <c r="D20" s="31"/>
      <c r="E20" s="31"/>
      <c r="F20" s="31"/>
      <c r="G20" s="31"/>
      <c r="H20" s="52"/>
    </row>
    <row r="21">
      <c r="B21" s="2" t="s">
        <v>46</v>
      </c>
      <c r="C21" s="31">
        <f>'Revenue summary'!C29</f>
        <v>6196.281</v>
      </c>
      <c r="D21" s="31">
        <f>'Revenue summary'!D29</f>
        <v>6935.233</v>
      </c>
      <c r="E21" s="31">
        <f>'Revenue summary'!E29</f>
        <v>6569.391</v>
      </c>
      <c r="F21" s="31">
        <f>'Revenue summary'!F29</f>
        <v>6873.448</v>
      </c>
      <c r="G21" s="31">
        <f>'Revenue summary'!G29</f>
        <v>24643.957</v>
      </c>
      <c r="H21" s="52">
        <f>'Revenue summary'!H29</f>
        <v>6400.670285809801</v>
      </c>
    </row>
    <row r="22">
      <c r="B22" s="6" t="s">
        <v>200</v>
      </c>
      <c r="C22" s="25">
        <f>'Revenue summary'!C33</f>
        <v>0.09887239453050256</v>
      </c>
      <c r="D22" s="25">
        <f>'Revenue summary'!D33</f>
        <v>0.08161024910978742</v>
      </c>
      <c r="E22" s="25">
        <f>'Revenue summary'!E33</f>
        <v>0.131897396136202</v>
      </c>
      <c r="F22" s="25">
        <f>'Revenue summary'!F33</f>
        <v>0.10295483732035238</v>
      </c>
      <c r="G22" s="25">
        <f>'Revenue summary'!G33</f>
        <v>0.08002838475916185</v>
      </c>
      <c r="H22" s="28">
        <f>'Revenue summary'!H33</f>
        <v>0.032985800000000065</v>
      </c>
    </row>
    <row r="23">
      <c r="B23" s="6" t="s">
        <v>76</v>
      </c>
      <c r="C23" s="27"/>
      <c r="D23" s="23">
        <f>D21-C21</f>
        <v>738.9520000000002</v>
      </c>
      <c r="E23" s="23">
        <f>E21-D21</f>
        <v>-365.84200000000055</v>
      </c>
      <c r="F23" s="23">
        <f>F21-E21</f>
        <v>304.0570000000007</v>
      </c>
      <c r="G23" s="27"/>
      <c r="H23" s="32">
        <f>H21-F21</f>
        <v>-472.77771419019973</v>
      </c>
    </row>
    <row r="24">
      <c r="B24" s="6" t="s">
        <v>42</v>
      </c>
      <c r="C24" s="25">
        <f>'Revenue summary'!C30</f>
        <v>0.030000000000000027</v>
      </c>
      <c r="D24" s="25">
        <f>'Revenue summary'!D30</f>
        <v>0.040000000000000036</v>
      </c>
      <c r="E24" s="25">
        <f>'Revenue summary'!E30</f>
        <v>0.020000000000000018</v>
      </c>
      <c r="F24" s="25">
        <f>'Revenue summary'!F30</f>
        <v>0.040000000000000036</v>
      </c>
      <c r="G24" s="25">
        <f>'Revenue summary'!G30</f>
        <v>0.06000000000000005</v>
      </c>
      <c r="H24" s="28">
        <f>'Revenue summary'!H30</f>
        <v>0.028000000000000247</v>
      </c>
    </row>
    <row r="25">
      <c r="B25" s="2" t="s">
        <v>39</v>
      </c>
      <c r="C25" s="39">
        <f>'Revenue summary'!C31</f>
        <v>0</v>
      </c>
      <c r="D25" s="39">
        <f>'Revenue summary'!D31</f>
        <v>0</v>
      </c>
      <c r="E25" s="39">
        <f>'Revenue summary'!E31</f>
        <v>0</v>
      </c>
      <c r="F25" s="39">
        <f>'Revenue summary'!F31</f>
        <v>0</v>
      </c>
      <c r="G25" s="39">
        <f>'Revenue summary'!G31</f>
        <v>0</v>
      </c>
      <c r="H25" s="49">
        <f>'Revenue summary'!H31</f>
        <v>0.015</v>
      </c>
    </row>
    <row r="26">
      <c r="B26" s="53" t="s">
        <v>40</v>
      </c>
      <c r="C26" s="47">
        <f>'Revenue summary'!C32</f>
        <v>0.06686640245679865</v>
      </c>
      <c r="D26" s="47">
        <f>'Revenue summary'!D32</f>
        <v>0.04000985491325704</v>
      </c>
      <c r="E26" s="47">
        <f>'Revenue summary'!E32</f>
        <v>0.10970332954529605</v>
      </c>
      <c r="F26" s="47">
        <f>'Revenue summary'!F32</f>
        <v>0.06053349742341574</v>
      </c>
      <c r="G26" s="47">
        <f>'Revenue summary'!G32</f>
        <v>0.01889470260298287</v>
      </c>
      <c r="H26" s="47">
        <f>'Revenue summary'!H32</f>
        <v>-0.01</v>
      </c>
    </row>
    <row r="27">
      <c r="B27" s="1" t="s">
        <v>45</v>
      </c>
      <c r="C27" s="24">
        <f>C21/C43</f>
        <v>0.35213624940754457</v>
      </c>
      <c r="D27" s="24">
        <f>D21/D43</f>
        <v>0.3700345078266205</v>
      </c>
      <c r="E27" s="24">
        <f>E21/E43</f>
        <v>0.3640748709298669</v>
      </c>
      <c r="F27" s="24">
        <f>F21/F43</f>
        <v>0.3672077744460135</v>
      </c>
      <c r="G27" s="24">
        <f>G21/G43</f>
        <v>0.35370897098311155</v>
      </c>
      <c r="H27" s="24">
        <f>H21/H43</f>
        <v>0.3565802693899049</v>
      </c>
    </row>
    <row r="28">
      <c r="B28" s="13" t="s">
        <v>201</v>
      </c>
      <c r="C28" s="31">
        <f>'Segment - EMEA'!C43</f>
        <v>662.688</v>
      </c>
      <c r="D28" s="31">
        <f>'Segment - EMEA'!D43</f>
        <v>900.4910000000009</v>
      </c>
      <c r="E28" s="31">
        <f>'Segment - EMEA'!E43</f>
        <v>676.7469999999994</v>
      </c>
      <c r="F28" s="31">
        <f>'Segment - EMEA'!F43</f>
        <v>994.0060000000003</v>
      </c>
      <c r="G28" s="31">
        <f>'Segment - EMEA'!G43</f>
        <v>3090.993</v>
      </c>
      <c r="H28" s="31">
        <f>'Segment - EMEA'!H43</f>
        <v>832.0871371552739</v>
      </c>
    </row>
    <row r="29">
      <c r="B29" s="1" t="s">
        <v>97</v>
      </c>
      <c r="C29" s="24">
        <f>C28/C21</f>
        <v>0.10694931362861045</v>
      </c>
      <c r="D29" s="24">
        <f>D28/D21</f>
        <v>0.12984293389998589</v>
      </c>
      <c r="E29" s="24">
        <f>E28/E21</f>
        <v>0.10301518055478802</v>
      </c>
      <c r="F29" s="24">
        <f>F28/F21</f>
        <v>0.14461533716411332</v>
      </c>
      <c r="G29" s="24">
        <f>G28/G21</f>
        <v>0.12542600200122084</v>
      </c>
      <c r="H29" s="24">
        <f>H28/H21</f>
        <v>0.12999999999999998</v>
      </c>
    </row>
    <row r="30">
      <c r="B30" s="1" t="s">
        <v>202</v>
      </c>
      <c r="C30" s="27"/>
      <c r="D30" s="23">
        <f>(D29-C29)*10000</f>
        <v>228.9362027137544</v>
      </c>
      <c r="E30" s="23">
        <f>(E29-D29)*10000</f>
        <v>-268.2775334519787</v>
      </c>
      <c r="F30" s="23">
        <f>(F29-E29)*10000</f>
        <v>416.00156609325296</v>
      </c>
      <c r="G30" s="27"/>
      <c r="H30" s="23">
        <f>(H29-F29)*10000</f>
        <v>-146.1533716411334</v>
      </c>
    </row>
    <row r="31">
      <c r="B31" s="1"/>
      <c r="C31" s="27"/>
      <c r="D31" s="27"/>
      <c r="E31" s="27"/>
      <c r="F31" s="27"/>
      <c r="G31" s="27"/>
      <c r="H31" s="27"/>
    </row>
    <row r="32">
      <c r="B32" s="13" t="s">
        <v>47</v>
      </c>
      <c r="C32" s="31">
        <f>'Revenue summary'!C39</f>
        <v>2595.588</v>
      </c>
      <c r="D32" s="31">
        <f>'Revenue summary'!D39</f>
        <v>2726.833</v>
      </c>
      <c r="E32" s="31">
        <f>'Revenue summary'!E39</f>
        <v>2578.273</v>
      </c>
      <c r="F32" s="31">
        <f>'Revenue summary'!F39</f>
        <v>2706.924</v>
      </c>
      <c r="G32" s="31">
        <f>'Revenue summary'!G39</f>
        <v>9972.305</v>
      </c>
      <c r="H32" s="31">
        <f>'Revenue summary'!H39</f>
        <v>2609.49386271</v>
      </c>
    </row>
    <row r="33">
      <c r="B33" s="50" t="s">
        <v>200</v>
      </c>
      <c r="C33" s="51">
        <f>'Revenue summary'!C43</f>
        <v>0.10751750825329665</v>
      </c>
      <c r="D33" s="51">
        <f>'Revenue summary'!D43</f>
        <v>0.07165853539676581</v>
      </c>
      <c r="E33" s="51">
        <f>'Revenue summary'!E43</f>
        <v>0.11985477308185466</v>
      </c>
      <c r="F33" s="51">
        <f>'Revenue summary'!F43</f>
        <v>0.06997653258579128</v>
      </c>
      <c r="G33" s="51">
        <f>'Revenue summary'!G43</f>
        <v>0.0468406994848678</v>
      </c>
      <c r="H33" s="51">
        <f>'Revenue summary'!H43</f>
        <v>0.005357499999999904</v>
      </c>
    </row>
    <row r="34">
      <c r="B34" s="13" t="s">
        <v>76</v>
      </c>
      <c r="C34" s="16"/>
      <c r="D34" s="13">
        <f>D32-C32</f>
        <v>131.2449999999999</v>
      </c>
      <c r="E34" s="13">
        <f>E32-D32</f>
        <v>-148.55999999999995</v>
      </c>
      <c r="F34" s="13">
        <f>F32-E32</f>
        <v>128.65099999999984</v>
      </c>
      <c r="G34" s="16"/>
      <c r="H34" s="13">
        <f>H32-F32</f>
        <v>-97.43013728999995</v>
      </c>
    </row>
    <row r="35">
      <c r="B35" s="6" t="s">
        <v>42</v>
      </c>
      <c r="C35" s="25">
        <f>'Revenue summary'!C40</f>
        <v>0.06000000000000005</v>
      </c>
      <c r="D35" s="25">
        <f>'Revenue summary'!D40</f>
        <v>0.09000000000000008</v>
      </c>
      <c r="E35" s="25">
        <f>'Revenue summary'!E40</f>
        <v>0.10000000000000009</v>
      </c>
      <c r="F35" s="25">
        <f>'Revenue summary'!F40</f>
        <v>0.08000000000000007</v>
      </c>
      <c r="G35" s="25">
        <f>'Revenue summary'!G40</f>
        <v>0.040000000000000036</v>
      </c>
      <c r="H35" s="25">
        <f>'Revenue summary'!H40</f>
        <v>-0.009499999999999953</v>
      </c>
    </row>
    <row r="36">
      <c r="B36" s="6" t="s">
        <v>39</v>
      </c>
      <c r="C36" s="25">
        <f>'Revenue summary'!C41</f>
        <v>0</v>
      </c>
      <c r="D36" s="25">
        <f>'Revenue summary'!D41</f>
        <v>0</v>
      </c>
      <c r="E36" s="25">
        <f>'Revenue summary'!E41</f>
        <v>0</v>
      </c>
      <c r="F36" s="25">
        <f>'Revenue summary'!F41</f>
        <v>0</v>
      </c>
      <c r="G36" s="25">
        <f>'Revenue summary'!G41</f>
        <v>0</v>
      </c>
      <c r="H36" s="25">
        <f>'Revenue summary'!H41</f>
        <v>0.015</v>
      </c>
    </row>
    <row r="37">
      <c r="B37" s="2" t="s">
        <v>40</v>
      </c>
      <c r="C37" s="39">
        <f>'Revenue summary'!C42</f>
        <v>0.04482783797480816</v>
      </c>
      <c r="D37" s="39">
        <f>'Revenue summary'!D42</f>
        <v>-0.016827031746086463</v>
      </c>
      <c r="E37" s="39">
        <f>'Revenue summary'!E42</f>
        <v>0.018049793710776862</v>
      </c>
      <c r="F37" s="39">
        <f>'Revenue summary'!F42</f>
        <v>-0.009280988346489605</v>
      </c>
      <c r="G37" s="39">
        <f>'Revenue summary'!G42</f>
        <v>0.00657759565852678</v>
      </c>
      <c r="H37" s="39">
        <f>'Revenue summary'!H42</f>
        <v>0</v>
      </c>
    </row>
    <row r="38">
      <c r="B38" s="2" t="s">
        <v>45</v>
      </c>
      <c r="C38" s="48">
        <f>C32/C43</f>
        <v>0.14750793634556436</v>
      </c>
      <c r="D38" s="48">
        <f>D32/D43</f>
        <v>0.14549220005735744</v>
      </c>
      <c r="E38" s="48">
        <f>E32/E43</f>
        <v>0.1428875842063535</v>
      </c>
      <c r="F38" s="48">
        <f>F32/F43</f>
        <v>0.14461497892098704</v>
      </c>
      <c r="G38" s="48">
        <f>G32/G43</f>
        <v>0.14313016939121176</v>
      </c>
      <c r="H38" s="48">
        <f>H32/H43</f>
        <v>0.14537446595231251</v>
      </c>
    </row>
    <row r="39">
      <c r="B39" s="2" t="s">
        <v>201</v>
      </c>
      <c r="C39" s="16">
        <f>'Segment - Asia Pacific'!C43</f>
        <v>399.971</v>
      </c>
      <c r="D39" s="16">
        <f>'Segment - Asia Pacific'!D43</f>
        <v>445.87199999999984</v>
      </c>
      <c r="E39" s="16">
        <f>'Segment - Asia Pacific'!E43</f>
        <v>423.741</v>
      </c>
      <c r="F39" s="16">
        <f>'Segment - Asia Pacific'!F43</f>
        <v>473.19399999999996</v>
      </c>
      <c r="G39" s="16">
        <f>'Segment - Asia Pacific'!G43</f>
        <v>1810.332</v>
      </c>
      <c r="H39" s="16">
        <f>'Segment - Asia Pacific'!H43</f>
        <v>521.8987725419997</v>
      </c>
    </row>
    <row r="40">
      <c r="B40" s="2" t="s">
        <v>97</v>
      </c>
      <c r="C40" s="48">
        <f>C39/C32</f>
        <v>0.1540964898897668</v>
      </c>
      <c r="D40" s="48">
        <f>D39/D32</f>
        <v>0.1635127637079351</v>
      </c>
      <c r="E40" s="48">
        <f>E39/E32</f>
        <v>0.16435071072768476</v>
      </c>
      <c r="F40" s="48">
        <f>F39/F32</f>
        <v>0.17480874971000293</v>
      </c>
      <c r="G40" s="48">
        <f>G39/G32</f>
        <v>0.1815359638518878</v>
      </c>
      <c r="H40" s="48">
        <f>H39/H32</f>
        <v>0.1999999999999999</v>
      </c>
    </row>
    <row r="41">
      <c r="B41" s="6" t="s">
        <v>202</v>
      </c>
      <c r="C41" s="23"/>
      <c r="D41" s="23">
        <f>(D40-C40)*10000</f>
        <v>94.16273818168314</v>
      </c>
      <c r="E41" s="23">
        <f>(E40-D40)*10000</f>
        <v>8.37947019749652</v>
      </c>
      <c r="F41" s="23">
        <f>(F40-E40)*10000</f>
        <v>104.58038982318175</v>
      </c>
      <c r="G41" s="23"/>
      <c r="H41" s="23">
        <f>(H40-F40)*10000</f>
        <v>251.9125028999697</v>
      </c>
    </row>
    <row r="42">
      <c r="B42" s="6"/>
      <c r="C42" s="23"/>
      <c r="D42" s="23"/>
      <c r="E42" s="23"/>
      <c r="F42" s="23"/>
      <c r="G42" s="23"/>
      <c r="H42" s="23"/>
    </row>
    <row r="43">
      <c r="B43" s="2" t="s">
        <v>203</v>
      </c>
      <c r="C43" s="13">
        <f>SUM(C10,C21,C32)</f>
        <v>17596.26</v>
      </c>
      <c r="D43" s="13">
        <f>SUM(D10,D21,D32)</f>
        <v>18742.125</v>
      </c>
      <c r="E43" s="13">
        <f>SUM(E10,E21,E32)</f>
        <v>18044.066</v>
      </c>
      <c r="F43" s="13">
        <f>SUM(F10,F21,F32)</f>
        <v>18718.144</v>
      </c>
      <c r="G43" s="13">
        <f>SUM(G10,G21,G32)</f>
        <v>69672.977</v>
      </c>
      <c r="H43" s="12">
        <f>SUM(H10,H21,H32)</f>
        <v>17950.152701272847</v>
      </c>
    </row>
    <row r="44">
      <c r="B44" s="2" t="s">
        <v>204</v>
      </c>
      <c r="C44" s="16">
        <f>C43-'Revenue summary'!C10</f>
        <v>0</v>
      </c>
      <c r="D44" s="16">
        <f>D43-'Revenue summary'!D10</f>
        <v>0</v>
      </c>
      <c r="E44" s="16">
        <f>E43-'Revenue summary'!E10</f>
        <v>0</v>
      </c>
      <c r="F44" s="16">
        <f>F43-'Revenue summary'!F10</f>
        <v>0</v>
      </c>
      <c r="G44" s="16">
        <f>G43-'Revenue summary'!G10</f>
        <v>0</v>
      </c>
      <c r="H44" s="22">
        <f>H43-'Revenue summary'!H10</f>
        <v>0</v>
      </c>
    </row>
    <row r="45">
      <c r="B45" s="2" t="s">
        <v>205</v>
      </c>
      <c r="C45" s="13">
        <f>SUM(C17,C28,C39)</f>
        <v>2049.691</v>
      </c>
      <c r="D45" s="13">
        <f>SUM(D17,D28,D39)</f>
        <v>2873.698</v>
      </c>
      <c r="E45" s="13">
        <f>SUM(E17,E28,E39)</f>
        <v>2493.5469999999996</v>
      </c>
      <c r="F45" s="13">
        <f>SUM(F17,F28,F39)</f>
        <v>3175.298000000001</v>
      </c>
      <c r="G45" s="13">
        <f>SUM(G17,G28,G39)</f>
        <v>10225.664</v>
      </c>
      <c r="H45" s="12">
        <f>SUM(H17,H28,H39)</f>
        <v>2694.9841926102304</v>
      </c>
    </row>
    <row r="46">
      <c r="B46" s="2" t="s">
        <v>206</v>
      </c>
      <c r="C46" s="16">
        <f>C45-'Income Statement'!C20</f>
        <v>0</v>
      </c>
      <c r="D46" s="16">
        <f>D45-'Income Statement'!D20</f>
        <v>0</v>
      </c>
      <c r="E46" s="16">
        <f>E45-'Income Statement'!E20</f>
        <v>0</v>
      </c>
      <c r="F46" s="16">
        <f>F45-'Income Statement'!F20</f>
        <v>0</v>
      </c>
      <c r="G46" s="16">
        <f>G45-'Income Statement'!G20</f>
        <v>0</v>
      </c>
      <c r="H46" s="22">
        <f>H45-'Income Statement'!H20</f>
        <v>0</v>
      </c>
    </row>
    <row r="47">
      <c r="B47" s="6" t="s">
        <v>207</v>
      </c>
      <c r="C47" s="1">
        <f>C10+C21</f>
        <v>15000.671999999999</v>
      </c>
      <c r="D47" s="1">
        <f>D10+D21</f>
        <v>16015.292</v>
      </c>
      <c r="E47" s="1">
        <f>E10+E21</f>
        <v>15465.793</v>
      </c>
      <c r="F47" s="1">
        <f>F10+F21</f>
        <v>16011.220000000001</v>
      </c>
      <c r="G47" s="1">
        <f>G10+G21</f>
        <v>59700.67199999999</v>
      </c>
      <c r="H47" s="10">
        <f>H10+H21</f>
        <v>15340.658838562846</v>
      </c>
    </row>
    <row r="48">
      <c r="B48" s="6" t="s">
        <v>208</v>
      </c>
      <c r="C48" s="24">
        <f>C32/C43</f>
        <v>0.14750793634556436</v>
      </c>
      <c r="D48" s="24">
        <f>D32/D43</f>
        <v>0.14549220005735744</v>
      </c>
      <c r="E48" s="24">
        <f>E32/E43</f>
        <v>0.1428875842063535</v>
      </c>
      <c r="F48" s="24">
        <f>F32/F43</f>
        <v>0.14461497892098704</v>
      </c>
      <c r="G48" s="24">
        <f>G32/G43</f>
        <v>0.14313016939121176</v>
      </c>
      <c r="H48" s="26">
        <f>H32/H43</f>
        <v>0.14537446595231251</v>
      </c>
    </row>
  </sheetData>
</worksheet>
</file>

<file path=xl/worksheets/sheet10.xml><?xml version="1.0" encoding="utf-8"?>
<worksheet xmlns="http://schemas.openxmlformats.org/spreadsheetml/2006/main" xmlns:r="http://schemas.openxmlformats.org/officeDocument/2006/relationships">
  <dimension ref="B2:H29"/>
  <sheetViews>
    <sheetView showGridLines="0" workbookViewId="0">
      <pane xSplit="2" ySplit="7" topLeftCell="C8" activePane="bottomRight" state="frozen"/>
    </sheetView>
  </sheetViews>
  <sheetFormatPr defaultColWidth="8.42578125" defaultRowHeight="15"/>
  <cols>
    <col min="1" max="1" width="3" customWidth="1"/>
    <col min="2" max="2" width="36" customWidth="1"/>
    <col min="3" max="8" width="13" customWidth="1"/>
    <col min="9" max="9" width="18" customWidth="1"/>
  </cols>
  <sheetData>
    <row r="2">
      <c r="B2" s="3" t="s">
        <v>0</v>
      </c>
      <c r="C2" s="3"/>
      <c r="D2" s="3"/>
      <c r="E2" s="3"/>
      <c r="F2" s="3"/>
      <c r="G2" s="3"/>
      <c r="H2" s="3"/>
    </row>
    <row r="3">
      <c r="B3" s="3" t="s">
        <v>209</v>
      </c>
      <c r="C3" s="3"/>
      <c r="D3" s="3"/>
      <c r="E3" s="3"/>
      <c r="F3" s="3"/>
      <c r="G3" s="3"/>
      <c r="H3" s="3"/>
    </row>
    <row r="4">
      <c r="B4" s="3" t="s">
        <v>2</v>
      </c>
      <c r="C4" s="3"/>
      <c r="D4" s="3"/>
      <c r="E4" s="3"/>
      <c r="F4" s="3"/>
      <c r="G4" s="3"/>
      <c r="H4" s="3"/>
    </row>
    <row r="5">
      <c r="B5" s="5" t="s">
        <v>3</v>
      </c>
      <c r="C5" s="5" t="s">
        <v>4</v>
      </c>
      <c r="D5" s="5" t="s">
        <v>5</v>
      </c>
      <c r="E5" s="5" t="s">
        <v>6</v>
      </c>
      <c r="F5" s="5" t="s">
        <v>7</v>
      </c>
      <c r="G5" s="5" t="s">
        <v>8</v>
      </c>
      <c r="H5" s="5" t="s">
        <v>9</v>
      </c>
    </row>
    <row r="6">
      <c r="B6" s="5" t="s">
        <v>10</v>
      </c>
      <c r="C6" s="9">
        <v>45900</v>
      </c>
      <c r="D6" s="9">
        <v>45991</v>
      </c>
      <c r="E6" s="9">
        <v>46081</v>
      </c>
      <c r="F6" s="9">
        <v>46173</v>
      </c>
      <c r="G6" s="9">
        <v>45900</v>
      </c>
      <c r="H6" s="9">
        <v>46265</v>
      </c>
    </row>
    <row r="7">
      <c r="B7" s="5" t="s">
        <v>11</v>
      </c>
      <c r="C7" s="5">
        <v>92</v>
      </c>
      <c r="D7" s="5">
        <v>91</v>
      </c>
      <c r="E7" s="5">
        <v>90</v>
      </c>
      <c r="F7" s="5">
        <v>92</v>
      </c>
      <c r="G7" s="5">
        <v>365</v>
      </c>
      <c r="H7" s="5">
        <v>92</v>
      </c>
    </row>
    <row r="8">
      <c r="B8" s="6"/>
      <c r="C8" s="6"/>
      <c r="D8" s="6"/>
      <c r="E8" s="6"/>
      <c r="F8" s="6"/>
      <c r="G8" s="6"/>
      <c r="H8" s="8"/>
    </row>
    <row r="9">
      <c r="B9" s="6"/>
      <c r="C9" s="6"/>
      <c r="D9" s="6"/>
      <c r="E9" s="6"/>
      <c r="F9" s="6"/>
      <c r="G9" s="6"/>
      <c r="H9" s="8"/>
    </row>
    <row r="10">
      <c r="B10" s="2" t="s">
        <v>210</v>
      </c>
      <c r="C10" s="16">
        <f>Inputs!C119</f>
        <v>622.635814</v>
      </c>
      <c r="D10" s="16">
        <f>Inputs!D119</f>
        <v>619.307086</v>
      </c>
      <c r="E10" s="16">
        <f>Inputs!E119</f>
        <v>616.992111</v>
      </c>
      <c r="F10" s="16">
        <f>Inputs!F119</f>
        <v>612.213453</v>
      </c>
      <c r="G10" s="16">
        <f>Inputs!G119</f>
        <v>624.891649</v>
      </c>
      <c r="H10" s="12">
        <f>H23-(H24-H26)*H27</f>
        <v>609.713453</v>
      </c>
    </row>
    <row r="11">
      <c r="B11" s="2" t="s">
        <v>211</v>
      </c>
      <c r="C11" s="39">
        <f>C10/Inputs!C258-1</f>
        <v>-0.005568375397485115</v>
      </c>
      <c r="D11" s="39">
        <f>D10/Inputs!D258-1</f>
        <v>-0.010180711124262887</v>
      </c>
      <c r="E11" s="39">
        <f>E10/Inputs!E258-1</f>
        <v>-0.015686732097608513</v>
      </c>
      <c r="F11" s="39">
        <f>F10/Inputs!F258-1</f>
        <v>-0.019428807985086394</v>
      </c>
      <c r="G11" s="39">
        <f>G10/Inputs!G258-1</f>
        <v>-0.004716017642822146</v>
      </c>
      <c r="H11" s="43">
        <f>H10/C10-1</f>
        <v>-0.020754284783239263</v>
      </c>
    </row>
    <row r="12">
      <c r="B12" s="6" t="s">
        <v>212</v>
      </c>
      <c r="C12" s="1"/>
      <c r="D12" s="1">
        <f>D10-C10</f>
        <v>-3.3287279999999555</v>
      </c>
      <c r="E12" s="1">
        <f>E10-D10</f>
        <v>-2.314975000000004</v>
      </c>
      <c r="F12" s="1">
        <f>F10-E10</f>
        <v>-4.778658000000064</v>
      </c>
      <c r="G12" s="1"/>
      <c r="H12" s="10">
        <f>H10-F10</f>
        <v>-2.5</v>
      </c>
    </row>
    <row r="13">
      <c r="B13" s="6" t="s">
        <v>213</v>
      </c>
      <c r="C13" s="14">
        <f>C10-Inputs!C258</f>
        <v>-3.4864840000000186</v>
      </c>
      <c r="D13" s="14">
        <f>D10-Inputs!D258</f>
        <v>-6.369835999999964</v>
      </c>
      <c r="E13" s="14">
        <f>E10-Inputs!E258</f>
        <v>-9.832834999999932</v>
      </c>
      <c r="F13" s="14">
        <f>F10-Inputs!F258</f>
        <v>-12.130254000000036</v>
      </c>
      <c r="G13" s="14">
        <f>G10-Inputs!G258</f>
        <v>-2.96096399999999</v>
      </c>
      <c r="H13" s="10">
        <f>H10-C10</f>
        <v>-12.922361000000024</v>
      </c>
    </row>
    <row r="14">
      <c r="B14" s="6"/>
      <c r="C14" s="1"/>
      <c r="D14" s="1"/>
      <c r="E14" s="1"/>
      <c r="F14" s="1"/>
      <c r="G14" s="1"/>
      <c r="H14" s="10"/>
    </row>
    <row r="15">
      <c r="B15" s="2" t="s">
        <v>214</v>
      </c>
      <c r="C15" s="16">
        <f>Inputs!C120</f>
        <v>629.418129</v>
      </c>
      <c r="D15" s="16">
        <f>Inputs!D120</f>
        <v>626.04304</v>
      </c>
      <c r="E15" s="16">
        <f>Inputs!E120</f>
        <v>622.640891</v>
      </c>
      <c r="F15" s="16">
        <f>Inputs!F120</f>
        <v>615.593409</v>
      </c>
      <c r="G15" s="16">
        <f>Inputs!G120</f>
        <v>632.435108</v>
      </c>
      <c r="H15" s="12">
        <f>H10+H19</f>
        <v>613.093409</v>
      </c>
    </row>
    <row r="16">
      <c r="B16" s="6" t="s">
        <v>215</v>
      </c>
      <c r="C16" s="25">
        <f>C15/Inputs!C259-1</f>
        <v>-0.007044456973981483</v>
      </c>
      <c r="D16" s="25">
        <f>D15/Inputs!D259-1</f>
        <v>-0.013571705672995593</v>
      </c>
      <c r="E16" s="25">
        <f>E15/Inputs!E259-1</f>
        <v>-0.01824482570715502</v>
      </c>
      <c r="F16" s="25">
        <f>F15/Inputs!F259-1</f>
        <v>-0.02357661368052244</v>
      </c>
      <c r="G16" s="25">
        <f>G15/Inputs!G259-1</f>
        <v>-0.00551142522485959</v>
      </c>
      <c r="H16" s="26">
        <f>H15/C15-1</f>
        <v>-0.025936208774183678</v>
      </c>
    </row>
    <row r="17">
      <c r="B17" s="6" t="s">
        <v>216</v>
      </c>
      <c r="C17" s="23"/>
      <c r="D17" s="23">
        <f>D15-C15</f>
        <v>-3.3750890000000027</v>
      </c>
      <c r="E17" s="23">
        <f>E15-D15</f>
        <v>-3.4021490000000085</v>
      </c>
      <c r="F17" s="23">
        <f>F15-E15</f>
        <v>-7.047482000000059</v>
      </c>
      <c r="G17" s="23"/>
      <c r="H17" s="32">
        <f>H15-F15</f>
        <v>-2.5</v>
      </c>
    </row>
    <row r="18">
      <c r="B18" s="6" t="s">
        <v>217</v>
      </c>
      <c r="C18" s="14">
        <f>C15-Inputs!C259</f>
        <v>-4.46536500000002</v>
      </c>
      <c r="D18" s="14">
        <f>D15-Inputs!D259</f>
        <v>-8.613370000000032</v>
      </c>
      <c r="E18" s="14">
        <f>E15-Inputs!E259</f>
        <v>-11.571087000000034</v>
      </c>
      <c r="F18" s="14">
        <f>F15-Inputs!F259</f>
        <v>-14.864052000000015</v>
      </c>
      <c r="G18" s="14">
        <f>G15-Inputs!G259</f>
        <v>-3.5049359999999297</v>
      </c>
      <c r="H18" s="10">
        <f>H15-C15</f>
        <v>-16.32472000000007</v>
      </c>
    </row>
    <row r="19">
      <c r="B19" s="2" t="s">
        <v>218</v>
      </c>
      <c r="C19" s="13">
        <f>C15-C10</f>
        <v>6.78231500000004</v>
      </c>
      <c r="D19" s="13">
        <f>D15-D10</f>
        <v>6.7359539999999924</v>
      </c>
      <c r="E19" s="13">
        <f>E15-E10</f>
        <v>5.648779999999988</v>
      </c>
      <c r="F19" s="13">
        <f>F15-F10</f>
        <v>3.379955999999993</v>
      </c>
      <c r="G19" s="13">
        <f>G15-G10</f>
        <v>7.543458999999984</v>
      </c>
      <c r="H19" s="12">
        <f>F19</f>
        <v>3.379955999999993</v>
      </c>
    </row>
    <row r="20">
      <c r="B20" s="6" t="s">
        <v>219</v>
      </c>
      <c r="C20" s="24">
        <f>C19/C10</f>
        <v>0.010892908579139394</v>
      </c>
      <c r="D20" s="24">
        <f>D19/D10</f>
        <v>0.010876597656110126</v>
      </c>
      <c r="E20" s="24">
        <f>E19/E10</f>
        <v>0.009155352068999124</v>
      </c>
      <c r="F20" s="24">
        <f>F19/F10</f>
        <v>0.005520878352864279</v>
      </c>
      <c r="G20" s="24">
        <f>G19/G10</f>
        <v>0.012071627156598446</v>
      </c>
      <c r="H20" s="26">
        <f>H19/H10</f>
        <v>0.005543515537289601</v>
      </c>
    </row>
    <row r="21">
      <c r="B21" s="6" t="s">
        <v>220</v>
      </c>
      <c r="C21" s="23"/>
      <c r="D21" s="23">
        <f>(D20-C20)*10000</f>
        <v>-0.16310923029267885</v>
      </c>
      <c r="E21" s="23">
        <f>(E20-D20)*10000</f>
        <v>-17.21245587111002</v>
      </c>
      <c r="F21" s="23">
        <f>(F20-E20)*10000</f>
        <v>-36.34473716134845</v>
      </c>
      <c r="G21" s="23"/>
      <c r="H21" s="32">
        <f>(H20-F20)*10000</f>
        <v>0.22637184425322066</v>
      </c>
    </row>
    <row r="22">
      <c r="B22" s="6"/>
      <c r="C22" s="27"/>
      <c r="D22" s="27"/>
      <c r="E22" s="27"/>
      <c r="F22" s="27"/>
      <c r="G22" s="27"/>
      <c r="H22" s="32"/>
    </row>
    <row r="23">
      <c r="B23" s="6" t="s">
        <v>221</v>
      </c>
      <c r="C23" s="1"/>
      <c r="D23" s="1"/>
      <c r="E23" s="1"/>
      <c r="F23" s="1"/>
      <c r="G23" s="1"/>
      <c r="H23" s="10">
        <f>F10</f>
        <v>612.213453</v>
      </c>
    </row>
    <row r="24">
      <c r="B24" s="6" t="s">
        <v>222</v>
      </c>
      <c r="C24" s="23"/>
      <c r="D24" s="23"/>
      <c r="E24" s="23"/>
      <c r="F24" s="23"/>
      <c r="G24" s="23"/>
      <c r="H24" s="30">
        <f>Inputs!H213</f>
        <v>5</v>
      </c>
    </row>
    <row r="25">
      <c r="B25" s="6" t="s">
        <v>223</v>
      </c>
      <c r="C25" s="24"/>
      <c r="D25" s="24"/>
      <c r="E25" s="24"/>
      <c r="F25" s="24"/>
      <c r="G25" s="24"/>
      <c r="H25" s="26">
        <f>H24/H23</f>
        <v>0.008167086129026963</v>
      </c>
    </row>
    <row r="26">
      <c r="B26" s="6" t="s">
        <v>224</v>
      </c>
      <c r="C26" s="23"/>
      <c r="D26" s="23"/>
      <c r="E26" s="23"/>
      <c r="F26" s="23"/>
      <c r="G26" s="23"/>
      <c r="H26" s="30">
        <f>Inputs!H214</f>
        <v>0</v>
      </c>
    </row>
    <row r="27">
      <c r="B27" s="6" t="s">
        <v>225</v>
      </c>
      <c r="C27" s="25"/>
      <c r="D27" s="25"/>
      <c r="E27" s="25"/>
      <c r="F27" s="25"/>
      <c r="G27" s="25"/>
      <c r="H27" s="28">
        <f>Inputs!H215</f>
        <v>0.5</v>
      </c>
    </row>
    <row r="28">
      <c r="B28" s="6" t="s">
        <v>226</v>
      </c>
      <c r="C28" s="14"/>
      <c r="D28" s="14"/>
      <c r="E28" s="14"/>
      <c r="F28" s="14"/>
      <c r="G28" s="14"/>
      <c r="H28" s="10">
        <f>H23-H24+H26</f>
        <v>607.213453</v>
      </c>
    </row>
    <row r="29">
      <c r="B29" s="2" t="s">
        <v>227</v>
      </c>
      <c r="C29" s="13">
        <f>C15</f>
        <v>629.418129</v>
      </c>
      <c r="D29" s="13">
        <f>D15</f>
        <v>626.04304</v>
      </c>
      <c r="E29" s="13">
        <f>E15</f>
        <v>622.640891</v>
      </c>
      <c r="F29" s="13">
        <f>F15</f>
        <v>615.593409</v>
      </c>
      <c r="G29" s="13">
        <f>G15</f>
        <v>632.435108</v>
      </c>
      <c r="H29" s="12">
        <f>H15</f>
        <v>613.093409</v>
      </c>
    </row>
  </sheetData>
</worksheet>
</file>

<file path=xl/worksheets/sheet11.xml><?xml version="1.0" encoding="utf-8"?>
<worksheet xmlns="http://schemas.openxmlformats.org/spreadsheetml/2006/main" xmlns:r="http://schemas.openxmlformats.org/officeDocument/2006/relationships">
  <dimension ref="B2:K26"/>
  <sheetViews>
    <sheetView showGridLines="0" workbookViewId="0">
      <pane xSplit="2" ySplit="7" topLeftCell="C8" activePane="bottomRight" state="frozen"/>
    </sheetView>
  </sheetViews>
  <sheetFormatPr defaultColWidth="8.42578125" defaultRowHeight="15"/>
  <cols>
    <col min="1" max="1" width="3" customWidth="1"/>
    <col min="2" max="2" width="16" customWidth="1"/>
    <col min="3" max="3" width="15" customWidth="1"/>
    <col min="4" max="4" width="33" customWidth="1"/>
    <col min="5" max="8" width="16" customWidth="1"/>
    <col min="9" max="9" width="22" customWidth="1"/>
    <col min="10" max="10" width="17" customWidth="1"/>
    <col min="11" max="11" width="23" customWidth="1"/>
  </cols>
  <sheetData>
    <row r="2">
      <c r="B2" s="3" t="s">
        <v>0</v>
      </c>
      <c r="C2" s="3"/>
      <c r="D2" s="3"/>
      <c r="E2" s="3"/>
      <c r="F2" s="3"/>
      <c r="G2" s="3"/>
      <c r="H2" s="3"/>
    </row>
    <row r="3">
      <c r="B3" s="3" t="s">
        <v>228</v>
      </c>
      <c r="C3" s="3"/>
      <c r="D3" s="3"/>
      <c r="E3" s="3"/>
      <c r="F3" s="3"/>
      <c r="G3" s="3"/>
      <c r="H3" s="3"/>
    </row>
    <row r="4">
      <c r="B4" s="3" t="s">
        <v>2</v>
      </c>
      <c r="C4" s="3"/>
      <c r="D4" s="3"/>
      <c r="E4" s="3"/>
      <c r="F4" s="3"/>
      <c r="G4" s="3"/>
      <c r="H4" s="3"/>
    </row>
    <row r="5">
      <c r="B5" s="5" t="s">
        <v>3</v>
      </c>
      <c r="C5" s="5" t="s">
        <v>4</v>
      </c>
      <c r="D5" s="5" t="s">
        <v>5</v>
      </c>
      <c r="E5" s="5" t="s">
        <v>6</v>
      </c>
      <c r="F5" s="5" t="s">
        <v>7</v>
      </c>
      <c r="G5" s="5" t="s">
        <v>8</v>
      </c>
      <c r="H5" s="5" t="s">
        <v>9</v>
      </c>
    </row>
    <row r="6">
      <c r="B6" s="5" t="s">
        <v>10</v>
      </c>
      <c r="C6" s="9">
        <v>45900</v>
      </c>
      <c r="D6" s="9">
        <v>45991</v>
      </c>
      <c r="E6" s="9">
        <v>46081</v>
      </c>
      <c r="F6" s="9">
        <v>46173</v>
      </c>
      <c r="G6" s="9">
        <v>45900</v>
      </c>
      <c r="H6" s="9">
        <v>46265</v>
      </c>
    </row>
    <row r="7">
      <c r="B7" s="5" t="s">
        <v>11</v>
      </c>
      <c r="C7" s="5">
        <v>92</v>
      </c>
      <c r="D7" s="5">
        <v>91</v>
      </c>
      <c r="E7" s="5">
        <v>90</v>
      </c>
      <c r="F7" s="5">
        <v>92</v>
      </c>
      <c r="G7" s="5">
        <v>365</v>
      </c>
      <c r="H7" s="5">
        <v>92</v>
      </c>
    </row>
    <row r="8">
      <c r="B8" s="6"/>
      <c r="C8" s="6"/>
      <c r="D8" s="6"/>
      <c r="E8" s="6"/>
      <c r="F8" s="6"/>
      <c r="G8" s="6"/>
      <c r="H8" s="8"/>
    </row>
    <row r="9">
      <c r="B9" s="36" t="s">
        <v>229</v>
      </c>
      <c r="C9" s="36" t="s">
        <v>230</v>
      </c>
      <c r="D9" s="36" t="s">
        <v>16</v>
      </c>
      <c r="E9" s="36" t="s">
        <v>231</v>
      </c>
      <c r="F9" s="36" t="s">
        <v>232</v>
      </c>
      <c r="G9" s="36" t="s">
        <v>233</v>
      </c>
      <c r="H9" s="36" t="s">
        <v>234</v>
      </c>
      <c r="I9" s="36" t="s">
        <v>235</v>
      </c>
      <c r="J9" s="36" t="s">
        <v>236</v>
      </c>
      <c r="K9" s="36" t="s">
        <v>237</v>
      </c>
    </row>
    <row r="10">
      <c r="B10" s="37">
        <v>46191</v>
      </c>
      <c r="C10" s="1" t="s">
        <v>9</v>
      </c>
      <c r="D10" s="1" t="s">
        <v>238</v>
      </c>
      <c r="E10" s="35">
        <v>17750</v>
      </c>
      <c r="F10" s="35">
        <v>18400</v>
      </c>
      <c r="G10" s="1">
        <f>AVERAGE(E10:F10)</f>
        <v>18075</v>
      </c>
      <c r="H10" s="19"/>
      <c r="I10" s="1"/>
      <c r="J10" s="19">
        <f>'Revenue summary'!H10</f>
        <v>17950.152701272847</v>
      </c>
      <c r="K10" s="10">
        <f>J10-G10</f>
        <v>-124.84729872715252</v>
      </c>
    </row>
    <row r="11">
      <c r="B11" s="37">
        <v>46191</v>
      </c>
      <c r="C11" s="1" t="s">
        <v>9</v>
      </c>
      <c r="D11" s="1" t="s">
        <v>239</v>
      </c>
      <c r="E11" s="40">
        <v>0.01</v>
      </c>
      <c r="F11" s="40">
        <v>0.05</v>
      </c>
      <c r="G11" s="24">
        <f>AVERAGE(E11:F11)</f>
        <v>0.030000000000000002</v>
      </c>
      <c r="H11" s="26"/>
      <c r="I11" s="23"/>
      <c r="J11" s="28">
        <f>(1+'Revenue summary'!H11)/(1+J12)-1</f>
        <v>0.024745790024722103</v>
      </c>
      <c r="K11" s="26">
        <f>J11-G11</f>
        <v>-0.005254209975277899</v>
      </c>
    </row>
    <row r="12">
      <c r="B12" s="37">
        <v>46191</v>
      </c>
      <c r="C12" s="1" t="s">
        <v>9</v>
      </c>
      <c r="D12" s="1" t="s">
        <v>240</v>
      </c>
      <c r="E12" s="40">
        <v>-0.005</v>
      </c>
      <c r="F12" s="40">
        <v>-0.005</v>
      </c>
      <c r="G12" s="24">
        <f>AVERAGE(E12:F12)</f>
        <v>-0.005</v>
      </c>
      <c r="H12" s="26"/>
      <c r="I12" s="23"/>
      <c r="J12" s="28">
        <f>('Segment - Americas'!H15*'Revenue summary'!C19+'Segment - EMEA'!H15*'Revenue summary'!C29+'Segment - Asia Pacific'!H15*'Revenue summary'!C39)/'Revenue summary'!C10</f>
        <v>-0.004522074122569228</v>
      </c>
      <c r="K12" s="26">
        <f>J12-G12</f>
        <v>0.00047792587743077184</v>
      </c>
    </row>
    <row r="13">
      <c r="B13" s="37">
        <v>46191</v>
      </c>
      <c r="C13" s="1" t="s">
        <v>241</v>
      </c>
      <c r="D13" s="1" t="s">
        <v>242</v>
      </c>
      <c r="E13" s="41">
        <v>13.78</v>
      </c>
      <c r="F13" s="41">
        <v>13.9</v>
      </c>
      <c r="G13" s="42">
        <f>AVERAGE(E13:F13)</f>
        <v>13.84</v>
      </c>
      <c r="H13" s="38"/>
      <c r="I13" s="1"/>
      <c r="J13" s="38">
        <f>SUM('Income Statement'!D46:F46)+'Income Statement'!H46</f>
        <v>13.821576766688594</v>
      </c>
      <c r="K13" s="45">
        <f>J13-G13</f>
        <v>-0.01842323331140605</v>
      </c>
    </row>
    <row r="14">
      <c r="B14" s="37">
        <v>46191</v>
      </c>
      <c r="C14" s="1" t="s">
        <v>241</v>
      </c>
      <c r="D14" s="1" t="s">
        <v>243</v>
      </c>
      <c r="E14" s="41">
        <v>13.38</v>
      </c>
      <c r="F14" s="41">
        <v>13.5</v>
      </c>
      <c r="G14" s="42">
        <f>AVERAGE(E14:F14)</f>
        <v>13.440000000000001</v>
      </c>
      <c r="H14" s="38"/>
      <c r="I14" s="1"/>
      <c r="J14" s="38">
        <f>SUM('Income Statement'!D39:F39)+'Income Statement'!H39</f>
        <v>13.421749623813561</v>
      </c>
      <c r="K14" s="45">
        <f>J14-G14</f>
        <v>-0.01825037618644032</v>
      </c>
    </row>
    <row r="15">
      <c r="B15" s="37">
        <v>46191</v>
      </c>
      <c r="C15" s="1" t="s">
        <v>241</v>
      </c>
      <c r="D15" s="1" t="s">
        <v>244</v>
      </c>
      <c r="E15" s="40">
        <v>0.153</v>
      </c>
      <c r="F15" s="40">
        <v>0.153</v>
      </c>
      <c r="G15" s="24">
        <f>AVERAGE(E15:F15)</f>
        <v>0.153</v>
      </c>
      <c r="H15" s="26"/>
      <c r="I15" s="23"/>
      <c r="J15" s="28">
        <f>(SUM('Income Statement'!D20:F20)+'Income Statement'!H20)/(SUM('Income Statement'!D10:F10)+'Income Statement'!H10)</f>
        <v>0.15298625780784667</v>
      </c>
      <c r="K15" s="26">
        <f>J15-G15</f>
        <v>-0.000013742192153332056</v>
      </c>
    </row>
    <row r="16">
      <c r="B16" s="37">
        <v>46191</v>
      </c>
      <c r="C16" s="1" t="s">
        <v>241</v>
      </c>
      <c r="D16" s="1" t="s">
        <v>245</v>
      </c>
      <c r="E16" s="40">
        <v>0.158</v>
      </c>
      <c r="F16" s="40">
        <v>0.158</v>
      </c>
      <c r="G16" s="24">
        <f>AVERAGE(E16:F16)</f>
        <v>0.158</v>
      </c>
      <c r="H16" s="26"/>
      <c r="I16" s="23"/>
      <c r="J16" s="28">
        <f>(SUM('Income Statement'!D20:F20)+'Income Statement'!H20+'Income Statement'!D42)/(SUM('Income Statement'!D10:F10)+'Income Statement'!H10)</f>
        <v>0.1571730816442706</v>
      </c>
      <c r="K16" s="26">
        <f>J16-G16</f>
        <v>-0.0008269183557294002</v>
      </c>
    </row>
    <row r="17">
      <c r="B17" s="37">
        <v>46191</v>
      </c>
      <c r="C17" s="1" t="s">
        <v>241</v>
      </c>
      <c r="D17" s="1" t="s">
        <v>120</v>
      </c>
      <c r="E17" s="40">
        <v>0.24</v>
      </c>
      <c r="F17" s="40">
        <v>0.25</v>
      </c>
      <c r="G17" s="24">
        <f>AVERAGE(E17:F17)</f>
        <v>0.245</v>
      </c>
      <c r="H17" s="26"/>
      <c r="I17" s="23"/>
      <c r="J17" s="28">
        <f>(SUM('Income Statement'!D27:F27)+'Income Statement'!H27)/(SUM('Income Statement'!D26:F26)+'Income Statement'!H26)</f>
        <v>0.247163959097484</v>
      </c>
      <c r="K17" s="26">
        <f>J17-G17</f>
        <v>0.002163959097484014</v>
      </c>
    </row>
    <row r="18">
      <c r="B18" s="37">
        <v>46191</v>
      </c>
      <c r="C18" s="1" t="s">
        <v>241</v>
      </c>
      <c r="D18" s="1" t="s">
        <v>246</v>
      </c>
      <c r="E18" s="35">
        <v>11500</v>
      </c>
      <c r="F18" s="35">
        <v>12200</v>
      </c>
      <c r="G18" s="1">
        <f>AVERAGE(E18:F18)</f>
        <v>11850</v>
      </c>
      <c r="H18" s="10"/>
      <c r="I18" s="1"/>
      <c r="J18" s="19">
        <f>Inputs!F154+'Cash Flow Statement'!H14</f>
        <v>12132.25530253157</v>
      </c>
      <c r="K18" s="10">
        <f>J18-G18</f>
        <v>282.2553025315701</v>
      </c>
    </row>
    <row r="19">
      <c r="B19" s="37">
        <v>46191</v>
      </c>
      <c r="C19" s="1" t="s">
        <v>241</v>
      </c>
      <c r="D19" s="1" t="s">
        <v>247</v>
      </c>
      <c r="E19" s="35">
        <v>700</v>
      </c>
      <c r="F19" s="35">
        <v>700</v>
      </c>
      <c r="G19" s="1">
        <f>AVERAGE(E19:F19)</f>
        <v>700</v>
      </c>
      <c r="H19" s="10"/>
      <c r="I19" s="1"/>
      <c r="J19" s="19">
        <f>-Inputs!F155-'Cash Flow Statement'!H16</f>
        <v>692.491</v>
      </c>
      <c r="K19" s="10">
        <f>J19-G19</f>
        <v>-7.5090000000000146</v>
      </c>
    </row>
    <row r="20">
      <c r="B20" s="37">
        <v>46191</v>
      </c>
      <c r="C20" s="1" t="s">
        <v>241</v>
      </c>
      <c r="D20" s="1" t="s">
        <v>248</v>
      </c>
      <c r="E20" s="35">
        <v>10800</v>
      </c>
      <c r="F20" s="35">
        <v>11500</v>
      </c>
      <c r="G20" s="1">
        <f>AVERAGE(E20:F20)</f>
        <v>11150</v>
      </c>
      <c r="H20" s="10"/>
      <c r="I20" s="1"/>
      <c r="J20" s="19">
        <f>Inputs!F154+Inputs!F155+'Cash Flow Statement'!H38</f>
        <v>11439.76430253157</v>
      </c>
      <c r="K20" s="10">
        <f>J20-G20</f>
        <v>289.76430253157014</v>
      </c>
    </row>
    <row r="21">
      <c r="B21" s="37">
        <v>46191</v>
      </c>
      <c r="C21" s="1" t="s">
        <v>241</v>
      </c>
      <c r="D21" s="1" t="s">
        <v>249</v>
      </c>
      <c r="E21" s="35">
        <v>9500</v>
      </c>
      <c r="F21" s="1"/>
      <c r="G21" s="1"/>
      <c r="H21" s="10"/>
      <c r="I21" s="1"/>
      <c r="J21" s="19">
        <f>-Inputs!F161-Inputs!F163-'Cash Flow Statement'!H23-'Cash Flow Statement'!H25</f>
        <v>10206.122</v>
      </c>
      <c r="K21" s="10"/>
    </row>
    <row r="22">
      <c r="B22" s="37">
        <v>46100</v>
      </c>
      <c r="C22" s="1" t="s">
        <v>7</v>
      </c>
      <c r="D22" s="1" t="s">
        <v>238</v>
      </c>
      <c r="E22" s="35">
        <v>18350</v>
      </c>
      <c r="F22" s="35">
        <v>19000</v>
      </c>
      <c r="G22" s="1">
        <f>AVERAGE(E22:F22)</f>
        <v>18675</v>
      </c>
      <c r="H22" s="19">
        <f>'Revenue summary'!F10</f>
        <v>18718.144</v>
      </c>
      <c r="I22" s="1">
        <f>H22-G22</f>
        <v>43.14400000000023</v>
      </c>
      <c r="J22" s="10"/>
      <c r="K22" s="10"/>
    </row>
    <row r="23">
      <c r="B23" s="6"/>
      <c r="C23" s="1"/>
      <c r="D23" s="1"/>
      <c r="E23" s="1"/>
      <c r="F23" s="1"/>
      <c r="G23" s="1"/>
      <c r="H23" s="10"/>
    </row>
    <row r="24">
      <c r="B24" s="6"/>
      <c r="C24" s="1"/>
      <c r="D24" s="1"/>
      <c r="E24" s="1"/>
      <c r="F24" s="1"/>
      <c r="G24" s="1"/>
      <c r="H24" s="10"/>
    </row>
    <row r="25">
      <c r="B25" s="6"/>
      <c r="C25" s="1"/>
      <c r="D25" s="1"/>
      <c r="E25" s="1"/>
      <c r="F25" s="1"/>
      <c r="G25" s="1"/>
      <c r="H25" s="10"/>
    </row>
    <row r="26">
      <c r="B26" s="6"/>
      <c r="C26" s="1"/>
      <c r="D26" s="1"/>
      <c r="E26" s="1"/>
      <c r="F26" s="1"/>
      <c r="G26" s="1"/>
      <c r="H26" s="10"/>
    </row>
  </sheetData>
</worksheet>
</file>

<file path=xl/worksheets/sheet12.xml><?xml version="1.0" encoding="utf-8"?>
<worksheet xmlns="http://schemas.openxmlformats.org/spreadsheetml/2006/main" xmlns:r="http://schemas.openxmlformats.org/officeDocument/2006/relationships">
  <dimension ref="B2:I262"/>
  <sheetViews>
    <sheetView showGridLines="0" workbookViewId="0">
      <pane xSplit="2" ySplit="7" topLeftCell="C8" activePane="bottomRight" state="frozen"/>
    </sheetView>
  </sheetViews>
  <sheetFormatPr defaultColWidth="8.42578125" defaultRowHeight="15"/>
  <cols>
    <col min="1" max="1" width="3" customWidth="1"/>
    <col min="2" max="2" width="36" customWidth="1"/>
    <col min="3" max="8" width="13" customWidth="1"/>
    <col min="9" max="9" width="18" customWidth="1"/>
  </cols>
  <sheetData>
    <row r="2">
      <c r="B2" s="3" t="s">
        <v>0</v>
      </c>
      <c r="C2" s="3"/>
      <c r="D2" s="3"/>
      <c r="E2" s="3"/>
      <c r="F2" s="3"/>
      <c r="G2" s="3"/>
      <c r="H2" s="3"/>
    </row>
    <row r="3">
      <c r="B3" s="3" t="s">
        <v>250</v>
      </c>
      <c r="C3" s="3"/>
      <c r="D3" s="3"/>
      <c r="E3" s="3"/>
      <c r="F3" s="3"/>
      <c r="G3" s="3"/>
      <c r="H3" s="3"/>
    </row>
    <row r="4">
      <c r="B4" s="3" t="s">
        <v>2</v>
      </c>
      <c r="C4" s="3"/>
      <c r="D4" s="3"/>
      <c r="E4" s="3"/>
      <c r="F4" s="3"/>
      <c r="G4" s="3"/>
      <c r="H4" s="3"/>
    </row>
    <row r="5">
      <c r="B5" s="5" t="s">
        <v>3</v>
      </c>
      <c r="C5" s="5" t="s">
        <v>4</v>
      </c>
      <c r="D5" s="5" t="s">
        <v>5</v>
      </c>
      <c r="E5" s="5" t="s">
        <v>6</v>
      </c>
      <c r="F5" s="5" t="s">
        <v>7</v>
      </c>
      <c r="G5" s="5" t="s">
        <v>8</v>
      </c>
      <c r="H5" s="5" t="s">
        <v>9</v>
      </c>
    </row>
    <row r="6">
      <c r="B6" s="5" t="s">
        <v>10</v>
      </c>
      <c r="C6" s="9">
        <v>45900</v>
      </c>
      <c r="D6" s="9">
        <v>45991</v>
      </c>
      <c r="E6" s="9">
        <v>46081</v>
      </c>
      <c r="F6" s="9">
        <v>46173</v>
      </c>
      <c r="G6" s="9">
        <v>45900</v>
      </c>
      <c r="H6" s="9">
        <v>46265</v>
      </c>
    </row>
    <row r="7">
      <c r="B7" s="5" t="s">
        <v>11</v>
      </c>
      <c r="C7" s="5">
        <v>92</v>
      </c>
      <c r="D7" s="5">
        <v>91</v>
      </c>
      <c r="E7" s="5">
        <v>90</v>
      </c>
      <c r="F7" s="5">
        <v>92</v>
      </c>
      <c r="G7" s="5">
        <v>365</v>
      </c>
      <c r="H7" s="5">
        <v>92</v>
      </c>
    </row>
    <row r="8">
      <c r="B8" s="6"/>
      <c r="C8" s="6"/>
      <c r="D8" s="6"/>
      <c r="E8" s="6"/>
      <c r="F8" s="6"/>
      <c r="G8" s="6"/>
      <c r="H8" s="8"/>
    </row>
    <row r="9">
      <c r="B9" s="36" t="s">
        <v>251</v>
      </c>
      <c r="C9" s="36"/>
      <c r="D9" s="36"/>
      <c r="E9" s="36"/>
      <c r="F9" s="36"/>
      <c r="G9" s="36"/>
      <c r="H9" s="36"/>
    </row>
    <row r="10">
      <c r="B10" s="6" t="s">
        <v>252</v>
      </c>
      <c r="C10" s="1" t="s">
        <v>253</v>
      </c>
      <c r="D10" s="1" t="s">
        <v>254</v>
      </c>
      <c r="E10" s="1" t="s">
        <v>255</v>
      </c>
      <c r="F10" s="1" t="s">
        <v>256</v>
      </c>
      <c r="G10" s="1" t="s">
        <v>257</v>
      </c>
      <c r="H10" s="10" t="s">
        <v>258</v>
      </c>
      <c r="I10" s="6" t="s">
        <v>259</v>
      </c>
    </row>
    <row r="11">
      <c r="B11" s="37">
        <v>45716</v>
      </c>
      <c r="C11" s="41">
        <v>2.81</v>
      </c>
      <c r="D11" s="41">
        <v>2.82</v>
      </c>
      <c r="E11" s="41">
        <v>2.79</v>
      </c>
      <c r="F11" s="41">
        <v>2.82</v>
      </c>
      <c r="G11" s="62">
        <v>16609.6</v>
      </c>
      <c r="H11" s="60">
        <v>16659.3</v>
      </c>
      <c r="I11" s="61">
        <v>45736</v>
      </c>
    </row>
    <row r="12">
      <c r="B12" s="37">
        <v>45808</v>
      </c>
      <c r="C12" s="41">
        <v>3.32</v>
      </c>
      <c r="D12" s="41">
        <v>3.49</v>
      </c>
      <c r="E12" s="41">
        <v>3.32</v>
      </c>
      <c r="F12" s="41">
        <v>3.49</v>
      </c>
      <c r="G12" s="62">
        <v>17323.85</v>
      </c>
      <c r="H12" s="60">
        <v>17727.87</v>
      </c>
      <c r="I12" s="61">
        <v>45828</v>
      </c>
    </row>
    <row r="13">
      <c r="B13" s="37">
        <v>45900</v>
      </c>
      <c r="C13" s="41">
        <v>2.97</v>
      </c>
      <c r="D13" s="41">
        <v>3.03</v>
      </c>
      <c r="E13" s="41">
        <v>2.96</v>
      </c>
      <c r="F13" s="41">
        <v>2.25</v>
      </c>
      <c r="G13" s="62">
        <v>17360.12</v>
      </c>
      <c r="H13" s="60">
        <v>17596.26</v>
      </c>
      <c r="I13" s="61">
        <v>45925</v>
      </c>
    </row>
    <row r="14">
      <c r="B14" s="37">
        <v>45991</v>
      </c>
      <c r="C14" s="41">
        <v>3.72</v>
      </c>
      <c r="D14" s="41">
        <v>3.94</v>
      </c>
      <c r="E14" s="41">
        <v>3.4</v>
      </c>
      <c r="F14" s="41">
        <v>3.54</v>
      </c>
      <c r="G14" s="62">
        <v>18531.75</v>
      </c>
      <c r="H14" s="60">
        <v>18742.13</v>
      </c>
      <c r="I14" s="61">
        <v>46009</v>
      </c>
    </row>
    <row r="15">
      <c r="B15" s="37">
        <v>46081</v>
      </c>
      <c r="C15" s="41">
        <v>2.84</v>
      </c>
      <c r="D15" s="41">
        <v>2.93</v>
      </c>
      <c r="E15" s="41">
        <v>2.82</v>
      </c>
      <c r="F15" s="41">
        <v>2.93</v>
      </c>
      <c r="G15" s="62">
        <v>17844.22</v>
      </c>
      <c r="H15" s="60">
        <v>18044.07</v>
      </c>
      <c r="I15" s="61">
        <v>46100</v>
      </c>
    </row>
    <row r="16">
      <c r="B16" s="37">
        <v>46173</v>
      </c>
      <c r="C16" s="41">
        <v>3.71</v>
      </c>
      <c r="D16" s="41">
        <v>3.8</v>
      </c>
      <c r="E16" s="41">
        <v>3.69</v>
      </c>
      <c r="F16" s="41">
        <v>3.8</v>
      </c>
      <c r="G16" s="62">
        <v>18747.94</v>
      </c>
      <c r="H16" s="60">
        <v>18718.14</v>
      </c>
      <c r="I16" s="61">
        <v>46191</v>
      </c>
    </row>
    <row r="17">
      <c r="B17" s="6"/>
      <c r="C17" s="1"/>
      <c r="D17" s="1"/>
      <c r="E17" s="1"/>
      <c r="F17" s="1"/>
      <c r="G17" s="1"/>
      <c r="H17" s="10"/>
    </row>
    <row r="18">
      <c r="B18" s="6"/>
      <c r="C18" s="1"/>
      <c r="D18" s="1"/>
      <c r="E18" s="1"/>
      <c r="F18" s="1"/>
      <c r="G18" s="1"/>
      <c r="H18" s="10"/>
    </row>
    <row r="19">
      <c r="B19" s="36" t="s">
        <v>260</v>
      </c>
      <c r="C19" s="53"/>
      <c r="D19" s="53"/>
      <c r="E19" s="53"/>
      <c r="F19" s="53"/>
      <c r="G19" s="53"/>
      <c r="H19" s="53"/>
      <c r="I19" s="6"/>
    </row>
    <row r="20">
      <c r="B20" s="6"/>
      <c r="C20" s="1"/>
      <c r="D20" s="1"/>
      <c r="E20" s="1"/>
      <c r="F20" s="1"/>
      <c r="G20" s="1"/>
      <c r="H20" s="10"/>
      <c r="I20" s="6"/>
    </row>
    <row r="21">
      <c r="B21" s="6" t="s">
        <v>261</v>
      </c>
      <c r="C21" s="64" t="s">
        <v>262</v>
      </c>
      <c r="D21" s="1"/>
      <c r="E21" s="1"/>
      <c r="F21" s="1"/>
      <c r="G21" s="1"/>
      <c r="H21" s="10"/>
      <c r="I21" s="6"/>
    </row>
    <row r="22">
      <c r="B22" s="6" t="s">
        <v>263</v>
      </c>
      <c r="C22" s="64" t="s">
        <v>264</v>
      </c>
      <c r="D22" s="1"/>
      <c r="E22" s="1"/>
      <c r="F22" s="1"/>
      <c r="G22" s="1"/>
      <c r="H22" s="10"/>
      <c r="I22" s="6"/>
    </row>
    <row r="23">
      <c r="B23" s="6" t="s">
        <v>265</v>
      </c>
      <c r="C23" s="64" t="s">
        <v>266</v>
      </c>
      <c r="D23" s="1"/>
      <c r="E23" s="1"/>
      <c r="F23" s="1"/>
      <c r="G23" s="1"/>
      <c r="H23" s="10"/>
      <c r="I23" s="6"/>
    </row>
    <row r="24">
      <c r="B24" s="6" t="s">
        <v>267</v>
      </c>
      <c r="C24" s="62">
        <v>972190</v>
      </c>
      <c r="D24" s="1"/>
      <c r="E24" s="1"/>
      <c r="F24" s="1"/>
      <c r="G24" s="1"/>
      <c r="H24" s="10"/>
      <c r="I24" s="6"/>
    </row>
    <row r="25">
      <c r="B25" s="6" t="s">
        <v>268</v>
      </c>
      <c r="C25" s="57">
        <v>31</v>
      </c>
      <c r="D25" s="1"/>
      <c r="E25" s="1"/>
      <c r="F25" s="1"/>
      <c r="G25" s="1"/>
      <c r="H25" s="10"/>
      <c r="I25" s="6"/>
    </row>
    <row r="26">
      <c r="B26" s="6" t="s">
        <v>269</v>
      </c>
      <c r="C26" s="64" t="s">
        <v>270</v>
      </c>
      <c r="D26" s="1"/>
      <c r="E26" s="1"/>
      <c r="F26" s="1"/>
      <c r="G26" s="1"/>
      <c r="H26" s="10"/>
      <c r="I26" s="6"/>
    </row>
    <row r="27">
      <c r="B27" s="6" t="s">
        <v>271</v>
      </c>
      <c r="C27" s="64" t="s">
        <v>272</v>
      </c>
      <c r="D27" s="6"/>
      <c r="E27" s="6"/>
      <c r="F27" s="6"/>
      <c r="G27" s="6"/>
      <c r="H27" s="6"/>
      <c r="I27" s="6"/>
    </row>
    <row r="28">
      <c r="B28" s="6" t="s">
        <v>252</v>
      </c>
      <c r="C28" s="62">
        <v>46265</v>
      </c>
      <c r="D28" s="6"/>
      <c r="E28" s="6"/>
      <c r="F28" s="6"/>
      <c r="G28" s="6"/>
      <c r="H28" s="6"/>
      <c r="I28" s="6"/>
    </row>
    <row r="29">
      <c r="B29" s="6" t="s">
        <v>273</v>
      </c>
      <c r="C29" s="62">
        <v>46296</v>
      </c>
      <c r="D29" s="6"/>
      <c r="E29" s="6"/>
      <c r="F29" s="6"/>
      <c r="G29" s="6"/>
      <c r="H29" s="6"/>
      <c r="I29" s="6"/>
    </row>
    <row r="30">
      <c r="B30" s="6" t="s">
        <v>274</v>
      </c>
      <c r="C30" s="41">
        <v>3.18</v>
      </c>
      <c r="D30" s="6"/>
      <c r="E30" s="6"/>
      <c r="F30" s="6"/>
      <c r="G30" s="6"/>
      <c r="H30" s="6"/>
      <c r="I30" s="6"/>
    </row>
    <row r="31">
      <c r="B31" s="6" t="s">
        <v>275</v>
      </c>
      <c r="C31" s="41">
        <v>3.19</v>
      </c>
      <c r="D31" s="6"/>
      <c r="E31" s="6"/>
      <c r="F31" s="6"/>
      <c r="G31" s="6"/>
      <c r="H31" s="6"/>
      <c r="I31" s="6"/>
    </row>
    <row r="32">
      <c r="B32" s="6" t="s">
        <v>276</v>
      </c>
      <c r="C32" s="41">
        <v>3.23</v>
      </c>
      <c r="D32" s="6"/>
      <c r="E32" s="6"/>
      <c r="F32" s="6"/>
      <c r="G32" s="6"/>
      <c r="H32" s="6"/>
      <c r="I32" s="6"/>
    </row>
    <row r="33">
      <c r="B33" s="6" t="s">
        <v>277</v>
      </c>
      <c r="C33" s="41">
        <v>3.12</v>
      </c>
      <c r="D33" s="6"/>
      <c r="E33" s="6"/>
      <c r="F33" s="6"/>
      <c r="G33" s="6"/>
      <c r="H33" s="6"/>
      <c r="I33" s="6"/>
    </row>
    <row r="34">
      <c r="B34" s="6" t="s">
        <v>278</v>
      </c>
      <c r="C34" s="41">
        <v>0.03</v>
      </c>
      <c r="D34" s="6"/>
      <c r="E34" s="6"/>
      <c r="F34" s="6"/>
      <c r="G34" s="6"/>
      <c r="H34" s="6"/>
      <c r="I34" s="6"/>
    </row>
    <row r="35">
      <c r="B35" s="6" t="s">
        <v>279</v>
      </c>
      <c r="C35" s="57">
        <v>20</v>
      </c>
      <c r="D35" s="6"/>
      <c r="E35" s="6"/>
      <c r="F35" s="6"/>
      <c r="G35" s="6"/>
      <c r="H35" s="6"/>
      <c r="I35" s="6"/>
    </row>
    <row r="36">
      <c r="B36" s="6" t="s">
        <v>280</v>
      </c>
      <c r="C36" s="64"/>
      <c r="D36" s="6"/>
      <c r="E36" s="6"/>
      <c r="F36" s="6"/>
      <c r="G36" s="6"/>
      <c r="H36" s="6"/>
      <c r="I36" s="6"/>
    </row>
    <row r="37">
      <c r="B37" s="6" t="s">
        <v>281</v>
      </c>
      <c r="C37" s="42"/>
      <c r="D37" s="6"/>
      <c r="E37" s="6"/>
      <c r="F37" s="6"/>
      <c r="G37" s="6"/>
      <c r="H37" s="6"/>
      <c r="I37" s="6"/>
    </row>
    <row r="38">
      <c r="B38" s="6" t="s">
        <v>282</v>
      </c>
      <c r="C38" s="42"/>
      <c r="D38" s="6"/>
      <c r="E38" s="6"/>
      <c r="F38" s="6"/>
      <c r="G38" s="6"/>
      <c r="H38" s="6"/>
      <c r="I38" s="6"/>
    </row>
    <row r="39">
      <c r="B39" s="6" t="s">
        <v>283</v>
      </c>
      <c r="C39" s="41">
        <v>3.18</v>
      </c>
      <c r="D39" s="6"/>
      <c r="E39" s="6"/>
      <c r="F39" s="6"/>
      <c r="G39" s="6"/>
      <c r="H39" s="6"/>
      <c r="I39" s="6"/>
    </row>
    <row r="40">
      <c r="B40" s="6" t="s">
        <v>284</v>
      </c>
      <c r="C40" s="41">
        <v>3.18</v>
      </c>
      <c r="D40" s="6"/>
      <c r="E40" s="6"/>
      <c r="F40" s="6"/>
      <c r="G40" s="6"/>
      <c r="H40" s="6"/>
      <c r="I40" s="6"/>
    </row>
    <row r="41">
      <c r="B41" s="6" t="s">
        <v>285</v>
      </c>
      <c r="C41" s="41">
        <v>3.23</v>
      </c>
      <c r="D41" s="6"/>
      <c r="E41" s="6"/>
      <c r="F41" s="6"/>
      <c r="G41" s="6"/>
      <c r="H41" s="6"/>
      <c r="I41" s="6"/>
    </row>
    <row r="42">
      <c r="B42" s="6" t="s">
        <v>286</v>
      </c>
      <c r="C42" s="41">
        <v>3.12</v>
      </c>
      <c r="D42" s="6"/>
      <c r="E42" s="6"/>
      <c r="F42" s="6"/>
      <c r="G42" s="6"/>
      <c r="H42" s="6"/>
      <c r="I42" s="6"/>
    </row>
    <row r="43">
      <c r="B43" s="6" t="s">
        <v>287</v>
      </c>
      <c r="C43" s="41">
        <v>0.03</v>
      </c>
      <c r="D43" s="6"/>
      <c r="E43" s="6"/>
      <c r="F43" s="6"/>
      <c r="G43" s="6"/>
      <c r="H43" s="6"/>
      <c r="I43" s="6"/>
    </row>
    <row r="44">
      <c r="B44" s="6" t="s">
        <v>288</v>
      </c>
      <c r="C44" s="57">
        <v>11</v>
      </c>
      <c r="D44" s="6"/>
      <c r="E44" s="6"/>
      <c r="F44" s="6"/>
      <c r="G44" s="6"/>
      <c r="H44" s="6"/>
      <c r="I44" s="6"/>
    </row>
    <row r="45">
      <c r="B45" s="6" t="s">
        <v>289</v>
      </c>
      <c r="C45" s="42"/>
      <c r="D45" s="6"/>
      <c r="E45" s="6"/>
      <c r="F45" s="6"/>
      <c r="G45" s="6"/>
      <c r="H45" s="6"/>
      <c r="I45" s="6"/>
    </row>
    <row r="46">
      <c r="B46" s="6" t="s">
        <v>290</v>
      </c>
      <c r="C46" s="42"/>
      <c r="D46" s="6"/>
      <c r="E46" s="6"/>
      <c r="F46" s="6"/>
      <c r="G46" s="6"/>
      <c r="H46" s="6"/>
      <c r="I46" s="6"/>
    </row>
    <row r="47">
      <c r="B47" s="6" t="s">
        <v>291</v>
      </c>
      <c r="C47" s="62">
        <v>18037.35</v>
      </c>
      <c r="D47" s="6"/>
      <c r="E47" s="6"/>
      <c r="F47" s="6"/>
      <c r="G47" s="6"/>
      <c r="H47" s="6"/>
      <c r="I47" s="6"/>
    </row>
    <row r="48">
      <c r="B48" s="6" t="s">
        <v>292</v>
      </c>
      <c r="C48" s="62">
        <v>18036.95</v>
      </c>
      <c r="D48" s="6"/>
      <c r="E48" s="6"/>
      <c r="F48" s="6"/>
      <c r="G48" s="6"/>
      <c r="H48" s="6"/>
      <c r="I48" s="6"/>
    </row>
    <row r="49">
      <c r="B49" s="6" t="s">
        <v>293</v>
      </c>
      <c r="C49" s="62">
        <v>18169</v>
      </c>
      <c r="D49" s="6"/>
      <c r="E49" s="6"/>
      <c r="F49" s="6"/>
      <c r="G49" s="6"/>
      <c r="H49" s="6"/>
      <c r="I49" s="6"/>
    </row>
    <row r="50">
      <c r="B50" s="6" t="s">
        <v>294</v>
      </c>
      <c r="C50" s="62">
        <v>17816</v>
      </c>
      <c r="D50" s="6"/>
      <c r="E50" s="6"/>
      <c r="F50" s="6"/>
      <c r="G50" s="6"/>
      <c r="H50" s="6"/>
      <c r="I50" s="6"/>
    </row>
    <row r="51">
      <c r="B51" s="6" t="s">
        <v>295</v>
      </c>
      <c r="C51" s="62">
        <v>81.02</v>
      </c>
      <c r="D51" s="6"/>
      <c r="E51" s="6"/>
      <c r="F51" s="6"/>
      <c r="G51" s="6"/>
      <c r="H51" s="6"/>
      <c r="I51" s="6"/>
    </row>
    <row r="52">
      <c r="B52" s="6" t="s">
        <v>296</v>
      </c>
      <c r="C52" s="57">
        <v>20</v>
      </c>
      <c r="D52" s="6"/>
      <c r="E52" s="6"/>
      <c r="F52" s="6"/>
      <c r="G52" s="6"/>
      <c r="H52" s="6"/>
      <c r="I52" s="6"/>
    </row>
    <row r="53">
      <c r="B53" s="6" t="s">
        <v>297</v>
      </c>
      <c r="C53" s="62">
        <v>17750</v>
      </c>
      <c r="D53" s="6"/>
      <c r="E53" s="6"/>
      <c r="F53" s="6"/>
      <c r="G53" s="6"/>
      <c r="H53" s="6"/>
      <c r="I53" s="6"/>
    </row>
    <row r="54">
      <c r="B54" s="6" t="s">
        <v>298</v>
      </c>
      <c r="C54" s="62">
        <v>18400</v>
      </c>
      <c r="D54" s="6"/>
      <c r="E54" s="6"/>
      <c r="F54" s="6"/>
      <c r="G54" s="6"/>
      <c r="H54" s="6"/>
      <c r="I54" s="6"/>
    </row>
    <row r="55">
      <c r="B55" s="6" t="s">
        <v>299</v>
      </c>
      <c r="C55" s="62">
        <v>3666.85</v>
      </c>
      <c r="D55" s="6"/>
      <c r="E55" s="6"/>
      <c r="F55" s="6"/>
      <c r="G55" s="6"/>
      <c r="H55" s="6"/>
      <c r="I55" s="6"/>
    </row>
    <row r="56">
      <c r="B56" s="6" t="s">
        <v>300</v>
      </c>
      <c r="C56" s="62">
        <v>2736.45</v>
      </c>
      <c r="D56" s="6"/>
      <c r="E56" s="6"/>
      <c r="F56" s="6"/>
      <c r="G56" s="6"/>
      <c r="H56" s="6"/>
      <c r="I56" s="6"/>
    </row>
    <row r="57">
      <c r="B57" s="6" t="s">
        <v>301</v>
      </c>
      <c r="C57" s="62">
        <v>1953.33</v>
      </c>
      <c r="D57" s="6"/>
      <c r="E57" s="6"/>
      <c r="F57" s="6"/>
      <c r="G57" s="6"/>
      <c r="H57" s="6"/>
      <c r="I57" s="6"/>
    </row>
    <row r="58">
      <c r="B58" s="6" t="s">
        <v>302</v>
      </c>
      <c r="C58" s="62">
        <v>1950.32</v>
      </c>
      <c r="D58" s="6"/>
      <c r="E58" s="6"/>
      <c r="F58" s="6"/>
      <c r="G58" s="6"/>
      <c r="H58" s="6"/>
      <c r="I58" s="6"/>
    </row>
    <row r="59">
      <c r="B59" s="6" t="s">
        <v>303</v>
      </c>
      <c r="C59" s="62">
        <v>31.89</v>
      </c>
      <c r="D59" s="6"/>
      <c r="E59" s="6"/>
      <c r="F59" s="6"/>
      <c r="G59" s="6"/>
      <c r="H59" s="6"/>
      <c r="I59" s="6"/>
    </row>
    <row r="60">
      <c r="B60" s="6" t="s">
        <v>304</v>
      </c>
      <c r="C60" s="62">
        <v>25.8</v>
      </c>
      <c r="D60" s="6"/>
      <c r="E60" s="6"/>
      <c r="F60" s="6"/>
      <c r="G60" s="6"/>
      <c r="H60" s="6"/>
      <c r="I60" s="6"/>
    </row>
    <row r="61">
      <c r="B61" s="6" t="s">
        <v>305</v>
      </c>
      <c r="C61" s="62">
        <v>-221.6</v>
      </c>
      <c r="D61" s="6"/>
      <c r="E61" s="6"/>
      <c r="F61" s="6"/>
      <c r="G61" s="6"/>
      <c r="H61" s="6"/>
      <c r="I61" s="6"/>
    </row>
    <row r="62">
      <c r="B62" s="6" t="s">
        <v>306</v>
      </c>
      <c r="C62" s="62">
        <v>2341.9</v>
      </c>
      <c r="D62" s="6"/>
      <c r="E62" s="6"/>
      <c r="F62" s="6"/>
      <c r="G62" s="6"/>
      <c r="H62" s="6"/>
      <c r="I62" s="6"/>
    </row>
    <row r="63">
      <c r="B63" s="6" t="s">
        <v>307</v>
      </c>
      <c r="C63" s="62">
        <v>2575.63</v>
      </c>
      <c r="D63" s="6"/>
      <c r="E63" s="6"/>
      <c r="F63" s="6"/>
      <c r="G63" s="6"/>
      <c r="H63" s="6"/>
      <c r="I63" s="6"/>
    </row>
    <row r="64">
      <c r="B64" s="6" t="s">
        <v>308</v>
      </c>
      <c r="C64" s="62">
        <v>597.88</v>
      </c>
      <c r="D64" s="6"/>
      <c r="E64" s="6"/>
      <c r="F64" s="6"/>
      <c r="G64" s="6"/>
      <c r="H64" s="6"/>
      <c r="I64" s="6"/>
    </row>
    <row r="65">
      <c r="B65" s="6" t="s">
        <v>309</v>
      </c>
      <c r="C65" s="62">
        <v>192.49</v>
      </c>
      <c r="D65" s="6"/>
      <c r="E65" s="6"/>
      <c r="F65" s="6"/>
      <c r="G65" s="6"/>
      <c r="H65" s="6"/>
      <c r="I65" s="6"/>
    </row>
    <row r="66">
      <c r="B66" s="6" t="s">
        <v>310</v>
      </c>
      <c r="C66" s="62">
        <v>190</v>
      </c>
      <c r="D66" s="6"/>
      <c r="E66" s="6"/>
      <c r="F66" s="6"/>
      <c r="G66" s="6"/>
      <c r="H66" s="6"/>
      <c r="I66" s="6"/>
    </row>
    <row r="67">
      <c r="B67" s="6" t="s">
        <v>311</v>
      </c>
      <c r="C67" s="62">
        <v>275</v>
      </c>
      <c r="D67" s="6"/>
      <c r="E67" s="6"/>
      <c r="F67" s="6"/>
      <c r="G67" s="6"/>
      <c r="H67" s="6"/>
      <c r="I67" s="6"/>
    </row>
    <row r="68">
      <c r="B68" s="6" t="s">
        <v>312</v>
      </c>
      <c r="C68" s="62">
        <v>130</v>
      </c>
      <c r="D68" s="6"/>
      <c r="E68" s="6"/>
      <c r="F68" s="6"/>
      <c r="G68" s="6"/>
      <c r="H68" s="6"/>
      <c r="I68" s="6"/>
    </row>
    <row r="69">
      <c r="B69" s="6" t="s">
        <v>313</v>
      </c>
      <c r="C69" s="62">
        <v>31.33</v>
      </c>
      <c r="D69" s="6"/>
      <c r="E69" s="6"/>
      <c r="F69" s="6"/>
      <c r="G69" s="6"/>
      <c r="H69" s="6"/>
      <c r="I69" s="6"/>
    </row>
    <row r="70">
      <c r="B70" s="6" t="s">
        <v>314</v>
      </c>
      <c r="C70" s="57">
        <v>24</v>
      </c>
      <c r="D70" s="6"/>
      <c r="E70" s="6"/>
      <c r="F70" s="6"/>
      <c r="G70" s="6"/>
      <c r="H70" s="6"/>
      <c r="I70" s="6"/>
    </row>
    <row r="71">
      <c r="B71" s="6" t="s">
        <v>315</v>
      </c>
      <c r="C71" s="64" t="s">
        <v>316</v>
      </c>
      <c r="D71" s="6"/>
      <c r="E71" s="6"/>
      <c r="F71" s="6"/>
      <c r="G71" s="6"/>
      <c r="H71" s="6"/>
      <c r="I71" s="6"/>
    </row>
    <row r="72">
      <c r="B72" s="6" t="s">
        <v>317</v>
      </c>
      <c r="C72" s="62">
        <v>2.22</v>
      </c>
      <c r="D72" s="6"/>
      <c r="E72" s="6"/>
      <c r="F72" s="6"/>
      <c r="G72" s="6"/>
      <c r="H72" s="6"/>
      <c r="I72" s="6"/>
    </row>
    <row r="73">
      <c r="B73" s="6" t="s">
        <v>318</v>
      </c>
      <c r="C73" s="62">
        <v>177.41</v>
      </c>
      <c r="D73" s="6"/>
      <c r="E73" s="6"/>
      <c r="F73" s="6"/>
      <c r="G73" s="6"/>
      <c r="H73" s="6"/>
      <c r="I73" s="6"/>
    </row>
    <row r="74">
      <c r="B74" s="6" t="s">
        <v>319</v>
      </c>
      <c r="C74" s="64" t="s">
        <v>320</v>
      </c>
      <c r="D74" s="6"/>
      <c r="E74" s="6"/>
      <c r="F74" s="6"/>
      <c r="G74" s="6"/>
      <c r="H74" s="6"/>
      <c r="I74" s="6"/>
    </row>
    <row r="75">
      <c r="B75" s="6"/>
      <c r="C75" s="6"/>
      <c r="D75" s="6"/>
      <c r="E75" s="6"/>
      <c r="F75" s="6"/>
      <c r="G75" s="6"/>
      <c r="H75" s="6"/>
      <c r="I75" s="6"/>
    </row>
    <row r="76">
      <c r="B76" s="6"/>
      <c r="C76" s="6"/>
      <c r="D76" s="6"/>
      <c r="E76" s="6"/>
      <c r="F76" s="6"/>
      <c r="G76" s="6"/>
      <c r="H76" s="6"/>
      <c r="I76" s="6"/>
    </row>
    <row r="77">
      <c r="B77" s="6"/>
      <c r="C77" s="6"/>
      <c r="D77" s="6"/>
      <c r="E77" s="6"/>
      <c r="F77" s="6"/>
      <c r="G77" s="6"/>
      <c r="H77" s="6"/>
      <c r="I77" s="6"/>
    </row>
    <row r="78">
      <c r="B78" s="6"/>
      <c r="C78" s="6"/>
      <c r="D78" s="6"/>
      <c r="E78" s="6"/>
      <c r="F78" s="6"/>
      <c r="G78" s="6"/>
      <c r="H78" s="6"/>
      <c r="I78" s="6"/>
    </row>
    <row r="79">
      <c r="B79" s="6"/>
      <c r="C79" s="6"/>
      <c r="D79" s="6"/>
      <c r="E79" s="6"/>
      <c r="F79" s="6"/>
      <c r="G79" s="6"/>
      <c r="H79" s="6"/>
      <c r="I79" s="6"/>
    </row>
    <row r="80">
      <c r="B80" s="6"/>
      <c r="C80" s="6"/>
      <c r="D80" s="6"/>
      <c r="E80" s="6"/>
      <c r="F80" s="6"/>
      <c r="G80" s="6"/>
      <c r="H80" s="6"/>
      <c r="I80" s="6"/>
    </row>
    <row r="81">
      <c r="B81" s="36" t="s">
        <v>321</v>
      </c>
      <c r="C81" s="36"/>
      <c r="D81" s="36"/>
      <c r="E81" s="36"/>
      <c r="F81" s="36"/>
      <c r="G81" s="36"/>
      <c r="H81" s="36"/>
      <c r="I81" s="6"/>
    </row>
    <row r="82">
      <c r="B82" s="6"/>
      <c r="C82" s="6"/>
      <c r="D82" s="6"/>
      <c r="E82" s="6"/>
      <c r="F82" s="6"/>
      <c r="G82" s="6"/>
      <c r="H82" s="6"/>
      <c r="I82" s="6"/>
    </row>
    <row r="83">
      <c r="B83" s="6" t="s">
        <v>322</v>
      </c>
      <c r="C83" s="56">
        <v>8804.391</v>
      </c>
      <c r="D83" s="56">
        <v>9080.059</v>
      </c>
      <c r="E83" s="56">
        <v>8896.402</v>
      </c>
      <c r="F83" s="56">
        <v>9137.772</v>
      </c>
      <c r="G83" s="56">
        <v>35056.715</v>
      </c>
      <c r="H83" s="6"/>
      <c r="I83" s="6"/>
    </row>
    <row r="84">
      <c r="B84" s="6" t="s">
        <v>323</v>
      </c>
      <c r="C84" s="56">
        <v>6196.281</v>
      </c>
      <c r="D84" s="56">
        <v>6935.233</v>
      </c>
      <c r="E84" s="56">
        <v>6569.391</v>
      </c>
      <c r="F84" s="56">
        <v>6873.448</v>
      </c>
      <c r="G84" s="56">
        <v>24643.957</v>
      </c>
      <c r="H84" s="6"/>
      <c r="I84" s="6"/>
    </row>
    <row r="85">
      <c r="B85" s="6" t="s">
        <v>324</v>
      </c>
      <c r="C85" s="56">
        <v>2595.588</v>
      </c>
      <c r="D85" s="56">
        <v>2726.833</v>
      </c>
      <c r="E85" s="56">
        <v>2578.273</v>
      </c>
      <c r="F85" s="56">
        <v>2706.924</v>
      </c>
      <c r="G85" s="56">
        <v>9972.305</v>
      </c>
      <c r="H85" s="6"/>
      <c r="I85" s="6"/>
    </row>
    <row r="86">
      <c r="B86" s="6" t="s">
        <v>325</v>
      </c>
      <c r="C86" s="56">
        <v>2953.957</v>
      </c>
      <c r="D86" s="56">
        <v>3102.457</v>
      </c>
      <c r="E86" s="56">
        <v>3090.839</v>
      </c>
      <c r="F86" s="56">
        <v>3217.835</v>
      </c>
      <c r="G86" s="56">
        <v>11453.982</v>
      </c>
      <c r="H86" s="6"/>
      <c r="I86" s="6"/>
    </row>
    <row r="87">
      <c r="B87" s="6" t="s">
        <v>326</v>
      </c>
      <c r="C87" s="56">
        <v>3315.7</v>
      </c>
      <c r="D87" s="56">
        <v>3602.372</v>
      </c>
      <c r="E87" s="56">
        <v>3395.016</v>
      </c>
      <c r="F87" s="56">
        <v>3488.749</v>
      </c>
      <c r="G87" s="56">
        <v>12773.856</v>
      </c>
      <c r="H87" s="6"/>
      <c r="I87" s="6"/>
    </row>
    <row r="88">
      <c r="B88" s="6" t="s">
        <v>327</v>
      </c>
      <c r="C88" s="56">
        <v>3563.632</v>
      </c>
      <c r="D88" s="56">
        <v>3796.837</v>
      </c>
      <c r="E88" s="56">
        <v>3670.199</v>
      </c>
      <c r="F88" s="56">
        <v>3845.053</v>
      </c>
      <c r="G88" s="56">
        <v>14762.837</v>
      </c>
      <c r="H88" s="6"/>
      <c r="I88" s="6"/>
    </row>
    <row r="89">
      <c r="B89" s="6" t="s">
        <v>328</v>
      </c>
      <c r="C89" s="56">
        <v>5376.132</v>
      </c>
      <c r="D89" s="56">
        <v>5741.241</v>
      </c>
      <c r="E89" s="56">
        <v>5476.867</v>
      </c>
      <c r="F89" s="56">
        <v>5668.694</v>
      </c>
      <c r="G89" s="56">
        <v>21197.397</v>
      </c>
      <c r="H89" s="6"/>
      <c r="I89" s="6"/>
    </row>
    <row r="90">
      <c r="B90" s="6" t="s">
        <v>329</v>
      </c>
      <c r="C90" s="56">
        <v>2386.839</v>
      </c>
      <c r="D90" s="56">
        <v>2499.218</v>
      </c>
      <c r="E90" s="56">
        <v>2411.145</v>
      </c>
      <c r="F90" s="56">
        <v>2497.813</v>
      </c>
      <c r="G90" s="56">
        <v>9484.905</v>
      </c>
      <c r="H90" s="6"/>
      <c r="I90" s="6"/>
    </row>
    <row r="91">
      <c r="B91" s="6" t="s">
        <v>330</v>
      </c>
      <c r="C91" s="56">
        <v>8772.265</v>
      </c>
      <c r="D91" s="56">
        <v>9414.567</v>
      </c>
      <c r="E91" s="56">
        <v>8859.641</v>
      </c>
      <c r="F91" s="56">
        <v>9328.494</v>
      </c>
      <c r="G91" s="56">
        <v>35106.786</v>
      </c>
      <c r="H91" s="6"/>
      <c r="I91" s="6"/>
    </row>
    <row r="92">
      <c r="B92" s="6" t="s">
        <v>331</v>
      </c>
      <c r="C92" s="56">
        <v>8823.995</v>
      </c>
      <c r="D92" s="56">
        <v>9327.558</v>
      </c>
      <c r="E92" s="56">
        <v>9184.425</v>
      </c>
      <c r="F92" s="56">
        <v>9389.65</v>
      </c>
      <c r="G92" s="56">
        <v>34566.191</v>
      </c>
      <c r="H92" s="6"/>
      <c r="I92" s="6"/>
    </row>
    <row r="93">
      <c r="B93" s="6" t="s">
        <v>332</v>
      </c>
      <c r="C93" s="56">
        <v>987.032</v>
      </c>
      <c r="D93" s="56">
        <v>1527.335</v>
      </c>
      <c r="E93" s="56">
        <v>1393.059</v>
      </c>
      <c r="F93" s="56">
        <v>1708.098</v>
      </c>
      <c r="G93" s="56">
        <v>5324.339</v>
      </c>
      <c r="H93" s="6"/>
      <c r="I93" s="6"/>
    </row>
    <row r="94">
      <c r="B94" s="6" t="s">
        <v>333</v>
      </c>
      <c r="C94" s="56">
        <v>662.688</v>
      </c>
      <c r="D94" s="56">
        <v>900.491</v>
      </c>
      <c r="E94" s="56">
        <v>676.747</v>
      </c>
      <c r="F94" s="56">
        <v>994.006</v>
      </c>
      <c r="G94" s="56">
        <v>3090.993</v>
      </c>
      <c r="H94" s="6"/>
      <c r="I94" s="6"/>
    </row>
    <row r="95">
      <c r="B95" s="6" t="s">
        <v>334</v>
      </c>
      <c r="C95" s="56">
        <v>399.971</v>
      </c>
      <c r="D95" s="56">
        <v>445.872</v>
      </c>
      <c r="E95" s="56">
        <v>423.741</v>
      </c>
      <c r="F95" s="56">
        <v>473.194</v>
      </c>
      <c r="G95" s="56">
        <v>1810.332</v>
      </c>
      <c r="H95" s="6"/>
      <c r="I95" s="6"/>
    </row>
    <row r="96">
      <c r="B96" s="6" t="s">
        <v>335</v>
      </c>
      <c r="C96" s="6"/>
      <c r="D96" s="56">
        <v>5828.921</v>
      </c>
      <c r="E96" s="56">
        <v>5820.277</v>
      </c>
      <c r="F96" s="56">
        <v>5629.691</v>
      </c>
      <c r="G96" s="6"/>
      <c r="H96" s="6"/>
      <c r="I96" s="6"/>
    </row>
    <row r="97">
      <c r="B97" s="6" t="s">
        <v>336</v>
      </c>
      <c r="C97" s="6"/>
      <c r="D97" s="56">
        <v>4620.806</v>
      </c>
      <c r="E97" s="56">
        <v>4612.648</v>
      </c>
      <c r="F97" s="56">
        <v>4536.068</v>
      </c>
      <c r="G97" s="6"/>
      <c r="H97" s="6"/>
      <c r="I97" s="6"/>
    </row>
    <row r="98">
      <c r="B98" s="6" t="s">
        <v>337</v>
      </c>
      <c r="C98" s="6"/>
      <c r="D98" s="56">
        <v>1680.353</v>
      </c>
      <c r="E98" s="56">
        <v>1620.452</v>
      </c>
      <c r="F98" s="56">
        <v>1668.328</v>
      </c>
      <c r="G98" s="6"/>
      <c r="H98" s="6"/>
      <c r="I98" s="6"/>
    </row>
    <row r="99">
      <c r="B99" s="6" t="s">
        <v>338</v>
      </c>
      <c r="C99" s="6"/>
      <c r="D99" s="56">
        <v>1480.392</v>
      </c>
      <c r="E99" s="56">
        <v>1491.471</v>
      </c>
      <c r="F99" s="56">
        <v>1616.931</v>
      </c>
      <c r="G99" s="6"/>
      <c r="H99" s="6"/>
      <c r="I99" s="6"/>
    </row>
    <row r="100">
      <c r="B100" s="6" t="s">
        <v>339</v>
      </c>
      <c r="C100" s="6"/>
      <c r="D100" s="56">
        <v>1098.985</v>
      </c>
      <c r="E100" s="56">
        <v>1128.806</v>
      </c>
      <c r="F100" s="56">
        <v>1191.989</v>
      </c>
      <c r="G100" s="6"/>
      <c r="H100" s="6"/>
      <c r="I100" s="6"/>
    </row>
    <row r="101">
      <c r="B101" s="6" t="s">
        <v>340</v>
      </c>
      <c r="C101" s="6"/>
      <c r="D101" s="56">
        <v>479.486</v>
      </c>
      <c r="E101" s="56">
        <v>483.342</v>
      </c>
      <c r="F101" s="56">
        <v>508.993</v>
      </c>
      <c r="G101" s="6"/>
      <c r="H101" s="6"/>
      <c r="I101" s="6"/>
    </row>
    <row r="102">
      <c r="B102" s="6" t="s">
        <v>341</v>
      </c>
      <c r="C102" s="6"/>
      <c r="D102" s="56">
        <v>176.662</v>
      </c>
      <c r="E102" s="56">
        <v>191.595</v>
      </c>
      <c r="F102" s="56">
        <v>183.052</v>
      </c>
      <c r="G102" s="6"/>
      <c r="H102" s="6"/>
      <c r="I102" s="6"/>
    </row>
    <row r="103">
      <c r="B103" s="6" t="s">
        <v>342</v>
      </c>
      <c r="C103" s="6"/>
      <c r="D103" s="56">
        <v>145.14</v>
      </c>
      <c r="E103" s="56">
        <v>151.19</v>
      </c>
      <c r="F103" s="56">
        <v>151.385</v>
      </c>
      <c r="G103" s="6"/>
      <c r="H103" s="6"/>
      <c r="I103" s="6"/>
    </row>
    <row r="104">
      <c r="B104" s="6" t="s">
        <v>343</v>
      </c>
      <c r="C104" s="6"/>
      <c r="D104" s="56">
        <v>50.141</v>
      </c>
      <c r="E104" s="56">
        <v>50.738</v>
      </c>
      <c r="F104" s="56">
        <v>56.409</v>
      </c>
      <c r="G104" s="6"/>
      <c r="H104" s="6"/>
      <c r="I104" s="6"/>
    </row>
    <row r="105">
      <c r="B105" s="6" t="s">
        <v>344</v>
      </c>
      <c r="C105" s="6"/>
      <c r="D105" s="56">
        <v>66.749</v>
      </c>
      <c r="E105" s="6"/>
      <c r="F105" s="6"/>
      <c r="G105" s="6"/>
      <c r="H105" s="6"/>
      <c r="I105" s="6"/>
    </row>
    <row r="106">
      <c r="B106" s="6" t="s">
        <v>345</v>
      </c>
      <c r="C106" s="6"/>
      <c r="D106" s="56">
        <v>169.811</v>
      </c>
      <c r="E106" s="6"/>
      <c r="F106" s="6"/>
      <c r="G106" s="6"/>
      <c r="H106" s="6"/>
      <c r="I106" s="6"/>
    </row>
    <row r="107">
      <c r="B107" s="6" t="s">
        <v>346</v>
      </c>
      <c r="C107" s="6"/>
      <c r="D107" s="56">
        <v>70.981</v>
      </c>
      <c r="E107" s="6"/>
      <c r="F107" s="6"/>
      <c r="G107" s="6"/>
      <c r="H107" s="6"/>
      <c r="I107" s="6"/>
    </row>
    <row r="108">
      <c r="B108" s="6" t="s">
        <v>347</v>
      </c>
      <c r="C108" s="56">
        <v>17596.26</v>
      </c>
      <c r="D108" s="56">
        <v>18742.125</v>
      </c>
      <c r="E108" s="56">
        <v>18044.066</v>
      </c>
      <c r="F108" s="56">
        <v>18718.144</v>
      </c>
      <c r="G108" s="56">
        <v>69672.977</v>
      </c>
      <c r="H108" s="6"/>
      <c r="I108" s="6"/>
    </row>
    <row r="109">
      <c r="B109" s="6" t="s">
        <v>348</v>
      </c>
      <c r="C109" s="56">
        <v>11985.326</v>
      </c>
      <c r="D109" s="56">
        <v>12545.007</v>
      </c>
      <c r="E109" s="56">
        <v>12584.705</v>
      </c>
      <c r="F109" s="56">
        <v>12583.809</v>
      </c>
      <c r="G109" s="56">
        <v>47437.576</v>
      </c>
      <c r="H109" s="6"/>
      <c r="I109" s="6"/>
    </row>
    <row r="110">
      <c r="B110" s="6" t="s">
        <v>349</v>
      </c>
      <c r="C110" s="56">
        <v>1793.056</v>
      </c>
      <c r="D110" s="56">
        <v>1874.932</v>
      </c>
      <c r="E110" s="56">
        <v>1748.902</v>
      </c>
      <c r="F110" s="56">
        <v>1811.028</v>
      </c>
      <c r="G110" s="56">
        <v>7043.445</v>
      </c>
      <c r="H110" s="6"/>
      <c r="I110" s="6"/>
    </row>
    <row r="111">
      <c r="B111" s="6" t="s">
        <v>350</v>
      </c>
      <c r="C111" s="56">
        <v>1152.863</v>
      </c>
      <c r="D111" s="56">
        <v>1140.947</v>
      </c>
      <c r="E111" s="56">
        <v>1216.912</v>
      </c>
      <c r="F111" s="56">
        <v>1148.009</v>
      </c>
      <c r="G111" s="56">
        <v>4350.968</v>
      </c>
      <c r="H111" s="6"/>
      <c r="I111" s="6"/>
    </row>
    <row r="112">
      <c r="B112" s="6" t="s">
        <v>351</v>
      </c>
      <c r="C112" s="56">
        <v>615.324</v>
      </c>
      <c r="D112" s="56">
        <v>307.541</v>
      </c>
      <c r="E112" s="56">
        <v>0</v>
      </c>
      <c r="F112" s="56">
        <v>0</v>
      </c>
      <c r="G112" s="56">
        <v>615.324</v>
      </c>
      <c r="H112" s="6"/>
      <c r="I112" s="6"/>
    </row>
    <row r="113">
      <c r="B113" s="6" t="s">
        <v>352</v>
      </c>
      <c r="C113" s="56">
        <v>105.197</v>
      </c>
      <c r="D113" s="56">
        <v>106.223</v>
      </c>
      <c r="E113" s="56">
        <v>78.536</v>
      </c>
      <c r="F113" s="56">
        <v>75.069</v>
      </c>
      <c r="G113" s="56">
        <v>336.324</v>
      </c>
      <c r="H113" s="6"/>
      <c r="I113" s="6"/>
    </row>
    <row r="114">
      <c r="B114" s="6" t="s">
        <v>353</v>
      </c>
      <c r="C114" s="56">
        <v>-66.243</v>
      </c>
      <c r="D114" s="56">
        <v>-65.365</v>
      </c>
      <c r="E114" s="56">
        <v>-63.566</v>
      </c>
      <c r="F114" s="56">
        <v>-70.645</v>
      </c>
      <c r="G114" s="56">
        <v>-228.555</v>
      </c>
      <c r="H114" s="6"/>
      <c r="I114" s="6"/>
    </row>
    <row r="115">
      <c r="B115" s="6" t="s">
        <v>354</v>
      </c>
      <c r="C115" s="56">
        <v>-13.41</v>
      </c>
      <c r="D115" s="56">
        <v>53.114</v>
      </c>
      <c r="E115" s="56">
        <v>-51.863</v>
      </c>
      <c r="F115" s="56">
        <v>-29.894</v>
      </c>
      <c r="G115" s="56">
        <v>-63.04</v>
      </c>
      <c r="H115" s="6"/>
      <c r="I115" s="6"/>
    </row>
    <row r="116">
      <c r="B116" s="6" t="s">
        <v>355</v>
      </c>
      <c r="C116" s="56">
        <v>625.429</v>
      </c>
      <c r="D116" s="56">
        <v>725.774</v>
      </c>
      <c r="E116" s="56">
        <v>597.266</v>
      </c>
      <c r="F116" s="56">
        <v>761.935</v>
      </c>
      <c r="G116" s="56">
        <v>2437.993</v>
      </c>
      <c r="H116" s="6"/>
      <c r="I116" s="6"/>
    </row>
    <row r="117">
      <c r="B117" s="6" t="s">
        <v>356</v>
      </c>
      <c r="C117" s="56">
        <v>1449.806</v>
      </c>
      <c r="D117" s="56">
        <v>2241.896</v>
      </c>
      <c r="E117" s="56">
        <v>1859.388</v>
      </c>
      <c r="F117" s="56">
        <v>2387.893</v>
      </c>
      <c r="G117" s="56">
        <v>7832.4</v>
      </c>
      <c r="H117" s="6"/>
      <c r="I117" s="6"/>
    </row>
    <row r="118">
      <c r="B118" s="6" t="s">
        <v>357</v>
      </c>
      <c r="C118" s="56">
        <v>1413.963</v>
      </c>
      <c r="D118" s="56">
        <v>2211.561</v>
      </c>
      <c r="E118" s="56">
        <v>1825.239</v>
      </c>
      <c r="F118" s="56">
        <v>2338.989</v>
      </c>
      <c r="G118" s="56">
        <v>7678.433</v>
      </c>
      <c r="H118" s="6"/>
      <c r="I118" s="6"/>
    </row>
    <row r="119">
      <c r="B119" s="6" t="s">
        <v>358</v>
      </c>
      <c r="C119" s="56">
        <v>622.635814</v>
      </c>
      <c r="D119" s="56">
        <v>619.307086</v>
      </c>
      <c r="E119" s="56">
        <v>616.992111</v>
      </c>
      <c r="F119" s="56">
        <v>612.213453</v>
      </c>
      <c r="G119" s="56">
        <v>624.891649</v>
      </c>
      <c r="H119" s="6"/>
      <c r="I119" s="6"/>
    </row>
    <row r="120">
      <c r="B120" s="6" t="s">
        <v>359</v>
      </c>
      <c r="C120" s="56">
        <v>629.418129</v>
      </c>
      <c r="D120" s="56">
        <v>626.04304</v>
      </c>
      <c r="E120" s="56">
        <v>622.640891</v>
      </c>
      <c r="F120" s="56">
        <v>615.593409</v>
      </c>
      <c r="G120" s="56">
        <v>632.435108</v>
      </c>
      <c r="H120" s="6"/>
      <c r="I120" s="6"/>
    </row>
    <row r="121">
      <c r="B121" s="6" t="s">
        <v>360</v>
      </c>
      <c r="C121" s="56">
        <v>11478.729</v>
      </c>
      <c r="D121" s="56">
        <v>9649.405</v>
      </c>
      <c r="E121" s="56">
        <v>9399.183</v>
      </c>
      <c r="F121" s="56">
        <v>10165.245</v>
      </c>
      <c r="G121" s="56">
        <v>11478.729</v>
      </c>
      <c r="H121" s="6"/>
      <c r="I121" s="6"/>
    </row>
    <row r="122">
      <c r="B122" s="6" t="s">
        <v>361</v>
      </c>
      <c r="C122" s="56">
        <v>5.945</v>
      </c>
      <c r="D122" s="56">
        <v>5.906</v>
      </c>
      <c r="E122" s="56">
        <v>6.413</v>
      </c>
      <c r="F122" s="56">
        <v>6.322</v>
      </c>
      <c r="G122" s="56">
        <v>5.945</v>
      </c>
      <c r="H122" s="6"/>
      <c r="I122" s="6"/>
    </row>
    <row r="123">
      <c r="B123" s="6" t="s">
        <v>362</v>
      </c>
      <c r="C123" s="56">
        <v>14985.073</v>
      </c>
      <c r="D123" s="56">
        <v>16006.709</v>
      </c>
      <c r="E123" s="56">
        <v>15737.519</v>
      </c>
      <c r="F123" s="56">
        <v>16035.963</v>
      </c>
      <c r="G123" s="56">
        <v>14985.073</v>
      </c>
      <c r="H123" s="6"/>
      <c r="I123" s="6"/>
    </row>
    <row r="124">
      <c r="B124" s="6" t="s">
        <v>363</v>
      </c>
      <c r="C124" s="56">
        <v>2430.942</v>
      </c>
      <c r="D124" s="56">
        <v>2404.674</v>
      </c>
      <c r="E124" s="56">
        <v>2864.223</v>
      </c>
      <c r="F124" s="56">
        <v>2730.815</v>
      </c>
      <c r="G124" s="56">
        <v>2430.942</v>
      </c>
      <c r="H124" s="6"/>
      <c r="I124" s="6"/>
    </row>
    <row r="125">
      <c r="B125" s="6" t="s">
        <v>364</v>
      </c>
      <c r="C125" s="56">
        <v>180.362</v>
      </c>
      <c r="D125" s="56">
        <v>188.147</v>
      </c>
      <c r="E125" s="56">
        <v>271.701</v>
      </c>
      <c r="F125" s="56">
        <v>333.577</v>
      </c>
      <c r="G125" s="56">
        <v>180.362</v>
      </c>
      <c r="H125" s="6"/>
      <c r="I125" s="6"/>
    </row>
    <row r="126">
      <c r="B126" s="6" t="s">
        <v>365</v>
      </c>
      <c r="C126" s="56">
        <v>721.26</v>
      </c>
      <c r="D126" s="56">
        <v>803</v>
      </c>
      <c r="E126" s="56">
        <v>852.156</v>
      </c>
      <c r="F126" s="56">
        <v>925.324</v>
      </c>
      <c r="G126" s="56">
        <v>721.26</v>
      </c>
      <c r="H126" s="6"/>
      <c r="I126" s="6"/>
    </row>
    <row r="127">
      <c r="B127" s="6" t="s">
        <v>366</v>
      </c>
      <c r="C127" s="56">
        <v>1566.374</v>
      </c>
      <c r="D127" s="56">
        <v>1558.316</v>
      </c>
      <c r="E127" s="56">
        <v>1600.823</v>
      </c>
      <c r="F127" s="56">
        <v>1619.981</v>
      </c>
      <c r="G127" s="56">
        <v>1566.374</v>
      </c>
      <c r="H127" s="6"/>
      <c r="I127" s="6"/>
    </row>
    <row r="128">
      <c r="B128" s="6" t="s">
        <v>367</v>
      </c>
      <c r="C128" s="56">
        <v>2740.321</v>
      </c>
      <c r="D128" s="56">
        <v>2758.958</v>
      </c>
      <c r="E128" s="56">
        <v>2910.831</v>
      </c>
      <c r="F128" s="56">
        <v>2973.53</v>
      </c>
      <c r="G128" s="56">
        <v>2740.321</v>
      </c>
      <c r="H128" s="6"/>
      <c r="I128" s="6"/>
    </row>
    <row r="129">
      <c r="B129" s="6" t="s">
        <v>368</v>
      </c>
      <c r="C129" s="56">
        <v>22536.416</v>
      </c>
      <c r="D129" s="56">
        <v>22621.663</v>
      </c>
      <c r="E129" s="56">
        <v>24581.153</v>
      </c>
      <c r="F129" s="56">
        <v>25322.8</v>
      </c>
      <c r="G129" s="56">
        <v>22536.416</v>
      </c>
      <c r="H129" s="6"/>
      <c r="I129" s="6"/>
    </row>
    <row r="130">
      <c r="B130" s="6" t="s">
        <v>369</v>
      </c>
      <c r="C130" s="56">
        <v>1025.391</v>
      </c>
      <c r="D130" s="56">
        <v>1045.856</v>
      </c>
      <c r="E130" s="56">
        <v>1097.567</v>
      </c>
      <c r="F130" s="56">
        <v>1136.76</v>
      </c>
      <c r="G130" s="56">
        <v>1025.391</v>
      </c>
      <c r="H130" s="6"/>
      <c r="I130" s="6"/>
    </row>
    <row r="131">
      <c r="B131" s="6" t="s">
        <v>370</v>
      </c>
      <c r="C131" s="56">
        <v>3791.215</v>
      </c>
      <c r="D131" s="56">
        <v>3690.039</v>
      </c>
      <c r="E131" s="56">
        <v>3570.872</v>
      </c>
      <c r="F131" s="56">
        <v>3567.536</v>
      </c>
      <c r="G131" s="56">
        <v>3791.215</v>
      </c>
      <c r="H131" s="6"/>
      <c r="I131" s="6"/>
    </row>
    <row r="132">
      <c r="B132" s="6" t="s">
        <v>371</v>
      </c>
      <c r="C132" s="56">
        <v>2410.755</v>
      </c>
      <c r="D132" s="56">
        <v>2331.615</v>
      </c>
      <c r="E132" s="56">
        <v>2548.534</v>
      </c>
      <c r="F132" s="56">
        <v>2498.992</v>
      </c>
      <c r="G132" s="56">
        <v>2410.755</v>
      </c>
      <c r="H132" s="6"/>
      <c r="I132" s="6"/>
    </row>
    <row r="133">
      <c r="B133" s="6" t="s">
        <v>372</v>
      </c>
      <c r="C133" s="56">
        <v>1522.114</v>
      </c>
      <c r="D133" s="56">
        <v>1634.175</v>
      </c>
      <c r="E133" s="56">
        <v>1623.241</v>
      </c>
      <c r="F133" s="56">
        <v>1489.716</v>
      </c>
      <c r="G133" s="56">
        <v>1522.114</v>
      </c>
      <c r="H133" s="6"/>
      <c r="I133" s="6"/>
    </row>
    <row r="134">
      <c r="B134" s="6" t="s">
        <v>373</v>
      </c>
      <c r="C134" s="56">
        <v>114.484</v>
      </c>
      <c r="D134" s="56">
        <v>113.676</v>
      </c>
      <c r="E134" s="56">
        <v>114.063</v>
      </c>
      <c r="F134" s="56">
        <v>112.816</v>
      </c>
      <c r="G134" s="56">
        <v>114.484</v>
      </c>
      <c r="H134" s="6"/>
      <c r="I134" s="6"/>
    </row>
    <row r="135">
      <c r="B135" s="6" t="s">
        <v>374</v>
      </c>
      <c r="C135" s="56">
        <v>2695.589</v>
      </c>
      <c r="D135" s="56">
        <v>2971.647</v>
      </c>
      <c r="E135" s="56">
        <v>3116.735</v>
      </c>
      <c r="F135" s="56">
        <v>3176.74</v>
      </c>
      <c r="G135" s="56">
        <v>2695.589</v>
      </c>
      <c r="H135" s="6"/>
      <c r="I135" s="6"/>
    </row>
    <row r="136">
      <c r="B136" s="6" t="s">
        <v>375</v>
      </c>
      <c r="C136" s="56">
        <v>8084.214</v>
      </c>
      <c r="D136" s="56">
        <v>7937.214</v>
      </c>
      <c r="E136" s="56">
        <v>7813.959</v>
      </c>
      <c r="F136" s="56">
        <v>8701.843</v>
      </c>
      <c r="G136" s="56">
        <v>8084.214</v>
      </c>
      <c r="H136" s="6"/>
      <c r="I136" s="6"/>
    </row>
    <row r="137">
      <c r="B137" s="6" t="s">
        <v>376</v>
      </c>
      <c r="C137" s="56">
        <v>1954.418</v>
      </c>
      <c r="D137" s="56">
        <v>1984.271</v>
      </c>
      <c r="E137" s="56">
        <v>2008.341</v>
      </c>
      <c r="F137" s="56">
        <v>2006.289</v>
      </c>
      <c r="G137" s="56">
        <v>1954.418</v>
      </c>
      <c r="H137" s="6"/>
      <c r="I137" s="6"/>
    </row>
    <row r="138">
      <c r="B138" s="6" t="s">
        <v>377</v>
      </c>
      <c r="C138" s="56">
        <v>5034.169</v>
      </c>
      <c r="D138" s="56">
        <v>5031.646</v>
      </c>
      <c r="E138" s="56">
        <v>5030.322</v>
      </c>
      <c r="F138" s="56">
        <v>5029.449</v>
      </c>
      <c r="G138" s="56">
        <v>5034.169</v>
      </c>
      <c r="H138" s="6"/>
      <c r="I138" s="6"/>
    </row>
    <row r="139">
      <c r="B139" s="6" t="s">
        <v>378</v>
      </c>
      <c r="C139" s="56">
        <v>1858.499</v>
      </c>
      <c r="D139" s="56">
        <v>1828.303</v>
      </c>
      <c r="E139" s="56">
        <v>1917.262</v>
      </c>
      <c r="F139" s="56">
        <v>1910.231</v>
      </c>
      <c r="G139" s="56">
        <v>1858.499</v>
      </c>
      <c r="H139" s="6"/>
      <c r="I139" s="6"/>
    </row>
    <row r="140">
      <c r="B140" s="6" t="s">
        <v>379</v>
      </c>
      <c r="C140" s="56">
        <v>471.931</v>
      </c>
      <c r="D140" s="56">
        <v>459.236</v>
      </c>
      <c r="E140" s="56">
        <v>497.623</v>
      </c>
      <c r="F140" s="56">
        <v>551.538</v>
      </c>
      <c r="G140" s="56">
        <v>471.931</v>
      </c>
      <c r="H140" s="6"/>
      <c r="I140" s="6"/>
    </row>
    <row r="141">
      <c r="B141" s="6" t="s">
        <v>380</v>
      </c>
      <c r="C141" s="56">
        <v>1197.742</v>
      </c>
      <c r="D141" s="56">
        <v>1176.539</v>
      </c>
      <c r="E141" s="56">
        <v>1241.72</v>
      </c>
      <c r="F141" s="56">
        <v>1267.743</v>
      </c>
      <c r="G141" s="56">
        <v>1197.742</v>
      </c>
      <c r="H141" s="6"/>
      <c r="I141" s="6"/>
    </row>
    <row r="142">
      <c r="B142" s="6" t="s">
        <v>381</v>
      </c>
      <c r="C142" s="56">
        <v>32240.967</v>
      </c>
      <c r="D142" s="56">
        <v>31922.282</v>
      </c>
      <c r="E142" s="56">
        <v>32299.192</v>
      </c>
      <c r="F142" s="56">
        <v>33013.839</v>
      </c>
      <c r="G142" s="56">
        <v>32240.967</v>
      </c>
      <c r="H142" s="6"/>
      <c r="I142" s="6"/>
    </row>
    <row r="143">
      <c r="B143" s="6" t="s">
        <v>382</v>
      </c>
      <c r="C143" s="56">
        <v>6073.17</v>
      </c>
      <c r="D143" s="56">
        <v>5494.732</v>
      </c>
      <c r="E143" s="56">
        <v>6620.1</v>
      </c>
      <c r="F143" s="56">
        <v>6529.286</v>
      </c>
      <c r="G143" s="56">
        <v>6073.17</v>
      </c>
      <c r="H143" s="6"/>
      <c r="I143" s="6"/>
    </row>
    <row r="144">
      <c r="B144" s="6" t="s">
        <v>383</v>
      </c>
      <c r="C144" s="56">
        <v>642.361</v>
      </c>
      <c r="D144" s="56">
        <v>727.393</v>
      </c>
      <c r="E144" s="56">
        <v>827.849</v>
      </c>
      <c r="F144" s="56">
        <v>1038.253</v>
      </c>
      <c r="G144" s="56">
        <v>642.361</v>
      </c>
      <c r="H144" s="6"/>
      <c r="I144" s="6"/>
    </row>
    <row r="145">
      <c r="B145" s="6" t="s">
        <v>384</v>
      </c>
      <c r="C145" s="56">
        <v>701.219</v>
      </c>
      <c r="D145" s="56">
        <v>665.737</v>
      </c>
      <c r="E145" s="56">
        <v>529.543</v>
      </c>
      <c r="F145" s="56">
        <v>331.211</v>
      </c>
      <c r="G145" s="56">
        <v>701.219</v>
      </c>
      <c r="H145" s="6"/>
      <c r="I145" s="6"/>
    </row>
    <row r="146">
      <c r="B146" s="6" t="s">
        <v>385</v>
      </c>
      <c r="C146" s="56">
        <v>1291.921</v>
      </c>
      <c r="D146" s="56">
        <v>1329.11</v>
      </c>
      <c r="E146" s="56">
        <v>1368.702</v>
      </c>
      <c r="F146" s="56">
        <v>1396.944</v>
      </c>
      <c r="G146" s="56">
        <v>1291.921</v>
      </c>
      <c r="H146" s="6"/>
      <c r="I146" s="6"/>
    </row>
    <row r="147">
      <c r="B147" s="6" t="s">
        <v>386</v>
      </c>
      <c r="C147" s="56">
        <v>729.003</v>
      </c>
      <c r="D147" s="56">
        <v>729.244</v>
      </c>
      <c r="E147" s="56">
        <v>754.699</v>
      </c>
      <c r="F147" s="56">
        <v>750.922</v>
      </c>
      <c r="G147" s="56">
        <v>729.003</v>
      </c>
      <c r="H147" s="6"/>
      <c r="I147" s="6"/>
    </row>
    <row r="148">
      <c r="B148" s="6" t="s">
        <v>387</v>
      </c>
      <c r="C148" s="56">
        <v>2305.21</v>
      </c>
      <c r="D148" s="56">
        <v>2327.433</v>
      </c>
      <c r="E148" s="56">
        <v>2448.283</v>
      </c>
      <c r="F148" s="56">
        <v>2495.583</v>
      </c>
      <c r="G148" s="56">
        <v>2305.21</v>
      </c>
      <c r="H148" s="6"/>
      <c r="I148" s="6"/>
    </row>
    <row r="149">
      <c r="B149" s="6" t="s">
        <v>388</v>
      </c>
      <c r="C149" s="6"/>
      <c r="D149" s="6"/>
      <c r="E149" s="56">
        <v>475.823</v>
      </c>
      <c r="F149" s="56">
        <v>493.874</v>
      </c>
      <c r="G149" s="6"/>
      <c r="H149" s="6"/>
      <c r="I149" s="6"/>
    </row>
    <row r="150">
      <c r="B150" s="6" t="s">
        <v>389</v>
      </c>
      <c r="C150" s="56">
        <v>1449.806</v>
      </c>
      <c r="D150" s="56">
        <v>2241.896</v>
      </c>
      <c r="E150" s="56">
        <v>4101.284</v>
      </c>
      <c r="F150" s="56">
        <v>6489.177</v>
      </c>
      <c r="G150" s="56">
        <v>7832.4</v>
      </c>
      <c r="H150" s="6"/>
      <c r="I150" s="6"/>
    </row>
    <row r="151">
      <c r="B151" s="6" t="s">
        <v>390</v>
      </c>
      <c r="C151" s="56">
        <v>758.932</v>
      </c>
      <c r="D151" s="56">
        <v>581.791</v>
      </c>
      <c r="E151" s="56">
        <v>1167.291</v>
      </c>
      <c r="F151" s="56">
        <v>1751.87</v>
      </c>
      <c r="G151" s="56">
        <v>2441.594</v>
      </c>
      <c r="H151" s="6"/>
      <c r="I151" s="6"/>
    </row>
    <row r="152">
      <c r="B152" s="6" t="s">
        <v>391</v>
      </c>
      <c r="C152" s="56">
        <v>439.547</v>
      </c>
      <c r="D152" s="56">
        <v>468.992</v>
      </c>
      <c r="E152" s="56">
        <v>1182.378</v>
      </c>
      <c r="F152" s="56">
        <v>1644.518</v>
      </c>
      <c r="G152" s="56">
        <v>2093.878</v>
      </c>
      <c r="H152" s="6"/>
      <c r="I152" s="6"/>
    </row>
    <row r="153">
      <c r="B153" s="6" t="s">
        <v>392</v>
      </c>
      <c r="C153" s="56">
        <v>1265.862</v>
      </c>
      <c r="D153" s="6"/>
      <c r="E153" s="6"/>
      <c r="F153" s="6"/>
      <c r="G153" s="56">
        <v>-893.473</v>
      </c>
      <c r="H153" s="6"/>
      <c r="I153" s="6"/>
    </row>
    <row r="154">
      <c r="B154" s="6" t="s">
        <v>393</v>
      </c>
      <c r="C154" s="56">
        <v>3914.147</v>
      </c>
      <c r="D154" s="56">
        <v>1664.097</v>
      </c>
      <c r="E154" s="56">
        <v>5481.735</v>
      </c>
      <c r="F154" s="56">
        <v>9267.947</v>
      </c>
      <c r="G154" s="56">
        <v>11474.399</v>
      </c>
      <c r="H154" s="6"/>
      <c r="I154" s="6"/>
    </row>
    <row r="155">
      <c r="B155" s="6" t="s">
        <v>394</v>
      </c>
      <c r="C155" s="56">
        <v>-107.915</v>
      </c>
      <c r="D155" s="56">
        <v>-156.582</v>
      </c>
      <c r="E155" s="56">
        <v>-306.267</v>
      </c>
      <c r="F155" s="56">
        <v>-492.491</v>
      </c>
      <c r="G155" s="56">
        <v>-600.039</v>
      </c>
      <c r="H155" s="6"/>
      <c r="I155" s="6"/>
    </row>
    <row r="156">
      <c r="B156" s="6" t="s">
        <v>395</v>
      </c>
      <c r="C156" s="56">
        <v>-681.76</v>
      </c>
      <c r="D156" s="56">
        <v>-373.794</v>
      </c>
      <c r="E156" s="56">
        <v>-1967.765</v>
      </c>
      <c r="F156" s="56">
        <v>-3004.003</v>
      </c>
      <c r="G156" s="56">
        <v>-1471.255</v>
      </c>
      <c r="H156" s="6"/>
      <c r="I156" s="6"/>
    </row>
    <row r="157">
      <c r="B157" s="6" t="s">
        <v>396</v>
      </c>
      <c r="C157" s="56">
        <v>14.086</v>
      </c>
      <c r="D157" s="56">
        <v>22.633</v>
      </c>
      <c r="E157" s="56">
        <v>22.981</v>
      </c>
      <c r="F157" s="56">
        <v>36.654</v>
      </c>
      <c r="G157" s="56">
        <v>36.834</v>
      </c>
      <c r="H157" s="6"/>
      <c r="I157" s="6"/>
    </row>
    <row r="158">
      <c r="B158" s="6" t="s">
        <v>397</v>
      </c>
      <c r="C158" s="56">
        <v>4.299</v>
      </c>
      <c r="D158" s="56">
        <v>2.868</v>
      </c>
      <c r="E158" s="56">
        <v>5.299</v>
      </c>
      <c r="F158" s="56">
        <v>7.535</v>
      </c>
      <c r="G158" s="56">
        <v>14.81</v>
      </c>
      <c r="H158" s="6"/>
      <c r="I158" s="6"/>
    </row>
    <row r="159">
      <c r="B159" s="6" t="s">
        <v>398</v>
      </c>
      <c r="C159" s="56">
        <v>-771.29</v>
      </c>
      <c r="D159" s="56">
        <v>-504.875</v>
      </c>
      <c r="E159" s="56">
        <v>-2245.752</v>
      </c>
      <c r="F159" s="56">
        <v>-3452.305</v>
      </c>
      <c r="G159" s="56">
        <v>-2019.65</v>
      </c>
      <c r="H159" s="6"/>
      <c r="I159" s="6"/>
    </row>
    <row r="160">
      <c r="B160" s="6" t="s">
        <v>399</v>
      </c>
      <c r="C160" s="56">
        <v>156.11</v>
      </c>
      <c r="D160" s="6"/>
      <c r="E160" s="6"/>
      <c r="F160" s="6"/>
      <c r="G160" s="56">
        <v>1353.753</v>
      </c>
      <c r="H160" s="6"/>
      <c r="I160" s="6"/>
    </row>
    <row r="161">
      <c r="B161" s="6" t="s">
        <v>400</v>
      </c>
      <c r="C161" s="56">
        <v>-473.888</v>
      </c>
      <c r="D161" s="56">
        <v>-2330.593</v>
      </c>
      <c r="E161" s="56">
        <v>-4009.652</v>
      </c>
      <c r="F161" s="56">
        <v>-5193.277</v>
      </c>
      <c r="G161" s="56">
        <v>-4619.497</v>
      </c>
      <c r="H161" s="6"/>
      <c r="I161" s="6"/>
    </row>
    <row r="162">
      <c r="B162" s="6" t="s">
        <v>401</v>
      </c>
      <c r="C162" s="56">
        <v>0</v>
      </c>
      <c r="D162" s="6"/>
      <c r="E162" s="6"/>
      <c r="F162" s="6"/>
      <c r="G162" s="56">
        <v>4129.2</v>
      </c>
      <c r="H162" s="6"/>
      <c r="I162" s="6"/>
    </row>
    <row r="163">
      <c r="B163" s="6" t="s">
        <v>402</v>
      </c>
      <c r="C163" s="56">
        <v>-921.725</v>
      </c>
      <c r="D163" s="56">
        <v>-1009.816</v>
      </c>
      <c r="E163" s="56">
        <v>-2017.512</v>
      </c>
      <c r="F163" s="56">
        <v>-3012.845</v>
      </c>
      <c r="G163" s="56">
        <v>-3700.169</v>
      </c>
      <c r="H163" s="6"/>
      <c r="I163" s="6"/>
    </row>
    <row r="164">
      <c r="B164" s="6" t="s">
        <v>403</v>
      </c>
      <c r="C164" s="56">
        <v>-35.571</v>
      </c>
      <c r="D164" s="56">
        <v>-36.84</v>
      </c>
      <c r="E164" s="56">
        <v>-52.905</v>
      </c>
      <c r="F164" s="56">
        <v>-92.215</v>
      </c>
      <c r="G164" s="56">
        <v>-111.621</v>
      </c>
      <c r="H164" s="6"/>
      <c r="I164" s="6"/>
    </row>
    <row r="165">
      <c r="B165" s="6" t="s">
        <v>404</v>
      </c>
      <c r="C165" s="56">
        <v>-1275.074</v>
      </c>
      <c r="D165" s="56">
        <v>-2911.05</v>
      </c>
      <c r="E165" s="56">
        <v>-5324.415</v>
      </c>
      <c r="F165" s="56">
        <v>-7090.56</v>
      </c>
      <c r="G165" s="56">
        <v>-2948.334</v>
      </c>
      <c r="H165" s="6"/>
      <c r="I165" s="6"/>
    </row>
    <row r="166">
      <c r="B166" s="6" t="s">
        <v>405</v>
      </c>
      <c r="C166" s="56">
        <v>-20.661</v>
      </c>
      <c r="D166" s="56">
        <v>-77.496</v>
      </c>
      <c r="E166" s="56">
        <v>8.886</v>
      </c>
      <c r="F166" s="56">
        <v>-38.566</v>
      </c>
      <c r="G166" s="56">
        <v>-32.155</v>
      </c>
      <c r="H166" s="6"/>
      <c r="I166" s="6"/>
    </row>
    <row r="167">
      <c r="B167" s="6" t="s">
        <v>406</v>
      </c>
      <c r="C167" s="56">
        <v>1847.122</v>
      </c>
      <c r="D167" s="56">
        <v>-1829.324</v>
      </c>
      <c r="E167" s="56">
        <v>-2079.546</v>
      </c>
      <c r="F167" s="56">
        <v>-1313.484</v>
      </c>
      <c r="G167" s="56">
        <v>6474.26</v>
      </c>
      <c r="H167" s="6"/>
      <c r="I167" s="6"/>
    </row>
    <row r="168">
      <c r="B168" s="6" t="s">
        <v>407</v>
      </c>
      <c r="C168" s="56">
        <v>9631.607</v>
      </c>
      <c r="D168" s="56">
        <v>11478.729</v>
      </c>
      <c r="E168" s="56">
        <v>11478.729</v>
      </c>
      <c r="F168" s="56">
        <v>11478.729</v>
      </c>
      <c r="G168" s="56">
        <v>5004.469</v>
      </c>
      <c r="H168" s="6"/>
      <c r="I168" s="6"/>
    </row>
    <row r="169">
      <c r="B169" s="6" t="s">
        <v>408</v>
      </c>
      <c r="C169" s="56">
        <v>11478.729</v>
      </c>
      <c r="D169" s="56">
        <v>9649.405</v>
      </c>
      <c r="E169" s="56">
        <v>9399.183</v>
      </c>
      <c r="F169" s="56">
        <v>10165.245</v>
      </c>
      <c r="G169" s="56">
        <v>11478.729</v>
      </c>
      <c r="H169" s="6"/>
      <c r="I169" s="6"/>
    </row>
    <row r="170">
      <c r="B170" s="6" t="s">
        <v>409</v>
      </c>
      <c r="C170" s="6"/>
      <c r="D170" s="56">
        <v>53.856</v>
      </c>
      <c r="E170" s="56">
        <v>151.531</v>
      </c>
      <c r="F170" s="56">
        <v>247.266</v>
      </c>
      <c r="G170" s="6"/>
      <c r="H170" s="6"/>
      <c r="I170" s="6"/>
    </row>
    <row r="171">
      <c r="B171" s="6" t="s">
        <v>410</v>
      </c>
      <c r="C171" s="6"/>
      <c r="D171" s="56">
        <v>-74.083</v>
      </c>
      <c r="E171" s="56">
        <v>-50.267</v>
      </c>
      <c r="F171" s="56">
        <v>-72.342</v>
      </c>
      <c r="G171" s="6"/>
      <c r="H171" s="6"/>
      <c r="I171" s="6"/>
    </row>
    <row r="172">
      <c r="B172" s="6" t="s">
        <v>411</v>
      </c>
      <c r="C172" s="6"/>
      <c r="D172" s="56">
        <v>-1098.877</v>
      </c>
      <c r="E172" s="56">
        <v>-656.909</v>
      </c>
      <c r="F172" s="56">
        <v>-1079.892</v>
      </c>
      <c r="G172" s="6"/>
      <c r="H172" s="6"/>
      <c r="I172" s="6"/>
    </row>
    <row r="173">
      <c r="B173" s="6" t="s">
        <v>412</v>
      </c>
      <c r="C173" s="6"/>
      <c r="D173" s="56">
        <v>-285.276</v>
      </c>
      <c r="E173" s="56">
        <v>-739.039</v>
      </c>
      <c r="F173" s="56">
        <v>-658.785</v>
      </c>
      <c r="G173" s="6"/>
      <c r="H173" s="6"/>
      <c r="I173" s="6"/>
    </row>
    <row r="174">
      <c r="B174" s="6" t="s">
        <v>413</v>
      </c>
      <c r="C174" s="6"/>
      <c r="D174" s="56">
        <v>291.909</v>
      </c>
      <c r="E174" s="56">
        <v>384.455</v>
      </c>
      <c r="F174" s="56">
        <v>445.047</v>
      </c>
      <c r="G174" s="6"/>
      <c r="H174" s="6"/>
      <c r="I174" s="6"/>
    </row>
    <row r="175">
      <c r="B175" s="6" t="s">
        <v>414</v>
      </c>
      <c r="C175" s="6"/>
      <c r="D175" s="56">
        <v>-369.028</v>
      </c>
      <c r="E175" s="56">
        <v>736.158</v>
      </c>
      <c r="F175" s="56">
        <v>919.741</v>
      </c>
      <c r="G175" s="6"/>
      <c r="H175" s="6"/>
      <c r="I175" s="6"/>
    </row>
    <row r="176">
      <c r="B176" s="6" t="s">
        <v>415</v>
      </c>
      <c r="C176" s="6"/>
      <c r="D176" s="56">
        <v>-74.333</v>
      </c>
      <c r="E176" s="56">
        <v>-319.638</v>
      </c>
      <c r="F176" s="56">
        <v>647.825</v>
      </c>
      <c r="G176" s="6"/>
      <c r="H176" s="6"/>
      <c r="I176" s="6"/>
    </row>
    <row r="177">
      <c r="B177" s="6" t="s">
        <v>416</v>
      </c>
      <c r="C177" s="6"/>
      <c r="D177" s="56">
        <v>26.415</v>
      </c>
      <c r="E177" s="56">
        <v>-112.399</v>
      </c>
      <c r="F177" s="56">
        <v>-258.427</v>
      </c>
      <c r="G177" s="6"/>
      <c r="H177" s="6"/>
      <c r="I177" s="6"/>
    </row>
    <row r="178">
      <c r="B178" s="6" t="s">
        <v>417</v>
      </c>
      <c r="C178" s="6"/>
      <c r="D178" s="56">
        <v>-99.165</v>
      </c>
      <c r="E178" s="56">
        <v>-363.11</v>
      </c>
      <c r="F178" s="56">
        <v>-808.051</v>
      </c>
      <c r="G178" s="6"/>
      <c r="H178" s="6"/>
      <c r="I178" s="6"/>
    </row>
    <row r="179">
      <c r="B179" s="6" t="s">
        <v>418</v>
      </c>
      <c r="C179" s="6"/>
      <c r="D179" s="56">
        <v>466.199</v>
      </c>
      <c r="E179" s="56">
        <v>755.654</v>
      </c>
      <c r="F179" s="56">
        <v>1207.777</v>
      </c>
      <c r="G179" s="6"/>
      <c r="H179" s="6"/>
      <c r="I179" s="6"/>
    </row>
    <row r="180">
      <c r="B180" s="6" t="s">
        <v>419</v>
      </c>
      <c r="C180" s="6"/>
      <c r="D180" s="56">
        <v>0</v>
      </c>
      <c r="E180" s="56">
        <v>0</v>
      </c>
      <c r="F180" s="56">
        <v>0</v>
      </c>
      <c r="G180" s="6"/>
      <c r="H180" s="6"/>
      <c r="I180" s="6"/>
    </row>
    <row r="181">
      <c r="B181" s="6" t="s">
        <v>420</v>
      </c>
      <c r="C181" s="6"/>
      <c r="D181" s="56">
        <v>0</v>
      </c>
      <c r="E181" s="56">
        <v>0</v>
      </c>
      <c r="F181" s="56">
        <v>0</v>
      </c>
      <c r="G181" s="6"/>
      <c r="H181" s="6"/>
      <c r="I181" s="6"/>
    </row>
    <row r="182">
      <c r="B182" s="6"/>
      <c r="C182" s="56">
        <v>125.913</v>
      </c>
      <c r="D182" s="56">
        <v>57.232</v>
      </c>
      <c r="E182" s="6"/>
      <c r="F182" s="6"/>
      <c r="G182" s="6"/>
      <c r="H182" s="6"/>
      <c r="I182" s="6"/>
    </row>
    <row r="183">
      <c r="B183" s="6"/>
      <c r="C183" s="6"/>
      <c r="D183" s="6"/>
      <c r="E183" s="6"/>
      <c r="F183" s="6"/>
      <c r="G183" s="6"/>
      <c r="H183" s="6"/>
      <c r="I183" s="6"/>
    </row>
    <row r="184">
      <c r="B184" s="36" t="s">
        <v>421</v>
      </c>
      <c r="C184" s="36"/>
      <c r="D184" s="36"/>
      <c r="E184" s="36"/>
      <c r="F184" s="36"/>
      <c r="G184" s="36"/>
      <c r="H184" s="36"/>
      <c r="I184" s="6"/>
    </row>
    <row r="185">
      <c r="B185" s="6"/>
      <c r="C185" s="6"/>
      <c r="D185" s="6"/>
      <c r="E185" s="6"/>
      <c r="F185" s="6"/>
      <c r="G185" s="6"/>
      <c r="H185" s="6"/>
      <c r="I185" s="6"/>
    </row>
    <row r="186">
      <c r="B186" s="6" t="s">
        <v>422</v>
      </c>
      <c r="C186" s="6"/>
      <c r="D186" s="6"/>
      <c r="E186" s="6"/>
      <c r="F186" s="6"/>
      <c r="G186" s="6"/>
      <c r="H186" s="59">
        <v>0.0024</v>
      </c>
      <c r="I186" s="6"/>
    </row>
    <row r="187">
      <c r="B187" s="6" t="s">
        <v>423</v>
      </c>
      <c r="C187" s="6"/>
      <c r="D187" s="6"/>
      <c r="E187" s="6"/>
      <c r="F187" s="6"/>
      <c r="G187" s="6"/>
      <c r="H187" s="59">
        <v>0.028</v>
      </c>
      <c r="I187" s="6"/>
    </row>
    <row r="188">
      <c r="B188" s="6" t="s">
        <v>424</v>
      </c>
      <c r="C188" s="6"/>
      <c r="D188" s="6"/>
      <c r="E188" s="6"/>
      <c r="F188" s="6"/>
      <c r="G188" s="6"/>
      <c r="H188" s="59">
        <v>-0.0095</v>
      </c>
      <c r="I188" s="6"/>
    </row>
    <row r="189">
      <c r="B189" s="6" t="s">
        <v>425</v>
      </c>
      <c r="C189" s="6"/>
      <c r="D189" s="6"/>
      <c r="E189" s="6"/>
      <c r="F189" s="6"/>
      <c r="G189" s="6"/>
      <c r="H189" s="59">
        <v>0</v>
      </c>
      <c r="I189" s="6"/>
    </row>
    <row r="190">
      <c r="B190" s="6" t="s">
        <v>426</v>
      </c>
      <c r="C190" s="6"/>
      <c r="D190" s="6"/>
      <c r="E190" s="6"/>
      <c r="F190" s="6"/>
      <c r="G190" s="6"/>
      <c r="H190" s="59">
        <v>0</v>
      </c>
      <c r="I190" s="6"/>
    </row>
    <row r="191">
      <c r="B191" s="6" t="s">
        <v>427</v>
      </c>
      <c r="C191" s="6"/>
      <c r="D191" s="6"/>
      <c r="E191" s="6"/>
      <c r="F191" s="6"/>
      <c r="G191" s="6"/>
      <c r="H191" s="59">
        <v>0</v>
      </c>
      <c r="I191" s="6"/>
    </row>
    <row r="192">
      <c r="B192" s="6" t="s">
        <v>428</v>
      </c>
      <c r="C192" s="6"/>
      <c r="D192" s="6"/>
      <c r="E192" s="6"/>
      <c r="F192" s="6"/>
      <c r="G192" s="6"/>
      <c r="H192" s="59">
        <v>0.015</v>
      </c>
      <c r="I192" s="6"/>
    </row>
    <row r="193">
      <c r="B193" s="6" t="s">
        <v>429</v>
      </c>
      <c r="C193" s="6"/>
      <c r="D193" s="6"/>
      <c r="E193" s="6"/>
      <c r="F193" s="6"/>
      <c r="G193" s="6"/>
      <c r="H193" s="59">
        <v>-0.002</v>
      </c>
      <c r="I193" s="6"/>
    </row>
    <row r="194">
      <c r="B194" s="6" t="s">
        <v>430</v>
      </c>
      <c r="C194" s="6"/>
      <c r="D194" s="6"/>
      <c r="E194" s="6"/>
      <c r="F194" s="6"/>
      <c r="G194" s="6"/>
      <c r="H194" s="59">
        <v>-0.01</v>
      </c>
      <c r="I194" s="6"/>
    </row>
    <row r="195">
      <c r="B195" s="6" t="s">
        <v>431</v>
      </c>
      <c r="C195" s="6"/>
      <c r="D195" s="6"/>
      <c r="E195" s="6"/>
      <c r="F195" s="6"/>
      <c r="G195" s="6"/>
      <c r="H195" s="59">
        <v>0</v>
      </c>
      <c r="I195" s="6"/>
    </row>
    <row r="196">
      <c r="B196" s="6" t="s">
        <v>432</v>
      </c>
      <c r="C196" s="6"/>
      <c r="D196" s="6"/>
      <c r="E196" s="6"/>
      <c r="F196" s="6"/>
      <c r="G196" s="6"/>
      <c r="H196" s="59">
        <v>0.65</v>
      </c>
      <c r="I196" s="6"/>
    </row>
    <row r="197">
      <c r="B197" s="6" t="s">
        <v>433</v>
      </c>
      <c r="C197" s="6"/>
      <c r="D197" s="6"/>
      <c r="E197" s="6"/>
      <c r="F197" s="6"/>
      <c r="G197" s="6"/>
      <c r="H197" s="59">
        <v>0.67</v>
      </c>
      <c r="I197" s="6"/>
    </row>
    <row r="198">
      <c r="B198" s="6" t="s">
        <v>434</v>
      </c>
      <c r="C198" s="6"/>
      <c r="D198" s="6"/>
      <c r="E198" s="6"/>
      <c r="F198" s="6"/>
      <c r="G198" s="6"/>
      <c r="H198" s="59">
        <v>0.61</v>
      </c>
      <c r="I198" s="6"/>
    </row>
    <row r="199">
      <c r="B199" s="6" t="s">
        <v>435</v>
      </c>
      <c r="C199" s="6"/>
      <c r="D199" s="6"/>
      <c r="E199" s="6"/>
      <c r="F199" s="6"/>
      <c r="G199" s="6"/>
      <c r="H199" s="59">
        <v>0.17</v>
      </c>
      <c r="I199" s="6"/>
    </row>
    <row r="200">
      <c r="B200" s="6" t="s">
        <v>436</v>
      </c>
      <c r="C200" s="6"/>
      <c r="D200" s="6"/>
      <c r="E200" s="6"/>
      <c r="F200" s="6"/>
      <c r="G200" s="6"/>
      <c r="H200" s="59">
        <v>0.17</v>
      </c>
      <c r="I200" s="6"/>
    </row>
    <row r="201">
      <c r="B201" s="6" t="s">
        <v>437</v>
      </c>
      <c r="C201" s="6"/>
      <c r="D201" s="6"/>
      <c r="E201" s="6"/>
      <c r="F201" s="6"/>
      <c r="G201" s="6"/>
      <c r="H201" s="59">
        <v>0.17</v>
      </c>
      <c r="I201" s="6"/>
    </row>
    <row r="202">
      <c r="B202" s="6" t="s">
        <v>438</v>
      </c>
      <c r="C202" s="6"/>
      <c r="D202" s="6"/>
      <c r="E202" s="6"/>
      <c r="F202" s="6"/>
      <c r="G202" s="6"/>
      <c r="H202" s="59">
        <v>0.03</v>
      </c>
      <c r="I202" s="6"/>
    </row>
    <row r="203">
      <c r="B203" s="6" t="s">
        <v>439</v>
      </c>
      <c r="C203" s="6"/>
      <c r="D203" s="6"/>
      <c r="E203" s="6"/>
      <c r="F203" s="6"/>
      <c r="G203" s="6"/>
      <c r="H203" s="59">
        <v>0.03</v>
      </c>
      <c r="I203" s="6"/>
    </row>
    <row r="204">
      <c r="B204" s="6" t="s">
        <v>440</v>
      </c>
      <c r="C204" s="6"/>
      <c r="D204" s="6"/>
      <c r="E204" s="6"/>
      <c r="F204" s="6"/>
      <c r="G204" s="6"/>
      <c r="H204" s="59">
        <v>0.02</v>
      </c>
      <c r="I204" s="6"/>
    </row>
    <row r="205">
      <c r="B205" s="6" t="s">
        <v>441</v>
      </c>
      <c r="C205" s="6"/>
      <c r="D205" s="6"/>
      <c r="E205" s="6"/>
      <c r="F205" s="6"/>
      <c r="G205" s="6"/>
      <c r="H205" s="59">
        <v>0.682</v>
      </c>
      <c r="I205" s="6"/>
    </row>
    <row r="206">
      <c r="B206" s="6" t="s">
        <v>442</v>
      </c>
      <c r="C206" s="6"/>
      <c r="D206" s="6"/>
      <c r="E206" s="6"/>
      <c r="F206" s="6"/>
      <c r="G206" s="6"/>
      <c r="H206" s="59">
        <v>0.1015</v>
      </c>
      <c r="I206" s="6"/>
    </row>
    <row r="207">
      <c r="B207" s="6" t="s">
        <v>443</v>
      </c>
      <c r="C207" s="6"/>
      <c r="D207" s="6"/>
      <c r="E207" s="6"/>
      <c r="F207" s="6"/>
      <c r="G207" s="6"/>
      <c r="H207" s="59">
        <v>0.26</v>
      </c>
      <c r="I207" s="6"/>
    </row>
    <row r="208">
      <c r="B208" s="6" t="s">
        <v>444</v>
      </c>
      <c r="C208" s="6"/>
      <c r="D208" s="6"/>
      <c r="E208" s="6"/>
      <c r="F208" s="6"/>
      <c r="G208" s="6"/>
      <c r="H208" s="56">
        <v>75</v>
      </c>
      <c r="I208" s="6"/>
    </row>
    <row r="209">
      <c r="B209" s="6" t="s">
        <v>445</v>
      </c>
      <c r="C209" s="6"/>
      <c r="D209" s="6"/>
      <c r="E209" s="6"/>
      <c r="F209" s="6"/>
      <c r="G209" s="6"/>
      <c r="H209" s="56">
        <v>-72</v>
      </c>
      <c r="I209" s="6"/>
    </row>
    <row r="210">
      <c r="B210" s="6" t="s">
        <v>446</v>
      </c>
      <c r="C210" s="6"/>
      <c r="D210" s="6"/>
      <c r="E210" s="6"/>
      <c r="F210" s="6"/>
      <c r="G210" s="6"/>
      <c r="H210" s="56">
        <v>-30</v>
      </c>
      <c r="I210" s="6"/>
    </row>
    <row r="211">
      <c r="B211" s="6" t="s">
        <v>447</v>
      </c>
      <c r="C211" s="6"/>
      <c r="D211" s="6"/>
      <c r="E211" s="6"/>
      <c r="F211" s="6"/>
      <c r="G211" s="6"/>
      <c r="H211" s="56">
        <v>2</v>
      </c>
      <c r="I211" s="6"/>
    </row>
    <row r="212">
      <c r="B212" s="6" t="s">
        <v>448</v>
      </c>
      <c r="C212" s="6"/>
      <c r="D212" s="6"/>
      <c r="E212" s="6"/>
      <c r="F212" s="6"/>
      <c r="G212" s="6"/>
      <c r="H212" s="56">
        <v>-44</v>
      </c>
      <c r="I212" s="6"/>
    </row>
    <row r="213">
      <c r="B213" s="6" t="s">
        <v>449</v>
      </c>
      <c r="C213" s="6"/>
      <c r="D213" s="6"/>
      <c r="E213" s="6"/>
      <c r="F213" s="6"/>
      <c r="G213" s="6"/>
      <c r="H213" s="56">
        <v>5</v>
      </c>
      <c r="I213" s="6"/>
    </row>
    <row r="214">
      <c r="B214" s="6" t="s">
        <v>450</v>
      </c>
      <c r="C214" s="6"/>
      <c r="D214" s="6"/>
      <c r="E214" s="6"/>
      <c r="F214" s="6"/>
      <c r="G214" s="6"/>
      <c r="H214" s="56">
        <v>0</v>
      </c>
      <c r="I214" s="6"/>
    </row>
    <row r="215">
      <c r="B215" s="6" t="s">
        <v>451</v>
      </c>
      <c r="C215" s="6"/>
      <c r="D215" s="6"/>
      <c r="E215" s="6"/>
      <c r="F215" s="6"/>
      <c r="G215" s="6"/>
      <c r="H215" s="59">
        <v>0.5</v>
      </c>
      <c r="I215" s="6"/>
    </row>
    <row r="216">
      <c r="B216" s="6" t="s">
        <v>452</v>
      </c>
      <c r="C216" s="6"/>
      <c r="D216" s="6"/>
      <c r="E216" s="6"/>
      <c r="F216" s="6"/>
      <c r="G216" s="6"/>
      <c r="H216" s="59">
        <v>0.492</v>
      </c>
      <c r="I216" s="6"/>
    </row>
    <row r="217">
      <c r="B217" s="6" t="s">
        <v>453</v>
      </c>
      <c r="C217" s="6"/>
      <c r="D217" s="6"/>
      <c r="E217" s="6"/>
      <c r="F217" s="6"/>
      <c r="G217" s="6"/>
      <c r="H217" s="56">
        <v>590</v>
      </c>
      <c r="I217" s="6"/>
    </row>
    <row r="218">
      <c r="B218" s="6" t="s">
        <v>454</v>
      </c>
      <c r="C218" s="6"/>
      <c r="D218" s="6"/>
      <c r="E218" s="6"/>
      <c r="F218" s="6"/>
      <c r="G218" s="6"/>
      <c r="H218" s="56">
        <v>500</v>
      </c>
      <c r="I218" s="6"/>
    </row>
    <row r="219">
      <c r="B219" s="6" t="s">
        <v>455</v>
      </c>
      <c r="C219" s="6"/>
      <c r="D219" s="6"/>
      <c r="E219" s="6"/>
      <c r="F219" s="6"/>
      <c r="G219" s="6"/>
      <c r="H219" s="56">
        <v>-200</v>
      </c>
      <c r="I219" s="6"/>
    </row>
    <row r="220">
      <c r="B220" s="6" t="s">
        <v>456</v>
      </c>
      <c r="C220" s="6"/>
      <c r="D220" s="6"/>
      <c r="E220" s="6"/>
      <c r="F220" s="6"/>
      <c r="G220" s="6"/>
      <c r="H220" s="56">
        <v>-200</v>
      </c>
      <c r="I220" s="6"/>
    </row>
    <row r="221">
      <c r="B221" s="6" t="s">
        <v>457</v>
      </c>
      <c r="C221" s="6"/>
      <c r="D221" s="6"/>
      <c r="E221" s="6"/>
      <c r="F221" s="6"/>
      <c r="G221" s="6"/>
      <c r="H221" s="56">
        <v>-1300</v>
      </c>
      <c r="I221" s="6"/>
    </row>
    <row r="222">
      <c r="B222" s="6" t="s">
        <v>458</v>
      </c>
      <c r="C222" s="6"/>
      <c r="D222" s="6"/>
      <c r="E222" s="6"/>
      <c r="F222" s="6"/>
      <c r="G222" s="6"/>
      <c r="H222" s="56">
        <v>200</v>
      </c>
      <c r="I222" s="6"/>
    </row>
    <row r="223">
      <c r="B223" s="6" t="s">
        <v>459</v>
      </c>
      <c r="C223" s="6"/>
      <c r="D223" s="6"/>
      <c r="E223" s="6"/>
      <c r="F223" s="6"/>
      <c r="G223" s="6"/>
      <c r="H223" s="56">
        <v>-1000</v>
      </c>
      <c r="I223" s="6"/>
    </row>
    <row r="224">
      <c r="B224" s="6" t="s">
        <v>460</v>
      </c>
      <c r="C224" s="6"/>
      <c r="D224" s="6"/>
      <c r="E224" s="6"/>
      <c r="F224" s="6"/>
      <c r="G224" s="6"/>
      <c r="H224" s="56">
        <v>-1000</v>
      </c>
      <c r="I224" s="6"/>
    </row>
    <row r="225">
      <c r="B225" s="6" t="s">
        <v>461</v>
      </c>
      <c r="C225" s="6"/>
      <c r="D225" s="6"/>
      <c r="E225" s="6"/>
      <c r="F225" s="6"/>
      <c r="G225" s="6"/>
      <c r="H225" s="56">
        <v>0</v>
      </c>
      <c r="I225" s="6"/>
    </row>
    <row r="226">
      <c r="B226" s="6" t="s">
        <v>462</v>
      </c>
      <c r="C226" s="6"/>
      <c r="D226" s="6"/>
      <c r="E226" s="6"/>
      <c r="F226" s="6"/>
      <c r="G226" s="6"/>
      <c r="H226" s="56">
        <v>-50</v>
      </c>
      <c r="I226" s="6"/>
    </row>
    <row r="227">
      <c r="B227" s="6" t="s">
        <v>463</v>
      </c>
      <c r="C227" s="6"/>
      <c r="D227" s="6"/>
      <c r="E227" s="6"/>
      <c r="F227" s="6"/>
      <c r="G227" s="6"/>
      <c r="H227" s="65">
        <v>0.44</v>
      </c>
      <c r="I227" s="6"/>
    </row>
    <row r="228">
      <c r="B228" s="6" t="s">
        <v>464</v>
      </c>
      <c r="C228" s="6"/>
      <c r="D228" s="6"/>
      <c r="E228" s="6"/>
      <c r="F228" s="6"/>
      <c r="G228" s="6"/>
      <c r="H228" s="6" t="s">
        <v>465</v>
      </c>
      <c r="I228" s="6"/>
    </row>
    <row r="229">
      <c r="B229" s="6" t="s">
        <v>466</v>
      </c>
      <c r="C229" s="6"/>
      <c r="D229" s="6"/>
      <c r="E229" s="6"/>
      <c r="F229" s="6"/>
      <c r="G229" s="6"/>
      <c r="H229" s="58">
        <v>0</v>
      </c>
      <c r="I229" s="6"/>
    </row>
    <row r="230">
      <c r="B230" s="6" t="s">
        <v>467</v>
      </c>
      <c r="C230" s="6"/>
      <c r="D230" s="6"/>
      <c r="E230" s="6"/>
      <c r="F230" s="6"/>
      <c r="G230" s="6"/>
      <c r="H230" s="58">
        <v>0</v>
      </c>
      <c r="I230" s="6"/>
    </row>
    <row r="231">
      <c r="B231" s="36" t="s">
        <v>468</v>
      </c>
      <c r="C231" s="36"/>
      <c r="D231" s="36"/>
      <c r="E231" s="36"/>
      <c r="F231" s="36"/>
      <c r="G231" s="36"/>
      <c r="H231" s="36"/>
      <c r="I231" s="6"/>
    </row>
    <row r="232">
      <c r="B232" s="6"/>
      <c r="C232" s="6"/>
      <c r="D232" s="6"/>
      <c r="E232" s="6"/>
      <c r="F232" s="6"/>
      <c r="G232" s="6"/>
      <c r="H232" s="6"/>
      <c r="I232" s="6"/>
    </row>
    <row r="233">
      <c r="B233" s="6" t="s">
        <v>469</v>
      </c>
      <c r="C233" s="56">
        <v>8423.447</v>
      </c>
      <c r="D233" s="56">
        <v>8733.095</v>
      </c>
      <c r="E233" s="56">
        <v>8553.098</v>
      </c>
      <c r="F233" s="56">
        <v>8966.131</v>
      </c>
      <c r="G233" s="56">
        <v>32552.489</v>
      </c>
      <c r="H233" s="6"/>
      <c r="I233" s="6"/>
    </row>
    <row r="234">
      <c r="B234" s="6" t="s">
        <v>470</v>
      </c>
      <c r="C234" s="56">
        <v>5638.763</v>
      </c>
      <c r="D234" s="56">
        <v>6411.952</v>
      </c>
      <c r="E234" s="56">
        <v>5803.875</v>
      </c>
      <c r="F234" s="56">
        <v>6231.849</v>
      </c>
      <c r="G234" s="56">
        <v>22817.879</v>
      </c>
      <c r="H234" s="6"/>
      <c r="I234" s="6"/>
    </row>
    <row r="235">
      <c r="B235" s="6" t="s">
        <v>471</v>
      </c>
      <c r="C235" s="56">
        <v>2343.609</v>
      </c>
      <c r="D235" s="56">
        <v>2544.498</v>
      </c>
      <c r="E235" s="56">
        <v>2302.328</v>
      </c>
      <c r="F235" s="56">
        <v>2529.891</v>
      </c>
      <c r="G235" s="56">
        <v>9526.096</v>
      </c>
      <c r="H235" s="6"/>
      <c r="I235" s="6"/>
    </row>
    <row r="236">
      <c r="B236" s="6" t="s">
        <v>472</v>
      </c>
      <c r="C236" s="56">
        <v>8260.395</v>
      </c>
      <c r="D236" s="56">
        <v>9045.228</v>
      </c>
      <c r="E236" s="56">
        <v>8282.26</v>
      </c>
      <c r="F236" s="56">
        <v>9007.033</v>
      </c>
      <c r="G236" s="56">
        <v>33195.104</v>
      </c>
      <c r="H236" s="6"/>
      <c r="I236" s="6"/>
    </row>
    <row r="237">
      <c r="B237" s="6" t="s">
        <v>473</v>
      </c>
      <c r="C237" s="56">
        <v>8145.424</v>
      </c>
      <c r="D237" s="56">
        <v>8644.317</v>
      </c>
      <c r="E237" s="56">
        <v>8377.041</v>
      </c>
      <c r="F237" s="56">
        <v>8720.838</v>
      </c>
      <c r="G237" s="56">
        <v>31701.36</v>
      </c>
      <c r="H237" s="6"/>
      <c r="I237" s="6"/>
    </row>
    <row r="238">
      <c r="B238" s="6" t="s">
        <v>474</v>
      </c>
      <c r="C238" s="56">
        <v>2750.513</v>
      </c>
      <c r="D238" s="56">
        <v>2857.885</v>
      </c>
      <c r="E238" s="56">
        <v>2729.655</v>
      </c>
      <c r="F238" s="56">
        <v>2912.485</v>
      </c>
      <c r="G238" s="56">
        <v>10837.174</v>
      </c>
      <c r="H238" s="6"/>
      <c r="I238" s="6"/>
    </row>
    <row r="239">
      <c r="B239" s="6" t="s">
        <v>475</v>
      </c>
      <c r="C239" s="56">
        <v>2872.964</v>
      </c>
      <c r="D239" s="56">
        <v>3168.835</v>
      </c>
      <c r="E239" s="56">
        <v>3010.43</v>
      </c>
      <c r="F239" s="56">
        <v>3278.891</v>
      </c>
      <c r="G239" s="56">
        <v>11610.225</v>
      </c>
      <c r="H239" s="6"/>
      <c r="I239" s="6"/>
    </row>
    <row r="240">
      <c r="B240" s="6" t="s">
        <v>476</v>
      </c>
      <c r="C240" s="56">
        <v>3613.865</v>
      </c>
      <c r="D240" s="56">
        <v>3812.609</v>
      </c>
      <c r="E240" s="56">
        <v>3608.912</v>
      </c>
      <c r="F240" s="56">
        <v>3777.684</v>
      </c>
      <c r="G240" s="56">
        <v>13840.634</v>
      </c>
      <c r="H240" s="6"/>
      <c r="I240" s="6"/>
    </row>
    <row r="241">
      <c r="B241" s="6" t="s">
        <v>477</v>
      </c>
      <c r="C241" s="56">
        <v>4948.907</v>
      </c>
      <c r="D241" s="56">
        <v>5425.317</v>
      </c>
      <c r="E241" s="56">
        <v>5051.839</v>
      </c>
      <c r="F241" s="56">
        <v>5344.109</v>
      </c>
      <c r="G241" s="56">
        <v>19554.154</v>
      </c>
      <c r="H241" s="6"/>
      <c r="I241" s="6"/>
    </row>
    <row r="242">
      <c r="B242" s="6" t="s">
        <v>478</v>
      </c>
      <c r="C242" s="56">
        <v>2219.57</v>
      </c>
      <c r="D242" s="56">
        <v>2424.899</v>
      </c>
      <c r="E242" s="56">
        <v>2258.465</v>
      </c>
      <c r="F242" s="56">
        <v>2414.702</v>
      </c>
      <c r="G242" s="56">
        <v>9054.277</v>
      </c>
      <c r="H242" s="6"/>
      <c r="I242" s="6"/>
    </row>
    <row r="243">
      <c r="B243" s="6"/>
      <c r="C243" s="6"/>
      <c r="D243" s="6"/>
      <c r="E243" s="6"/>
      <c r="F243" s="6"/>
      <c r="G243" s="6"/>
      <c r="H243" s="6"/>
      <c r="I243" s="6"/>
    </row>
    <row r="244">
      <c r="B244" s="6" t="s">
        <v>479</v>
      </c>
      <c r="C244" s="40">
        <v>0.05</v>
      </c>
      <c r="D244" s="40">
        <v>0.04</v>
      </c>
      <c r="E244" s="40">
        <v>0.03</v>
      </c>
      <c r="F244" s="40">
        <v>0.01</v>
      </c>
      <c r="G244" s="40">
        <v>0.09</v>
      </c>
      <c r="H244" s="6"/>
      <c r="I244" s="6"/>
    </row>
    <row r="245">
      <c r="B245" s="6" t="s">
        <v>480</v>
      </c>
      <c r="C245" s="40">
        <v>0.03</v>
      </c>
      <c r="D245" s="40">
        <v>0.04</v>
      </c>
      <c r="E245" s="40">
        <v>0.02</v>
      </c>
      <c r="F245" s="40">
        <v>0.04</v>
      </c>
      <c r="G245" s="40">
        <v>0.06</v>
      </c>
      <c r="H245" s="6"/>
      <c r="I245" s="6"/>
    </row>
    <row r="246">
      <c r="B246" s="6" t="s">
        <v>481</v>
      </c>
      <c r="C246" s="40">
        <v>0.06</v>
      </c>
      <c r="D246" s="40">
        <v>0.09</v>
      </c>
      <c r="E246" s="40">
        <v>0.1</v>
      </c>
      <c r="F246" s="40">
        <v>0.08</v>
      </c>
      <c r="G246" s="40">
        <v>0.04</v>
      </c>
      <c r="H246" s="6"/>
      <c r="I246" s="6"/>
    </row>
    <row r="247">
      <c r="B247" s="6" t="s">
        <v>482</v>
      </c>
      <c r="C247" s="40">
        <v>0.03</v>
      </c>
      <c r="D247" s="40">
        <v>0.03</v>
      </c>
      <c r="E247" s="40">
        <v>0.03</v>
      </c>
      <c r="F247" s="40">
        <v>0.01</v>
      </c>
      <c r="G247" s="40">
        <v>0.05</v>
      </c>
      <c r="H247" s="6"/>
      <c r="I247" s="6"/>
    </row>
    <row r="248">
      <c r="B248" s="6" t="s">
        <v>483</v>
      </c>
      <c r="C248" s="40">
        <v>0.06</v>
      </c>
      <c r="D248" s="40">
        <v>0.07</v>
      </c>
      <c r="E248" s="40">
        <v>0.05</v>
      </c>
      <c r="F248" s="40">
        <v>0.05</v>
      </c>
      <c r="G248" s="40">
        <v>0.09</v>
      </c>
      <c r="H248" s="6"/>
      <c r="I248" s="6"/>
    </row>
    <row r="249">
      <c r="B249" s="6" t="s">
        <v>484</v>
      </c>
      <c r="C249" s="40">
        <v>0.05</v>
      </c>
      <c r="D249" s="40">
        <v>0.08</v>
      </c>
      <c r="E249" s="40">
        <v>0.1</v>
      </c>
      <c r="F249" s="40">
        <v>0.09</v>
      </c>
      <c r="G249" s="40">
        <v>0.06</v>
      </c>
      <c r="H249" s="6"/>
      <c r="I249" s="6"/>
    </row>
    <row r="250">
      <c r="B250" s="6" t="s">
        <v>485</v>
      </c>
      <c r="C250" s="40">
        <v>0.12</v>
      </c>
      <c r="D250" s="40">
        <v>0.12</v>
      </c>
      <c r="E250" s="40">
        <v>0.07</v>
      </c>
      <c r="F250" s="40">
        <v>0.03</v>
      </c>
      <c r="G250" s="40">
        <v>0.1</v>
      </c>
      <c r="H250" s="6"/>
      <c r="I250" s="6"/>
    </row>
    <row r="251">
      <c r="B251" s="6" t="s">
        <v>486</v>
      </c>
      <c r="C251" s="40">
        <v>-0.03</v>
      </c>
      <c r="D251" s="40">
        <v>-0.01</v>
      </c>
      <c r="E251" s="40">
        <v>-0.01</v>
      </c>
      <c r="F251" s="40">
        <v>0</v>
      </c>
      <c r="G251" s="40">
        <v>0.06</v>
      </c>
      <c r="H251" s="6"/>
      <c r="I251" s="6"/>
    </row>
    <row r="252">
      <c r="B252" s="6" t="s">
        <v>487</v>
      </c>
      <c r="C252" s="40">
        <v>0.05</v>
      </c>
      <c r="D252" s="40">
        <v>0.04</v>
      </c>
      <c r="E252" s="40">
        <v>0.03</v>
      </c>
      <c r="F252" s="40">
        <v>0.03</v>
      </c>
      <c r="G252" s="40">
        <v>0.08</v>
      </c>
      <c r="H252" s="6"/>
      <c r="I252" s="6"/>
    </row>
    <row r="253">
      <c r="B253" s="6" t="s">
        <v>488</v>
      </c>
      <c r="C253" s="40">
        <v>0.05</v>
      </c>
      <c r="D253" s="40">
        <v>0.02</v>
      </c>
      <c r="E253" s="40">
        <v>0.02</v>
      </c>
      <c r="F253" s="40">
        <v>0.01</v>
      </c>
      <c r="G253" s="40">
        <v>0.05</v>
      </c>
      <c r="H253" s="6"/>
      <c r="I253" s="6"/>
    </row>
    <row r="254">
      <c r="B254" s="6" t="s">
        <v>489</v>
      </c>
      <c r="C254" s="6"/>
      <c r="D254" s="6"/>
      <c r="E254" s="6"/>
      <c r="F254" s="6"/>
      <c r="G254" s="6"/>
      <c r="H254" s="58">
        <v>0</v>
      </c>
      <c r="I254" s="6"/>
    </row>
    <row r="255">
      <c r="B255" s="6" t="s">
        <v>490</v>
      </c>
      <c r="C255" s="6"/>
      <c r="D255" s="6"/>
      <c r="E255" s="6"/>
      <c r="F255" s="6"/>
      <c r="G255" s="6"/>
      <c r="H255" s="58">
        <v>0</v>
      </c>
      <c r="I255" s="6"/>
    </row>
    <row r="256">
      <c r="B256" s="6" t="s">
        <v>491</v>
      </c>
      <c r="C256" s="6"/>
      <c r="D256" s="6"/>
      <c r="E256" s="6"/>
      <c r="F256" s="6"/>
      <c r="G256" s="6"/>
      <c r="H256" s="58">
        <v>0</v>
      </c>
      <c r="I256" s="6"/>
    </row>
    <row r="257">
      <c r="B257" s="6" t="s">
        <v>492</v>
      </c>
      <c r="C257" s="6"/>
      <c r="D257" s="6"/>
      <c r="E257" s="6"/>
      <c r="F257" s="6"/>
      <c r="G257" s="6"/>
      <c r="H257" s="58">
        <v>0</v>
      </c>
      <c r="I257" s="6"/>
    </row>
    <row r="258">
      <c r="B258" s="6" t="s">
        <v>493</v>
      </c>
      <c r="C258" s="63">
        <v>626.122298</v>
      </c>
      <c r="D258" s="63">
        <v>625.676922</v>
      </c>
      <c r="E258" s="63">
        <v>626.824946</v>
      </c>
      <c r="F258" s="63">
        <v>624.343707</v>
      </c>
      <c r="G258" s="63">
        <v>627.852613</v>
      </c>
      <c r="H258" s="6"/>
      <c r="I258" s="6"/>
    </row>
    <row r="259">
      <c r="B259" s="6" t="s">
        <v>494</v>
      </c>
      <c r="C259" s="63">
        <v>633.883494</v>
      </c>
      <c r="D259" s="63">
        <v>634.65641</v>
      </c>
      <c r="E259" s="63">
        <v>634.211978</v>
      </c>
      <c r="F259" s="63">
        <v>630.457461</v>
      </c>
      <c r="G259" s="63">
        <v>635.940044</v>
      </c>
      <c r="H259" s="6"/>
      <c r="I259" s="6"/>
    </row>
    <row r="260" ht="25.5">
      <c r="B260" s="17" t="s">
        <v>495</v>
      </c>
      <c r="C260" s="35">
        <v>420.469</v>
      </c>
      <c r="D260" s="1"/>
      <c r="E260" s="1"/>
      <c r="F260" s="1"/>
      <c r="G260" s="1"/>
      <c r="H260" s="6"/>
    </row>
    <row r="261" ht="25.5">
      <c r="B261" s="17" t="s">
        <v>496</v>
      </c>
      <c r="C261" s="35">
        <v>131.98</v>
      </c>
      <c r="D261" s="1"/>
      <c r="E261" s="1"/>
      <c r="F261" s="1"/>
      <c r="G261" s="1"/>
      <c r="H261" s="6"/>
    </row>
    <row r="262" ht="25.5">
      <c r="B262" s="17" t="s">
        <v>497</v>
      </c>
      <c r="C262" s="35">
        <v>62.875</v>
      </c>
      <c r="D262" s="1"/>
      <c r="E262" s="1"/>
      <c r="F262" s="1"/>
      <c r="G262" s="1"/>
      <c r="H262" s="6"/>
    </row>
  </sheetData>
</worksheet>
</file>

<file path=xl/worksheets/sheet13.xml><?xml version="1.0" encoding="utf-8"?>
<worksheet xmlns="http://schemas.openxmlformats.org/spreadsheetml/2006/main" xmlns:r="http://schemas.openxmlformats.org/officeDocument/2006/relationships">
  <dimension ref="B2:J29"/>
  <sheetViews>
    <sheetView showGridLines="0" workbookViewId="0">
      <pane xSplit="2" ySplit="7" topLeftCell="C8" activePane="bottomRight" state="frozen"/>
    </sheetView>
  </sheetViews>
  <sheetFormatPr defaultColWidth="8.42578125" defaultRowHeight="15"/>
  <cols>
    <col min="1" max="1" width="3" customWidth="1"/>
    <col min="2" max="2" width="36" customWidth="1"/>
    <col min="3" max="3" width="17" customWidth="1"/>
    <col min="4" max="4" width="24" customWidth="1"/>
    <col min="5" max="5" width="71" customWidth="1"/>
    <col min="6" max="6" width="55" customWidth="1"/>
    <col min="7" max="8" width="13" customWidth="1"/>
    <col min="9" max="9" width="18" customWidth="1"/>
    <col min="10" max="10" width="88" customWidth="1"/>
  </cols>
  <sheetData>
    <row r="2">
      <c r="B2" s="3" t="s">
        <v>0</v>
      </c>
      <c r="C2" s="3"/>
      <c r="D2" s="3"/>
      <c r="E2" s="3"/>
      <c r="F2" s="3"/>
      <c r="G2" s="3"/>
      <c r="H2" s="3"/>
    </row>
    <row r="3">
      <c r="B3" s="3" t="s">
        <v>498</v>
      </c>
      <c r="C3" s="3"/>
      <c r="D3" s="3"/>
      <c r="E3" s="3"/>
      <c r="F3" s="3"/>
      <c r="G3" s="3"/>
      <c r="H3" s="3"/>
    </row>
    <row r="4">
      <c r="B4" s="3" t="s">
        <v>2</v>
      </c>
      <c r="C4" s="3"/>
      <c r="D4" s="3"/>
      <c r="E4" s="3"/>
      <c r="F4" s="3"/>
      <c r="G4" s="3"/>
      <c r="H4" s="3"/>
    </row>
    <row r="5">
      <c r="B5" s="5" t="s">
        <v>3</v>
      </c>
      <c r="C5" s="5" t="s">
        <v>4</v>
      </c>
      <c r="D5" s="5" t="s">
        <v>5</v>
      </c>
      <c r="E5" s="5" t="s">
        <v>6</v>
      </c>
      <c r="F5" s="5" t="s">
        <v>7</v>
      </c>
      <c r="G5" s="5" t="s">
        <v>8</v>
      </c>
      <c r="H5" s="5" t="s">
        <v>9</v>
      </c>
    </row>
    <row r="6">
      <c r="B6" s="5" t="s">
        <v>10</v>
      </c>
      <c r="C6" s="9">
        <v>45900</v>
      </c>
      <c r="D6" s="9">
        <v>45991</v>
      </c>
      <c r="E6" s="9">
        <v>46081</v>
      </c>
      <c r="F6" s="9">
        <v>46173</v>
      </c>
      <c r="G6" s="9">
        <v>45900</v>
      </c>
      <c r="H6" s="9">
        <v>46265</v>
      </c>
    </row>
    <row r="7">
      <c r="B7" s="5" t="s">
        <v>11</v>
      </c>
      <c r="C7" s="5">
        <v>92</v>
      </c>
      <c r="D7" s="5">
        <v>91</v>
      </c>
      <c r="E7" s="5">
        <v>90</v>
      </c>
      <c r="F7" s="5">
        <v>92</v>
      </c>
      <c r="G7" s="5">
        <v>365</v>
      </c>
      <c r="H7" s="5">
        <v>92</v>
      </c>
    </row>
    <row r="8">
      <c r="B8" s="6"/>
      <c r="C8" s="6"/>
      <c r="D8" s="6"/>
      <c r="E8" s="6"/>
      <c r="F8" s="6"/>
      <c r="G8" s="6"/>
      <c r="H8" s="8"/>
    </row>
    <row r="9">
      <c r="B9" s="36" t="s">
        <v>499</v>
      </c>
      <c r="C9" s="36" t="s">
        <v>500</v>
      </c>
      <c r="D9" s="36" t="s">
        <v>501</v>
      </c>
      <c r="E9" s="36" t="s">
        <v>502</v>
      </c>
      <c r="F9" s="36" t="s">
        <v>503</v>
      </c>
      <c r="G9" s="6"/>
      <c r="H9" s="8"/>
      <c r="J9" s="6" t="s">
        <v>504</v>
      </c>
    </row>
    <row r="10" ht="33.75">
      <c r="B10" s="6" t="s">
        <v>505</v>
      </c>
      <c r="C10" s="35">
        <v>46289</v>
      </c>
      <c r="D10" s="1" t="s">
        <v>506</v>
      </c>
      <c r="E10" s="34" t="s">
        <v>507</v>
      </c>
      <c r="F10" s="34" t="s">
        <v>508</v>
      </c>
      <c r="G10" s="1"/>
      <c r="H10" s="10"/>
      <c r="J10" s="6"/>
    </row>
    <row r="11" ht="33.75">
      <c r="B11" s="6" t="s">
        <v>509</v>
      </c>
      <c r="C11" s="35">
        <v>46289</v>
      </c>
      <c r="D11" s="1" t="s">
        <v>506</v>
      </c>
      <c r="E11" s="34" t="s">
        <v>510</v>
      </c>
      <c r="F11" s="34" t="s">
        <v>511</v>
      </c>
      <c r="G11" s="1"/>
      <c r="H11" s="10"/>
      <c r="J11" s="6"/>
    </row>
    <row r="12" ht="33.75">
      <c r="B12" s="6" t="s">
        <v>512</v>
      </c>
      <c r="C12" s="35">
        <v>45925</v>
      </c>
      <c r="D12" s="1" t="s">
        <v>513</v>
      </c>
      <c r="E12" s="34" t="s">
        <v>514</v>
      </c>
      <c r="F12" s="34" t="s">
        <v>515</v>
      </c>
      <c r="G12" s="1"/>
      <c r="H12" s="10"/>
      <c r="J12" s="6"/>
    </row>
    <row r="13" ht="33.75">
      <c r="B13" s="6" t="s">
        <v>516</v>
      </c>
      <c r="C13" s="35">
        <v>45940</v>
      </c>
      <c r="D13" s="1" t="s">
        <v>513</v>
      </c>
      <c r="E13" s="34" t="s">
        <v>517</v>
      </c>
      <c r="F13" s="34" t="s">
        <v>518</v>
      </c>
      <c r="G13" s="1"/>
      <c r="H13" s="10"/>
      <c r="J13" s="6"/>
    </row>
    <row r="14" ht="33.75">
      <c r="B14" s="6" t="s">
        <v>519</v>
      </c>
      <c r="C14" s="35">
        <v>46009</v>
      </c>
      <c r="D14" s="1" t="s">
        <v>513</v>
      </c>
      <c r="E14" s="34" t="s">
        <v>520</v>
      </c>
      <c r="F14" s="34" t="s">
        <v>521</v>
      </c>
      <c r="G14" s="1"/>
      <c r="H14" s="10"/>
      <c r="J14" s="6"/>
    </row>
    <row r="15" ht="33.75">
      <c r="B15" s="6" t="s">
        <v>522</v>
      </c>
      <c r="C15" s="35">
        <v>46100</v>
      </c>
      <c r="D15" s="1" t="s">
        <v>513</v>
      </c>
      <c r="E15" s="34" t="s">
        <v>523</v>
      </c>
      <c r="F15" s="34" t="s">
        <v>524</v>
      </c>
      <c r="G15" s="1"/>
      <c r="H15" s="10"/>
      <c r="J15" s="6"/>
    </row>
    <row r="16" ht="33.75">
      <c r="B16" s="6" t="s">
        <v>525</v>
      </c>
      <c r="C16" s="35">
        <v>46191</v>
      </c>
      <c r="D16" s="1" t="s">
        <v>513</v>
      </c>
      <c r="E16" s="34" t="s">
        <v>526</v>
      </c>
      <c r="F16" s="34" t="s">
        <v>527</v>
      </c>
      <c r="G16" s="1"/>
      <c r="H16" s="10"/>
      <c r="J16" s="6"/>
    </row>
    <row r="17" ht="33.75">
      <c r="B17" s="6" t="s">
        <v>528</v>
      </c>
      <c r="C17" s="35">
        <v>46191</v>
      </c>
      <c r="D17" s="1" t="s">
        <v>513</v>
      </c>
      <c r="E17" s="34" t="s">
        <v>529</v>
      </c>
      <c r="F17" s="34" t="s">
        <v>530</v>
      </c>
      <c r="G17" s="1"/>
      <c r="H17" s="10"/>
      <c r="J17" s="6"/>
    </row>
    <row r="18" ht="33.75">
      <c r="B18" s="6" t="s">
        <v>531</v>
      </c>
      <c r="C18" s="35">
        <v>46191</v>
      </c>
      <c r="D18" s="1" t="s">
        <v>532</v>
      </c>
      <c r="E18" s="34" t="s">
        <v>533</v>
      </c>
      <c r="F18" s="34" t="s">
        <v>534</v>
      </c>
      <c r="G18" s="1"/>
      <c r="H18" s="10"/>
      <c r="J18" s="6"/>
    </row>
    <row r="19" ht="33.75">
      <c r="B19" s="6" t="s">
        <v>535</v>
      </c>
      <c r="C19" s="35">
        <v>46283</v>
      </c>
      <c r="D19" s="1" t="s">
        <v>536</v>
      </c>
      <c r="E19" s="34" t="s">
        <v>537</v>
      </c>
      <c r="F19" s="34" t="s">
        <v>538</v>
      </c>
      <c r="G19" s="1"/>
      <c r="H19" s="10"/>
      <c r="J19" s="6"/>
    </row>
    <row r="20" ht="33.75">
      <c r="B20" s="6" t="s">
        <v>539</v>
      </c>
      <c r="C20" s="35">
        <v>46274</v>
      </c>
      <c r="D20" s="1" t="s">
        <v>540</v>
      </c>
      <c r="E20" s="34" t="s">
        <v>541</v>
      </c>
      <c r="F20" s="34" t="s">
        <v>542</v>
      </c>
      <c r="G20" s="1"/>
      <c r="H20" s="10"/>
      <c r="J20" s="6"/>
    </row>
    <row r="21">
      <c r="B21" s="6"/>
      <c r="C21" s="1"/>
      <c r="D21" s="1"/>
      <c r="E21" s="1"/>
      <c r="F21" s="1"/>
      <c r="G21" s="1"/>
      <c r="H21" s="10"/>
      <c r="J21" s="6"/>
    </row>
    <row r="22">
      <c r="B22" s="6" t="s">
        <v>543</v>
      </c>
      <c r="C22" s="1" t="s">
        <v>544</v>
      </c>
      <c r="D22" s="1"/>
      <c r="E22" s="1"/>
      <c r="F22" s="1"/>
      <c r="G22" s="1"/>
      <c r="H22" s="10"/>
      <c r="J22" s="6"/>
    </row>
    <row r="23">
      <c r="B23" s="6" t="s">
        <v>545</v>
      </c>
      <c r="C23" s="1" t="s">
        <v>546</v>
      </c>
      <c r="D23" s="1"/>
      <c r="E23" s="1"/>
      <c r="F23" s="1"/>
      <c r="G23" s="1"/>
      <c r="H23" s="10"/>
      <c r="J23" s="6"/>
    </row>
    <row r="24" ht="48.75">
      <c r="B24" s="6" t="s">
        <v>547</v>
      </c>
      <c r="C24" s="1"/>
      <c r="D24" s="1"/>
      <c r="E24" s="1"/>
      <c r="F24" s="1"/>
      <c r="G24" s="1"/>
      <c r="H24" s="10"/>
      <c r="J24" s="17" t="s">
        <v>548</v>
      </c>
    </row>
    <row r="25" ht="48.75">
      <c r="B25" s="6" t="s">
        <v>549</v>
      </c>
      <c r="C25" s="1"/>
      <c r="D25" s="1"/>
      <c r="E25" s="1"/>
      <c r="F25" s="1"/>
      <c r="G25" s="1"/>
      <c r="H25" s="10"/>
      <c r="J25" s="17" t="s">
        <v>550</v>
      </c>
    </row>
    <row r="26" ht="48.75">
      <c r="B26" s="6" t="s">
        <v>551</v>
      </c>
      <c r="C26" s="1"/>
      <c r="D26" s="1"/>
      <c r="E26" s="1"/>
      <c r="F26" s="1"/>
      <c r="G26" s="1"/>
      <c r="H26" s="10"/>
      <c r="J26" s="17" t="s">
        <v>552</v>
      </c>
    </row>
    <row r="27" ht="48.75">
      <c r="B27" s="6" t="s">
        <v>553</v>
      </c>
      <c r="J27" s="17" t="s">
        <v>554</v>
      </c>
    </row>
    <row r="28" ht="48.75">
      <c r="B28" s="6" t="s">
        <v>555</v>
      </c>
      <c r="J28" s="17" t="s">
        <v>556</v>
      </c>
    </row>
    <row r="29" ht="48.75">
      <c r="J29" s="17" t="s">
        <v>557</v>
      </c>
    </row>
  </sheetData>
</worksheet>
</file>