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Parts Supply" sheetId="3" r:id="rId4"/>
    <sheet name="Segment - RE&amp;S" sheetId="4" r:id="rId5"/>
    <sheet name="Segment - Government Solutions" sheetId="5" r:id="rId6"/>
    <sheet name="Segment - Legacy Commercial" sheetId="6" r:id="rId7"/>
    <sheet name="Income Statement" sheetId="7" r:id="rId8"/>
    <sheet name="Balance Sheet" sheetId="8" r:id="rId9"/>
    <sheet name="Cash Flow Statement" sheetId="9" r:id="rId10"/>
    <sheet name="Geo" sheetId="10" r:id="rId11"/>
    <sheet name="Share Count" sheetId="11" r:id="rId12"/>
    <sheet name="Guidance" sheetId="12" r:id="rId13"/>
    <sheet name="Sources" sheetId="13" r:id="rId14"/>
    <sheet name="Inputs" sheetId="14" r:id="rId15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K53" authorId="0">
      <text>
        <t>air-20260531x10k.htm | Page n/a | $115.3 million</t>
      </text>
    </comment>
    <comment ref="C9" authorId="0">
      <text>
        <t>tm2612934d1_ex99-1.htm | Page n/a | 254.5</t>
      </text>
    </comment>
    <comment ref="C19" authorId="0">
      <text>
        <t>tm2612934d1_ex99-1.htm | Page n/a | 63.3</t>
      </text>
    </comment>
    <comment ref="D9" authorId="0">
      <text>
        <t>tm2612934d1_ex99-1.htm | Page n/a | 268.1</t>
      </text>
    </comment>
    <comment ref="D19" authorId="0">
      <text>
        <t>tm2612934d1_ex99-1.htm | Page n/a | 85.5</t>
      </text>
    </comment>
    <comment ref="E9" authorId="0">
      <text>
        <t>tm2612934d1_ex99-1.htm | Page n/a | 300</t>
      </text>
    </comment>
    <comment ref="E19" authorId="0">
      <text>
        <t>tm2612934d1_ex99-1.htm | Page n/a | 92.5</t>
      </text>
    </comment>
    <comment ref="G9" authorId="0">
      <text>
        <t>tm2612934d1_ex99-1.htm | Page n/a | 1153.4</t>
      </text>
    </comment>
    <comment ref="G19" authorId="0">
      <text>
        <t>tm2612934d1_ex99-1.htm | Page n/a | 334.3</t>
      </text>
    </comment>
    <comment ref="L9" authorId="0">
      <text>
        <t>tm2612934d1_ex99-1.htm | Page n/a | 210.4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9" authorId="0">
      <text>
        <t>tm2612934d1_ex99-1.htm | Page n/a | 206.6</t>
      </text>
    </comment>
    <comment ref="C19" authorId="0">
      <text>
        <t>tm2612934d1_ex99-1.htm | Page n/a | 19.8</t>
      </text>
    </comment>
    <comment ref="D9" authorId="0">
      <text>
        <t>tm2612934d1_ex99-1.htm | Page n/a | 236.6</t>
      </text>
    </comment>
    <comment ref="D19" authorId="0">
      <text>
        <t>tm2612934d1_ex99-1.htm | Page n/a | 21.1</t>
      </text>
    </comment>
    <comment ref="E9" authorId="0">
      <text>
        <t>tm2612934d1_ex99-1.htm | Page n/a | 258.9</t>
      </text>
    </comment>
    <comment ref="E19" authorId="0">
      <text>
        <t>tm2612934d1_ex99-1.htm | Page n/a | 23.4</t>
      </text>
    </comment>
    <comment ref="G9" authorId="0">
      <text>
        <t>tm2612934d1_ex99-1.htm | Page n/a | 990.2</t>
      </text>
    </comment>
    <comment ref="G19" authorId="0">
      <text>
        <t>tm2612934d1_ex99-1.htm | Page n/a | 90.6</t>
      </text>
    </comment>
    <comment ref="L9" authorId="0">
      <text>
        <t>tm2612934d1_ex99-1.htm | Page n/a | 199.9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9" authorId="0">
      <text>
        <t>tm2612934d1_ex99-1.htm | Page n/a | 0.7</t>
      </text>
    </comment>
    <comment ref="C19" authorId="0">
      <text>
        <t>tm2612934d1_ex99-1.htm | Page n/a | 133.2</t>
      </text>
    </comment>
    <comment ref="D9" authorId="0">
      <text>
        <t>tm2612934d1_ex99-1.htm | Page n/a | 1.2</t>
      </text>
    </comment>
    <comment ref="D19" authorId="0">
      <text>
        <t>tm2612934d1_ex99-1.htm | Page n/a | 122.3</t>
      </text>
    </comment>
    <comment ref="E9" authorId="0">
      <text>
        <t>tm2612934d1_ex99-1.htm | Page n/a | 1.3</t>
      </text>
    </comment>
    <comment ref="E19" authorId="0">
      <text>
        <t>tm2612934d1_ex99-1.htm | Page n/a | 113.4</t>
      </text>
    </comment>
    <comment ref="G9" authorId="0">
      <text>
        <t>tm2612934d1_ex99-1.htm | Page n/a | 3.3</t>
      </text>
    </comment>
    <comment ref="G19" authorId="0">
      <text>
        <t>tm2612934d1_ex99-1.htm | Page n/a | 499</t>
      </text>
    </comment>
    <comment ref="L9" authorId="0">
      <text>
        <t>tm2612934d1_ex99-1.htm | Page n/a | 1.3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9" authorId="0">
      <text>
        <t>tm2612934d1_ex99-1.htm | Page n/a | 61.5</t>
      </text>
    </comment>
    <comment ref="C19" authorId="0">
      <text>
        <t>tm2612934d1_ex99-1.htm | Page n/a | 0</t>
      </text>
    </comment>
    <comment ref="D9" authorId="0">
      <text>
        <t>tm2612934d1_ex99-1.htm | Page n/a | 60.5</t>
      </text>
    </comment>
    <comment ref="D19" authorId="0">
      <text>
        <t>tm2612934d1_ex99-1.htm | Page n/a | 0</t>
      </text>
    </comment>
    <comment ref="E9" authorId="0">
      <text>
        <t>tm2612934d1_ex99-1.htm | Page n/a | 55.6</t>
      </text>
    </comment>
    <comment ref="E19" authorId="0">
      <text>
        <t>tm2612934d1_ex99-1.htm | Page n/a | 0</t>
      </text>
    </comment>
    <comment ref="G9" authorId="0">
      <text>
        <t>tm2612934d1_ex99-1.htm | Page n/a | 237.2</t>
      </text>
    </comment>
    <comment ref="G19" authorId="0">
      <text>
        <t>tm2612934d1_ex99-1.htm | Page n/a | 0</t>
      </text>
    </comment>
    <comment ref="L9" authorId="0">
      <text>
        <t>tm2612934d1_ex99-1.htm | Page n/a | 61.3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34" authorId="0">
      <text>
        <t>tm2526233d1_ex99-1.htm | Page n/a | 6.4</t>
      </text>
    </comment>
    <comment ref="D34" authorId="0">
      <text>
        <t>tm261729d1_ex99-1.htm | Page n/a | 14.2</t>
      </text>
    </comment>
    <comment ref="E34" authorId="0">
      <text>
        <t>tm269282d1_ex99-1.htm | Page n/a | 15.5</t>
      </text>
    </comment>
    <comment ref="F34" authorId="0">
      <text>
        <t>tm2620584d1_ex99-1.htm | Page n/a | 17.9</t>
      </text>
    </comment>
    <comment ref="G34" authorId="0">
      <text>
        <t>tm2620584d1_ex99-1.htm | Page n/a | 54.0</t>
      </text>
    </comment>
    <comment ref="G33" authorId="0">
      <text>
        <t>air-20260531x10k.htm | Page n/a | 4.86</t>
      </text>
    </comment>
    <comment ref="E35" authorId="0">
      <text>
        <t>tm269282d1_ex99-1.htm | Page n/a | (35.7)</t>
      </text>
    </comment>
    <comment ref="K9" authorId="0">
      <text>
        <t>air-20260531x10k.htm | Page n/a | 1,712.3</t>
      </text>
    </comment>
    <comment ref="K10" authorId="0">
      <text>
        <t>air-20260531x10k.htm | Page n/a | 1,068.2</t>
      </text>
    </comment>
    <comment ref="L9" authorId="0">
      <text>
        <t>air-20250831x10q.htm | Page n/a | 396.9</t>
      </text>
    </comment>
    <comment ref="L10" authorId="0">
      <text>
        <t>air-20250831x10q.htm | Page n/a | 264.8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G48" authorId="0">
      <text>
        <t>R7.htm | Page n/a | (7.2)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G18" authorId="0">
      <text>
        <t>R39.htm | Page n/a | 840.6</t>
      </text>
    </comment>
    <comment ref="K18" authorId="0">
      <text>
        <t>R39.htm | Page n/a | 631.6</t>
      </text>
    </comment>
    <comment ref="K24" authorId="0">
      <text>
        <t>R39.htm | Page n/a | 735.9</t>
      </text>
    </comment>
    <comment ref="K30" authorId="0">
      <text>
        <t>R39.htm | Page n/a | 493.1</t>
      </text>
    </comment>
    <comment ref="K36" authorId="0">
      <text>
        <t>R39.htm | Page n/a | 167.6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E13" authorId="0">
      <text>
        <t>tm2620584d1_ex99-1.htm | Page n/a | 21%</t>
      </text>
    </comment>
    <comment ref="F13" authorId="0">
      <text>
        <t>tm2620584d1_ex99-1.htm | Page n/a | 23%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C29" authorId="0">
      <text>
        <t>AIR_consensus.json | Page n/a | 1.3</t>
      </text>
    </comment>
    <comment ref="C46" authorId="0">
      <text>
        <t>AIR_consensus.json | Page n/a | 880.35</t>
      </text>
    </comment>
    <comment ref="C38" authorId="0">
      <text>
        <t>AIR_consensus.json | Page n/a | 1.23</t>
      </text>
    </comment>
    <comment ref="C57" authorId="0">
      <text>
        <t>AIR_consensus.json | Page n/a | 48.31</t>
      </text>
    </comment>
    <comment ref="D12" authorId="0">
      <text>
        <t>AIR_history.csv | Page n/a | 1.08</t>
      </text>
    </comment>
    <comment ref="H12" authorId="0">
      <text>
        <t>AIR_history.csv | Page n/a | 739.6</t>
      </text>
    </comment>
    <comment ref="D13" authorId="0">
      <text>
        <t>AIR_history.csv | Page n/a | 1.18</t>
      </text>
    </comment>
    <comment ref="H13" authorId="0">
      <text>
        <t>AIR_history.csv | Page n/a | 795.3</t>
      </text>
    </comment>
    <comment ref="D14" authorId="0">
      <text>
        <t>AIR_history.csv | Page n/a | 1.25</t>
      </text>
    </comment>
    <comment ref="H14" authorId="0">
      <text>
        <t>AIR_history.csv | Page n/a | 845.1</t>
      </text>
    </comment>
    <comment ref="D15" authorId="0">
      <text>
        <t>AIR_history.csv | Page n/a | 1.53</t>
      </text>
    </comment>
    <comment ref="H15" authorId="0">
      <text>
        <t>AIR_history.csv | Page n/a | 928</t>
      </text>
    </comment>
  </commentList>
</comments>
</file>

<file path=xl/sharedStrings.xml><?xml version="1.0" encoding="utf-8"?>
<sst xmlns="http://schemas.openxmlformats.org/spreadsheetml/2006/main" count="1343" uniqueCount="529">
  <si>
    <t>AAR CORP.</t>
  </si>
  <si>
    <t>Company Model — built by Shortcut</t>
  </si>
  <si>
    <t>$ millions, except per share</t>
  </si>
  <si>
    <t>Fiscal period</t>
  </si>
  <si>
    <t>1Q26A</t>
  </si>
  <si>
    <t>2Q26A</t>
  </si>
  <si>
    <t>3Q26A</t>
  </si>
  <si>
    <t>4Q26A</t>
  </si>
  <si>
    <t>FY26A</t>
  </si>
  <si>
    <t>1Q27E</t>
  </si>
  <si>
    <t>Period end</t>
  </si>
  <si>
    <t>Days in period</t>
  </si>
  <si>
    <t>Company</t>
  </si>
  <si>
    <t>Aviation aftermarket</t>
  </si>
  <si>
    <t>Ticker / exchange</t>
  </si>
  <si>
    <t>AIR / NYSE</t>
  </si>
  <si>
    <t>NYSE:AIR</t>
  </si>
  <si>
    <t>Fiscal year end</t>
  </si>
  <si>
    <t>May-31</t>
  </si>
  <si>
    <t>Reporting currency</t>
  </si>
  <si>
    <t>USD</t>
  </si>
  <si>
    <t>USD / common share</t>
  </si>
  <si>
    <t>EPS basis</t>
  </si>
  <si>
    <t>Normalized diluted</t>
  </si>
  <si>
    <t>Adjusted issuer EPS</t>
  </si>
  <si>
    <t>Information cutoff</t>
  </si>
  <si>
    <t>2026-09-26T18:44:22Z</t>
  </si>
  <si>
    <t>Pre-release only</t>
  </si>
  <si>
    <t>Expected report date</t>
  </si>
  <si>
    <t>Forecast metric</t>
  </si>
  <si>
    <t>Estimate</t>
  </si>
  <si>
    <t>Consensus Sep 24</t>
  </si>
  <si>
    <t>Δ vs consensus</t>
  </si>
  <si>
    <t>Guidance midpoint</t>
  </si>
  <si>
    <t>Basis</t>
  </si>
  <si>
    <t>Revenue</t>
  </si>
  <si>
    <t>$m incl. legacy</t>
  </si>
  <si>
    <t>Normalized net income</t>
  </si>
  <si>
    <t>Unavailable</t>
  </si>
  <si>
    <t>$m</t>
  </si>
  <si>
    <t>Normalized diluted EPS</t>
  </si>
  <si>
    <t>USD/common share</t>
  </si>
  <si>
    <t>GAAP net income</t>
  </si>
  <si>
    <t>GAAP diluted EPS</t>
  </si>
  <si>
    <t>Overall model checks</t>
  </si>
  <si>
    <t>P(beat consensus EPS)</t>
  </si>
  <si>
    <t>Confidence</t>
  </si>
  <si>
    <t>CapIQ consensus captured Sep 24, 2026 (timestamp unknown).</t>
  </si>
  <si>
    <t>No issuer EPS / net-income range; sales midpoint derived from guided ex-legacy growth and legacy forecast.</t>
  </si>
  <si>
    <t>Guided 22% ex-legacy growth; HEICO organic +14%; HAECO execution and parts USM spreads are risks.</t>
  </si>
  <si>
    <t>Downside: USM margins, slowing parts distribution, HAECO drag, weak government growth.</t>
  </si>
  <si>
    <t>Normalized EPS matches issuer-adjusted basis; amortization/integration item adjusted net of tax.</t>
  </si>
  <si>
    <t>Revenue summary</t>
  </si>
  <si>
    <t>Parts Supply</t>
  </si>
  <si>
    <t xml:space="preserve">   Y/Y growth</t>
  </si>
  <si>
    <t xml:space="preserve">   Q/Q growth</t>
  </si>
  <si>
    <t xml:space="preserve">   % of total revenue</t>
  </si>
  <si>
    <t xml:space="preserve">   Share change, bp</t>
  </si>
  <si>
    <t>Repair, Engineering, and Software</t>
  </si>
  <si>
    <t>Government Solutions</t>
  </si>
  <si>
    <t>Legacy Commercial Programs</t>
  </si>
  <si>
    <t>Consolidated reported revenue</t>
  </si>
  <si>
    <t xml:space="preserve">   Organic growth</t>
  </si>
  <si>
    <t xml:space="preserve">   M&amp;A / scope effect</t>
  </si>
  <si>
    <t>M&amp;A scope analyst assumption (Parts $35m, RE&amp;S $40m) relative to prior-year GAAP sales; FX zero is an explicit analyst assumption, not a reported fact.</t>
  </si>
  <si>
    <t xml:space="preserve">   FX impact</t>
  </si>
  <si>
    <t xml:space="preserve">   Total Y/Y growth</t>
  </si>
  <si>
    <t>Ex-legacy commercial programs</t>
  </si>
  <si>
    <t>July 21 company guidance applies to ex-LCP growth only; includes Legacy Commercial Programs in consolidated sales.</t>
  </si>
  <si>
    <t xml:space="preserve">   Y/Y growth (guided basis)</t>
  </si>
  <si>
    <t>Reported revenue check vs CapIQ</t>
  </si>
  <si>
    <t>Historical 1Q26–4Q26 cross-check versus actual CapIQ attached history, not a new consensus.</t>
  </si>
  <si>
    <t>Commercial customer sales</t>
  </si>
  <si>
    <t>Customer-market organic/scope/FX breakdown in rows 77–82; FY25 quarterly base L42:O42 from May 2026 SEC recast.</t>
  </si>
  <si>
    <t>Government/defense customer sales</t>
  </si>
  <si>
    <t>Government growth bridge rows 85–90; FY25 quarterly base L43:O43 from May 2026 SEC recast.</t>
  </si>
  <si>
    <t xml:space="preserve">   Commercial sales mix</t>
  </si>
  <si>
    <t xml:space="preserve">   Commercial mix change, bp</t>
  </si>
  <si>
    <t>Geographic diversity — see Geo</t>
  </si>
  <si>
    <t>Source: FY26 Form 10-K, Note 15</t>
  </si>
  <si>
    <t>Parts Supply — growth decomposition</t>
  </si>
  <si>
    <t xml:space="preserve">   Organic Y/Y</t>
  </si>
  <si>
    <t xml:space="preserve">   Acquisition / scope effect</t>
  </si>
  <si>
    <t xml:space="preserve">   FX effect (assumed nil)</t>
  </si>
  <si>
    <t xml:space="preserve">   Total Y/Y</t>
  </si>
  <si>
    <t>RE&amp;S — growth decomposition</t>
  </si>
  <si>
    <t>Government — growth decomposition</t>
  </si>
  <si>
    <t>Legacy — growth decomposition</t>
  </si>
  <si>
    <t>Segment sales to total check</t>
  </si>
  <si>
    <t>Guided ex-legacy growth range check</t>
  </si>
  <si>
    <t>COMMERCIAL CUSTOMER SALES GROWTH</t>
  </si>
  <si>
    <t xml:space="preserve">   Acquisitions / scope Y/Y</t>
  </si>
  <si>
    <t xml:space="preserve">   FX assumption / impact</t>
  </si>
  <si>
    <t>FX zero is an analyst modeling assumption; filing does not quantify the customer-market FX effect.</t>
  </si>
  <si>
    <t xml:space="preserve">   Absolute sequential change, $m</t>
  </si>
  <si>
    <t>GOVERNMENT CUSTOMER SALES GROWTH</t>
  </si>
  <si>
    <t>Customer-market to revenue check</t>
  </si>
  <si>
    <t>Segment - Parts Supply</t>
  </si>
  <si>
    <t>FY25 reported base / M&amp;A</t>
  </si>
  <si>
    <t>FY25 1Q base</t>
  </si>
  <si>
    <t>FY25 2Q base</t>
  </si>
  <si>
    <t>FY25 3Q base</t>
  </si>
  <si>
    <t>FY25 4Q base</t>
  </si>
  <si>
    <t>Commercial customer revenue</t>
  </si>
  <si>
    <t>Quarterly commercial/government split: May 6, 2026 SEC recast; FY26: 10-K Note 15. 4Q26 split FY less first three quarters.</t>
  </si>
  <si>
    <t xml:space="preserve">   Y/Y change</t>
  </si>
  <si>
    <t xml:space="preserve">   Sequential change, $m</t>
  </si>
  <si>
    <t xml:space="preserve">   Commercial mix</t>
  </si>
  <si>
    <t xml:space="preserve">   Mix change, bp</t>
  </si>
  <si>
    <t xml:space="preserve">   FX effect</t>
  </si>
  <si>
    <t>Government / defense revenue</t>
  </si>
  <si>
    <t xml:space="preserve">   Government mix</t>
  </si>
  <si>
    <t>Third-party segment revenue</t>
  </si>
  <si>
    <t xml:space="preserve">   % of consolidated revenue</t>
  </si>
  <si>
    <t>Reported segment operating income</t>
  </si>
  <si>
    <t xml:space="preserve">   Reported operating margin</t>
  </si>
  <si>
    <t xml:space="preserve">   Margin change, bp</t>
  </si>
  <si>
    <t>Forecast operating margin assumption</t>
  </si>
  <si>
    <t>Disclosed product-line split (FY)</t>
  </si>
  <si>
    <t>No separately quantified product sales or opening customer balances in FY2026 10-K Note 15.</t>
  </si>
  <si>
    <t>New-parts distribution (no $ split)</t>
  </si>
  <si>
    <t>FY2026 Form 10-K discloses activity and growth but not the separate dollar revenues.</t>
  </si>
  <si>
    <t>Used serviceable materials (no $ split)</t>
  </si>
  <si>
    <t xml:space="preserve">   Product-line split check</t>
  </si>
  <si>
    <t>Operating demand: customer mix</t>
  </si>
  <si>
    <t xml:space="preserve">   Y/Y commercial mix change, bp</t>
  </si>
  <si>
    <t xml:space="preserve">   Sequential mix change, bp</t>
  </si>
  <si>
    <t>Forecast acquired revenue assumption, $m</t>
  </si>
  <si>
    <t>FY26 acquisitions ADI ($115.3m incl. govt $33.2m) / HAECO ($131.1m) in 10-K; forecast acquired sales are analyst assumptions, NOT reported amounts.</t>
  </si>
  <si>
    <t xml:space="preserve">   Of which acquired govt sales, $m</t>
  </si>
  <si>
    <t>FY26 annual acquired sales reported, $m</t>
  </si>
  <si>
    <t>FORECAST CUSTOMER-MARKET DRIVERS</t>
  </si>
  <si>
    <t>Opening comparison revenue, prior Q1</t>
  </si>
  <si>
    <t xml:space="preserve">   Operating demand uplift / (decline)</t>
  </si>
  <si>
    <t xml:space="preserve">   Acquired dollar sales impact</t>
  </si>
  <si>
    <t>Commercial organic demand change</t>
  </si>
  <si>
    <t>Analyst operating-demand percentage, inferred from company 21–23% ex-LCP sales guide, acquisition scope and customer composition; no unit/ARPU counts disclosed in FY26 10-K.</t>
  </si>
  <si>
    <t>Government organic demand change</t>
  </si>
  <si>
    <t>Revenue driver bridge check</t>
  </si>
  <si>
    <t>CUSTOMER COUNTS — NOT REPORTED</t>
  </si>
  <si>
    <t>Opening customer count</t>
  </si>
  <si>
    <t>AAR FY2026 10-K discloses revenue to customer classes but no counts, gross adds, churn, ARPU or per-unit price. A numeric subscriber ladder would fabricate source data.</t>
  </si>
  <si>
    <t>Gross customer additions</t>
  </si>
  <si>
    <t>Customer churn / terminations</t>
  </si>
  <si>
    <t>Net customer additions</t>
  </si>
  <si>
    <t>Closing customer count</t>
  </si>
  <si>
    <t>Average active customers</t>
  </si>
  <si>
    <t>Comparable revenue base</t>
  </si>
  <si>
    <t xml:space="preserve">   Change vs year-ago quarter</t>
  </si>
  <si>
    <t xml:space="preserve">   Sequential difference to last quarter</t>
  </si>
  <si>
    <t>Organic operating uplift</t>
  </si>
  <si>
    <t xml:space="preserve">   Contribution to Y/Y growth</t>
  </si>
  <si>
    <t xml:space="preserve">   Sequential uplift not reported</t>
  </si>
  <si>
    <t>Acquired dollar sales</t>
  </si>
  <si>
    <t xml:space="preserve">   Sequential acquired sales not disclosed</t>
  </si>
  <si>
    <t>Commercial organic growth input</t>
  </si>
  <si>
    <t>Year-ago organic-rate history is not disclosed. Rate changes cannot be quantified; estimate inputs are labeled assumptions, not observed margins.</t>
  </si>
  <si>
    <t xml:space="preserve">   Annual change in rate, bp</t>
  </si>
  <si>
    <t xml:space="preserve">   Sequential change in rate, bp</t>
  </si>
  <si>
    <t>Government organic growth input</t>
  </si>
  <si>
    <t>Quarter driver recomposition</t>
  </si>
  <si>
    <t xml:space="preserve">   Recomposition less segment total</t>
  </si>
  <si>
    <t>Segment - RE&amp;S</t>
  </si>
  <si>
    <t>Airframe / Component MRO (no $ split)</t>
  </si>
  <si>
    <t>FY2026 Form 10-K does not quantify quarterly or annual sub-product revenue.</t>
  </si>
  <si>
    <t>Software / Trax (no $ split)</t>
  </si>
  <si>
    <t>Segment - Government Solutions</t>
  </si>
  <si>
    <t>Product-line detail disclosed annually only; quarterly not available in FY2026 10-K.</t>
  </si>
  <si>
    <t>Government programs</t>
  </si>
  <si>
    <t>Mobility Systems</t>
  </si>
  <si>
    <t>Segment - Legacy Commercial</t>
  </si>
  <si>
    <t>Component repair programs</t>
  </si>
  <si>
    <t>Distribution of C&amp;E inventory</t>
  </si>
  <si>
    <t>Income Statement</t>
  </si>
  <si>
    <t>FY25 reported annual base</t>
  </si>
  <si>
    <t>Product revenue</t>
  </si>
  <si>
    <t>Service revenue</t>
  </si>
  <si>
    <t>Total sales</t>
  </si>
  <si>
    <t xml:space="preserve">   Sales Y/Y</t>
  </si>
  <si>
    <t>Product cost of sales</t>
  </si>
  <si>
    <t>Service cost of sales</t>
  </si>
  <si>
    <t>Gross profit</t>
  </si>
  <si>
    <t xml:space="preserve">   Gross margin</t>
  </si>
  <si>
    <t xml:space="preserve">   Gross margin change, bp</t>
  </si>
  <si>
    <t>Provision for credit losses</t>
  </si>
  <si>
    <t>Selling, general &amp; administrative</t>
  </si>
  <si>
    <t>Equity income from joint ventures</t>
  </si>
  <si>
    <t>Operating income</t>
  </si>
  <si>
    <t xml:space="preserve">   Operating margin</t>
  </si>
  <si>
    <t>Interest expense (negative)</t>
  </si>
  <si>
    <t>Interest income</t>
  </si>
  <si>
    <t>Non-operating gains / (losses)</t>
  </si>
  <si>
    <t>Pretax income</t>
  </si>
  <si>
    <t>Income tax expense</t>
  </si>
  <si>
    <t xml:space="preserve">   Effective tax rate</t>
  </si>
  <si>
    <t>Weighted average diluted shares, m</t>
  </si>
  <si>
    <t>GAAP diluted EPS (computed)</t>
  </si>
  <si>
    <t>Reported GAAP EPS (CapIQ)</t>
  </si>
  <si>
    <t>(+) Acquisition/integration/amortization</t>
  </si>
  <si>
    <t>Forecast acquisition/integration/intangible amortization: $14m pre-tax, vs $17.9m 4Q26 reported.</t>
  </si>
  <si>
    <t>(+) Bargain purchase adjustment</t>
  </si>
  <si>
    <t>(+) Sale / exit adjustments</t>
  </si>
  <si>
    <t>(+) Other exceptional adjustments</t>
  </si>
  <si>
    <t>(-) Tax effect on adjustments</t>
  </si>
  <si>
    <t>Normalized diluted EPS (modeled)</t>
  </si>
  <si>
    <t>Reported normalized EPS (CapIQ)</t>
  </si>
  <si>
    <t>Issuer published per-share bridge is used for actual EPS; reported adjusted income / rounded 0.1m shares may not reproduce published adjusted EPS. Forecast EPS is adjusted income / diluted shares.</t>
  </si>
  <si>
    <t xml:space="preserve">   Reported-vs-model EPS rounding</t>
  </si>
  <si>
    <t xml:space="preserve">   GAAP net income Y/Y</t>
  </si>
  <si>
    <t>Weighted average basic shares, m</t>
  </si>
  <si>
    <t>FORECAST ASSUMPTIONS</t>
  </si>
  <si>
    <t>Product revenue mix</t>
  </si>
  <si>
    <t>Product gross margin</t>
  </si>
  <si>
    <t>Service gross margin</t>
  </si>
  <si>
    <t>Credit loss assumption</t>
  </si>
  <si>
    <t>SG&amp;A assumption</t>
  </si>
  <si>
    <t>Joint venture income assumption</t>
  </si>
  <si>
    <t>Effective tax rate assumption</t>
  </si>
  <si>
    <t>Adjustment tax rate assumption</t>
  </si>
  <si>
    <t>PUBLISHED PER-SHARE ADJUSTMENT BRIDGE</t>
  </si>
  <si>
    <t>Issuer GAAP diluted EPS, published</t>
  </si>
  <si>
    <t>Acquisition and integration expenses</t>
  </si>
  <si>
    <t>Bargain purchase adjustment</t>
  </si>
  <si>
    <t>Sale / joint venture gain or loss</t>
  </si>
  <si>
    <t>Headquarters building gain</t>
  </si>
  <si>
    <t>Product-line impairment / exit</t>
  </si>
  <si>
    <t>Equity investments / impairment</t>
  </si>
  <si>
    <t>Severance</t>
  </si>
  <si>
    <t>COVID subsidy reversal</t>
  </si>
  <si>
    <t>FCPA and other legal adjustments</t>
  </si>
  <si>
    <t>Other disclosed adjustments</t>
  </si>
  <si>
    <t>Tax effect on adjustments</t>
  </si>
  <si>
    <t>Adjusted diluted EPS: issuer bridge</t>
  </si>
  <si>
    <t>Forecast EPS bridge minus adjusted NI / shares</t>
  </si>
  <si>
    <t>PRODUCT REVENUE GROWTH</t>
  </si>
  <si>
    <t>FY26 Q1–Q4 market scope/FX impacts not quantified by product/service in SEC 10-Q: unavailable; FY and forecast figures explicitly assume zero FX.</t>
  </si>
  <si>
    <t xml:space="preserve">   Acquisitions / scope</t>
  </si>
  <si>
    <t>SERVICE REVENUE GROWTH</t>
  </si>
  <si>
    <t>Product/service revenue tie to sales</t>
  </si>
  <si>
    <t>Balance Sheet</t>
  </si>
  <si>
    <t>Cash and cash equivalents</t>
  </si>
  <si>
    <t>Restricted cash</t>
  </si>
  <si>
    <t>Trade accounts receivable</t>
  </si>
  <si>
    <t>Contract assets</t>
  </si>
  <si>
    <t>Inventory</t>
  </si>
  <si>
    <t>Other current assets</t>
  </si>
  <si>
    <t>Total current assets</t>
  </si>
  <si>
    <t>Property, plant and equipment</t>
  </si>
  <si>
    <t>Goodwill</t>
  </si>
  <si>
    <t>Intangible assets</t>
  </si>
  <si>
    <t>Lease right-of-use assets</t>
  </si>
  <si>
    <t>Rotable assets</t>
  </si>
  <si>
    <t>Other non-current assets</t>
  </si>
  <si>
    <t>Total assets</t>
  </si>
  <si>
    <t>Accounts payable</t>
  </si>
  <si>
    <t>Other accrued liabilities</t>
  </si>
  <si>
    <t>Total current liabilities</t>
  </si>
  <si>
    <t>Long-term debt</t>
  </si>
  <si>
    <t>Lease liabilities</t>
  </si>
  <si>
    <t>Deferred tax liabilities</t>
  </si>
  <si>
    <t>Other liabilities</t>
  </si>
  <si>
    <t>Total liabilities</t>
  </si>
  <si>
    <t>Stockholders’ equity</t>
  </si>
  <si>
    <t>Liabilities plus equity</t>
  </si>
  <si>
    <t>ASSETS - LIABILITIES - EQUITY</t>
  </si>
  <si>
    <t>Difference should be zero; 4Q26 and FY26 balance sheet share the same reporting date.</t>
  </si>
  <si>
    <t>FORECAST BALANCE ASSUMPTIONS</t>
  </si>
  <si>
    <t>Change in accounts receivable</t>
  </si>
  <si>
    <t>Change in inventory</t>
  </si>
  <si>
    <t>Change in accounts payable</t>
  </si>
  <si>
    <t>Cash Flow Statement</t>
  </si>
  <si>
    <t xml:space="preserve">   Stock compensation &amp; other noncash</t>
  </si>
  <si>
    <t xml:space="preserve">   Other operating adjustment</t>
  </si>
  <si>
    <t>Depreciation &amp; amortization</t>
  </si>
  <si>
    <t>Other working-capital changes</t>
  </si>
  <si>
    <t>Net cash from operating activities</t>
  </si>
  <si>
    <t>Property &amp; equipment expenditure</t>
  </si>
  <si>
    <t>Other investing cash flows</t>
  </si>
  <si>
    <t>Forecast capex assumption (positive)</t>
  </si>
  <si>
    <t>Forecast net debt repayment</t>
  </si>
  <si>
    <t>Net cash from investing activities</t>
  </si>
  <si>
    <t>Financing cash flows</t>
  </si>
  <si>
    <t>Net cash from financing activities</t>
  </si>
  <si>
    <t>Change in cash + restricted cash</t>
  </si>
  <si>
    <t>Cash + restricted cash at start</t>
  </si>
  <si>
    <t>Cash-flow cash includes restricted cash; balance sheet cash + restricted cash. Historical quarter flows FY26 10-Q YTD changes.</t>
  </si>
  <si>
    <t>Cash + restricted cash at end</t>
  </si>
  <si>
    <t>CASH FLOW TO BALANCE SHEET CHECK</t>
  </si>
  <si>
    <t>Operating cash flow / revenue</t>
  </si>
  <si>
    <t>Free cash flow (CFO + capex)</t>
  </si>
  <si>
    <t>REPORTED INDIRECT CASH FLOW DETAIL</t>
  </si>
  <si>
    <t>Net income</t>
  </si>
  <si>
    <t>Depreciation / amortization</t>
  </si>
  <si>
    <t>Financing cost amortization</t>
  </si>
  <si>
    <t>Stock-based compensation</t>
  </si>
  <si>
    <t>Gain on sale of building</t>
  </si>
  <si>
    <t>Deferred tax benefit</t>
  </si>
  <si>
    <t>Earnings from joint ventures</t>
  </si>
  <si>
    <t>Gain on sale of business</t>
  </si>
  <si>
    <t>Other noncash / impairment</t>
  </si>
  <si>
    <t>Change in receivables</t>
  </si>
  <si>
    <t>Change in contract assets</t>
  </si>
  <si>
    <t>Change in inventories</t>
  </si>
  <si>
    <t>Change in prepayments</t>
  </si>
  <si>
    <t>Change in rotables</t>
  </si>
  <si>
    <t>Change in accrued liabilities</t>
  </si>
  <si>
    <t>Other operating items, reported</t>
  </si>
  <si>
    <t>Indirect operating cash flow subtotal</t>
  </si>
  <si>
    <t>REPORTED INVESTING DETAIL</t>
  </si>
  <si>
    <t>Property &amp; equipment spending</t>
  </si>
  <si>
    <t>Cash used for acquisitions</t>
  </si>
  <si>
    <t>Property sale proceeds</t>
  </si>
  <si>
    <t>Business sale proceeds</t>
  </si>
  <si>
    <t>Hangar expansion cash flows</t>
  </si>
  <si>
    <t>Other investing, reported</t>
  </si>
  <si>
    <t>REPORTED FINANCING DETAIL</t>
  </si>
  <si>
    <t>Equity offering proceeds</t>
  </si>
  <si>
    <t>Long-term borrowing proceeds</t>
  </si>
  <si>
    <t>Net short-term borrowings</t>
  </si>
  <si>
    <t>Treasury share repurchases</t>
  </si>
  <si>
    <t>Stock compensation / financing other</t>
  </si>
  <si>
    <t>Financing costs</t>
  </si>
  <si>
    <t>Other financing, reported</t>
  </si>
  <si>
    <t>Geo</t>
  </si>
  <si>
    <t>FY25 actual geography</t>
  </si>
  <si>
    <t>North America</t>
  </si>
  <si>
    <t>Quarterly regional sales not disclosed in FY2026 10-Q / 10-K. FY26 actual and Q1 FY27 regional forecast only.</t>
  </si>
  <si>
    <t>Europe / Africa</t>
  </si>
  <si>
    <t>Asia</t>
  </si>
  <si>
    <t>Other</t>
  </si>
  <si>
    <t>Total region-disclosed sales</t>
  </si>
  <si>
    <t>REGION-TO-CONSOLIDATED CHECK</t>
  </si>
  <si>
    <t xml:space="preserve">   North America share</t>
  </si>
  <si>
    <t>PARTS SUPPLY — geography</t>
  </si>
  <si>
    <t>FY26 annual regional subsegment breakdown is directly from FY26 SEC 10-K Note 15; forecast uses FY26 within-segment regional mix.</t>
  </si>
  <si>
    <t xml:space="preserve">  North America</t>
  </si>
  <si>
    <t xml:space="preserve">  Europe / Africa</t>
  </si>
  <si>
    <t xml:space="preserve">  Asia</t>
  </si>
  <si>
    <t xml:space="preserve">  Other</t>
  </si>
  <si>
    <t xml:space="preserve">  Segment regional subtotal</t>
  </si>
  <si>
    <t>REPAIR, ENGINEERING &amp; SOFTWARE</t>
  </si>
  <si>
    <t>GOVERNMENT SOLUTIONS</t>
  </si>
  <si>
    <t>LEGACY COMMERCIAL PROGRAMS</t>
  </si>
  <si>
    <t>Regional FY26 annual Y/Y (quarterly growth unavailable)</t>
  </si>
  <si>
    <t>FY25 annual comparators from FY2026 Form 10-K Note 15 (R39.htm). Quarterly historical/regional organic/M&amp;A/FX splits are not disclosed and are unavailable; forecast allocation is modeled using FY26 annual mix.</t>
  </si>
  <si>
    <t xml:space="preserve">   North America FY Y/Y</t>
  </si>
  <si>
    <t xml:space="preserve">   Europe / Africa FY Y/Y</t>
  </si>
  <si>
    <t xml:space="preserve">   Asia FY Y/Y</t>
  </si>
  <si>
    <t xml:space="preserve">   Other FY Y/Y</t>
  </si>
  <si>
    <t>Share Count</t>
  </si>
  <si>
    <t>Weighted-average common shares in millions, SEC 10-Q / 10-K. FY26 equity offering increased weighted share count.</t>
  </si>
  <si>
    <t xml:space="preserve">   Absolute Q/Q change, m</t>
  </si>
  <si>
    <t>Dilutive securities, m</t>
  </si>
  <si>
    <t>Cash spent on share repurchases</t>
  </si>
  <si>
    <t>Shares issued for employee awards</t>
  </si>
  <si>
    <t>Share issuances for employee awards not reliably quantifiable in full quarter; unavailable.</t>
  </si>
  <si>
    <t>Public equity proceeds FY26</t>
  </si>
  <si>
    <t>Shares underlying forecast EPS</t>
  </si>
  <si>
    <t xml:space="preserve">   Forecast share count check</t>
  </si>
  <si>
    <t>Guidance</t>
  </si>
  <si>
    <t>Metric</t>
  </si>
  <si>
    <t>Guidance date</t>
  </si>
  <si>
    <t>Low</t>
  </si>
  <si>
    <t>High</t>
  </si>
  <si>
    <t>Midpoint</t>
  </si>
  <si>
    <t>Reported actual</t>
  </si>
  <si>
    <t>Beat / miss</t>
  </si>
  <si>
    <t>Notes</t>
  </si>
  <si>
    <t>Total sales growth</t>
  </si>
  <si>
    <t>4Q26</t>
  </si>
  <si>
    <t>Prior-year quarterly sales $754.5m source FY2026 Q4 release; input K10</t>
  </si>
  <si>
    <t>Organic adjusted sales growth</t>
  </si>
  <si>
    <t>Issuer 13.1% (organic adjusted)</t>
  </si>
  <si>
    <t>Adjusted operating margin</t>
  </si>
  <si>
    <t>4Q26 adjusted operating income $98m from FY2026 Q4 release; input K12</t>
  </si>
  <si>
    <t>Ex-legacy sales growth</t>
  </si>
  <si>
    <t>1Q27</t>
  </si>
  <si>
    <t>Excludes LCP; forecast at Revenue summary!H38</t>
  </si>
  <si>
    <t>Ex-legacy adjusted EBITDA margin</t>
  </si>
  <si>
    <t>No issuer GAAP reconciliation / no EPS guide</t>
  </si>
  <si>
    <t>FY27</t>
  </si>
  <si>
    <t>Issuer: low double-digits to low teens; qualitative only</t>
  </si>
  <si>
    <t>Consolidated sales midpoint incl. LCP</t>
  </si>
  <si>
    <t>Calculated, not direct company guidance</t>
  </si>
  <si>
    <t>Sources</t>
  </si>
  <si>
    <t>ID</t>
  </si>
  <si>
    <t>Published</t>
  </si>
  <si>
    <t>Publisher</t>
  </si>
  <si>
    <t>URL or file</t>
  </si>
  <si>
    <t>Feeds</t>
  </si>
  <si>
    <t>I1</t>
  </si>
  <si>
    <t>S&amp;P Capital IQ</t>
  </si>
  <si>
    <t>AIR_history.csv</t>
  </si>
  <si>
    <t>Inputs!B10:I15; history comparison</t>
  </si>
  <si>
    <t>I2</t>
  </si>
  <si>
    <t>AIR_consensus.json</t>
  </si>
  <si>
    <t>Inputs!B20:C78; Cover consensus</t>
  </si>
  <si>
    <t>S1</t>
  </si>
  <si>
    <t>AAR / SEC</t>
  </si>
  <si>
    <t>https://www.sec.gov/Archives/edgar/data/1750/000110465926056332/tm2612934d1_ex99-1.htm</t>
  </si>
  <si>
    <t>Segment recasts, customer split</t>
  </si>
  <si>
    <t>S2</t>
  </si>
  <si>
    <t>https://www.sec.gov/Archives/edgar/data/1750/000110465926085459/air-20260531x10k.htm</t>
  </si>
  <si>
    <t>FY26 statements, currency, segments</t>
  </si>
  <si>
    <t>S3</t>
  </si>
  <si>
    <t>https://www.sec.gov/Archives/edgar/data/1750/000110465926085429/tm2620584d1_ex99-1.htm</t>
  </si>
  <si>
    <t>4Q26 results, Q1 guidance, adjustments</t>
  </si>
  <si>
    <t>S4</t>
  </si>
  <si>
    <t>https://www.sec.gov/Archives/edgar/data/1750/000110465925092589/air-20250831x10q.htm</t>
  </si>
  <si>
    <t>1Q26 results, balance, cash flows</t>
  </si>
  <si>
    <t>S5</t>
  </si>
  <si>
    <t>https://www.sec.gov/Archives/edgar/data/1750/000110465926001420/air-20251130x10q.htm</t>
  </si>
  <si>
    <t>2Q26 actual statements</t>
  </si>
  <si>
    <t>S6</t>
  </si>
  <si>
    <t>https://www.sec.gov/Archives/edgar/data/1750/000110465926033973/air-20260228x10q.htm</t>
  </si>
  <si>
    <t>3Q26 actual statements</t>
  </si>
  <si>
    <t>S7</t>
  </si>
  <si>
    <t>https://www.sec.gov/Archives/edgar/data/1750/000110465926085459/R39.htm</t>
  </si>
  <si>
    <t>FY26 geographic/product/segment splits</t>
  </si>
  <si>
    <t>S8</t>
  </si>
  <si>
    <t>https://www.sec.gov/Archives/edgar/data/1750/000110465926085459/R7.htm</t>
  </si>
  <si>
    <t>FY26 cash flow</t>
  </si>
  <si>
    <t>S9</t>
  </si>
  <si>
    <t>HEICO</t>
  </si>
  <si>
    <t>https://heico.com/2026/08/25/heico-corporation-reports-record-net-income-up-33-on-record-operating-income-up-34-and-record-net-sales-up-23-for-the-third-quarter-of-fiscal-2026/</t>
  </si>
  <si>
    <t>Peer organic +14%</t>
  </si>
  <si>
    <t>S10</t>
  </si>
  <si>
    <t>Earnings Whispers</t>
  </si>
  <si>
    <t>https://beta.earningswhispers.com/article/AIR/20274</t>
  </si>
  <si>
    <t>USM spread / HAECO integration risks</t>
  </si>
  <si>
    <t>CapIQ as-of: 2026-09-24 (date only); do not label Sep 26 consensus</t>
  </si>
  <si>
    <t>CSV SHA256</t>
  </si>
  <si>
    <t>71d205b5e569e4900f6d76b9f473cce0be2a825c983a5b99114e11038c9f55a3</t>
  </si>
  <si>
    <t>JSON SHA256</t>
  </si>
  <si>
    <t>0429d38d6623a964c3618380fbf709d253dd2bcdbc1494178c56ecd36437a8ed</t>
  </si>
  <si>
    <t>No customer opening/closing balances disclosed: FY2026 10-K Note 15</t>
  </si>
  <si>
    <t>Quarterly geographic revenue unavailable: FY2026 10-K Note 15 only discloses fiscal-year split.</t>
  </si>
  <si>
    <t>S11</t>
  </si>
  <si>
    <t>AAR</t>
  </si>
  <si>
    <t>https://www.aarcorp.com/en/newsroom/press-releases/2026/aar-reports-third-quarter-fiscal-year-2026-results/</t>
  </si>
  <si>
    <t>4Q26 prior guidance/backtest</t>
  </si>
  <si>
    <t>S12</t>
  </si>
  <si>
    <t>https://www.sec.gov/Archives/edgar/data/1750/000110465925092548/tm2526233d1_ex99-1.htm</t>
  </si>
  <si>
    <t>1Q26 non-GAAP adjusted net-income/EPS bridge</t>
  </si>
  <si>
    <t>S13</t>
  </si>
  <si>
    <t>https://www.sec.gov/Archives/edgar/data/1750/000110465926001328/tm261729d1_ex99-1.htm</t>
  </si>
  <si>
    <t>2Q26 non-GAAP adjusted net-income/EPS bridge</t>
  </si>
  <si>
    <t>S14</t>
  </si>
  <si>
    <t>https://www.sec.gov/Archives/edgar/data/1750/000110465926033901/tm269282d1_ex99-1.htm</t>
  </si>
  <si>
    <t>3Q26 non-GAAP adjusted net-income/EPS bridge</t>
  </si>
  <si>
    <t>SEC source note: quarterly geographic customer splits not in 10-Q / 10-K; marked Unavailable on Geo rather than fabricated.</t>
  </si>
  <si>
    <t>Inputs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</si>
  <si>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</si>
  <si>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</si>
  <si>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</si>
  <si>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</si>
  <si>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</si>
  <si>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</si>
  <si>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</si>
  <si>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report_date</t>
  </si>
  <si>
    <t>CapIQ full summary row</t>
  </si>
  <si>
    <t>Value (as supplied, captured Sep 24)</t>
  </si>
  <si>
    <t>ticker</t>
  </si>
  <si>
    <t>AIR</t>
  </si>
  <si>
    <t>company</t>
  </si>
  <si>
    <t>AAR Corp.</t>
  </si>
  <si>
    <t>exchange_ticker</t>
  </si>
  <si>
    <t>capiq_company_id</t>
  </si>
  <si>
    <t>analyst_count</t>
  </si>
  <si>
    <t>fiscal_year_end</t>
  </si>
  <si>
    <t>forward_quarter_label</t>
  </si>
  <si>
    <t>FQ1 2027 - Aug 2026</t>
  </si>
  <si>
    <t>expected_report_date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</si>
  <si>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</si>
  <si>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</si>
  <si>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</si>
  <si>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</si>
  <si>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</si>
  <si>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</si>
  <si>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</si>
  <si>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</si>
  <si>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</si>
  <si>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</si>
  <si>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</si>
  <si>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</si>
  <si>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</si>
  <si>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</si>
  <si>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</si>
  <si>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</si>
  <si>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</si>
  <si>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</si>
  <si>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</si>
  <si>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</si>
  <si>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</si>
  <si>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</si>
  <si>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</si>
  <si>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</si>
  <si>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</si>
  <si>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</si>
  <si>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</si>
  <si>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</si>
  <si>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</si>
  <si>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</si>
  <si>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</si>
  <si>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</si>
  <si>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</si>
  <si>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</si>
  <si>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</si>
  <si>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</si>
  <si>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</si>
  <si>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</si>
  <si>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</si>
  <si>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</si>
  <si>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</si>
  <si>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</si>
  <si>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</si>
  <si>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</si>
  <si>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</si>
  <si>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notes</t>
  </si>
  <si>
    <t>May-31 fiscal year end. AAR has beaten the normalized EPS consensus in all six reported quarters, by 3 to 16 percent.</t>
  </si>
  <si>
    <t>Summary SHA256</t>
  </si>
  <si>
    <t>466cfdf5041c003c2add1a43299d70d2554c3b222a3ada272df67c1f2d6d327a</t>
  </si>
  <si>
    <t>Consensus date</t>
  </si>
  <si>
    <t>History SHA256</t>
  </si>
  <si>
    <t>JSON file SHA256</t>
  </si>
  <si>
    <t>P(beat Sep 24 consensus EPS)</t>
  </si>
  <si>
    <t>Analyst probability judgment: issuer guidance in line with forecast and 6 supplied normalized EPS beats; preview warns of USM and integration risk.</t>
  </si>
  <si>
    <t>Forecast confidence</t>
  </si>
  <si>
    <t>medium</t>
  </si>
</sst>
</file>

<file path=xl/styles.xml><?xml version="1.0" encoding="utf-8"?>
<styleSheet xmlns="http://schemas.openxmlformats.org/spreadsheetml/2006/main">
  <numFmts count="6">
    <numFmt numFmtId="164" formatCode="#,##0.0_);(#,##0.0);–_)"/>
    <numFmt numFmtId="165" formatCode="yyyy-mm-dd"/>
    <numFmt numFmtId="166" formatCode="0.0%_);(0.0%);–_)"/>
    <numFmt numFmtId="167" formatCode="$0.00"/>
    <numFmt numFmtId="168" formatCode="d-mmm-yyyy"/>
    <numFmt numFmtId="169" formatCode="#,##0.0"/>
  </numFmts>
  <fonts count="15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1"/>
      <color rgb="FF000000"/>
      <name val="Calibri"/>
    </font>
    <font>
      <b/>
      <i val="0"/>
      <strike val="0"/>
      <sz val="10"/>
      <color rgb="FF0000FF"/>
      <name val="Arial"/>
    </font>
    <font>
      <b val="0"/>
      <i val="0"/>
      <strike val="0"/>
      <sz val="11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1"/>
      <color rgb="FF0000FF"/>
      <name val="Arial"/>
    </font>
    <font>
      <b/>
      <i val="0"/>
      <strike val="0"/>
      <sz val="13"/>
      <color rgb="FF000000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 val="0"/>
      <i/>
      <strike val="0"/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7FB"/>
      </patternFill>
    </fill>
    <fill>
      <patternFill patternType="solid">
        <fgColor rgb="FFE9EDF1"/>
      </patternFill>
    </fill>
  </fills>
  <borders count="4">
    <border>
      <left/>
      <right/>
      <top/>
      <bottom/>
      <diagonal/>
    </border>
    <border>
      <top style="thin">
        <color rgb="FFAAB5BD"/>
      </top>
    </border>
    <border>
      <top style="thin">
        <color rgb="FFAAB5BD"/>
      </top>
      <bottom style="thin">
        <color rgb="FFAAB5BD"/>
      </bottom>
    </border>
    <border>
      <bottom style="thin">
        <color rgb="FFD7DEE4"/>
      </bottom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4" fontId="3" fillId="0" borderId="1" xfId="0" applyNumberFormat="1" applyFont="1" applyFill="1" applyBorder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165" fontId="1" fillId="3" borderId="2" xfId="0" applyNumberFormat="1" applyFont="1" applyFill="1" applyBorder="1" applyAlignment="1" applyProtection="1">
      <alignment horizontal="general" vertical="bottom"/>
      <protection locked="1" hidden="0"/>
    </xf>
    <xf numFmtId="166" fontId="5" fillId="0" borderId="0" xfId="0" applyNumberFormat="1" applyFont="1" applyFill="1" applyAlignment="1" applyProtection="1">
      <alignment horizontal="general" vertical="bottom"/>
      <protection locked="1" hidden="0"/>
    </xf>
    <xf numFmtId="167" fontId="6" fillId="0" borderId="3" xfId="0" applyNumberFormat="1" applyFont="1" applyFill="1" applyBorder="1" applyAlignment="1" applyProtection="1">
      <alignment horizontal="general" vertical="bottom"/>
      <protection locked="1" hidden="0"/>
    </xf>
    <xf numFmtId="0" fontId="1" fillId="3" borderId="2" xfId="0" applyFont="1" applyFill="1" applyBorder="1" applyAlignment="1" applyProtection="1">
      <alignment horizontal="general" vertical="bottom"/>
      <protection locked="1" hidden="0"/>
    </xf>
    <xf numFmtId="0" fontId="7" fillId="3" borderId="2" xfId="0" applyFont="1" applyFill="1" applyBorder="1" applyAlignment="1" applyProtection="1">
      <alignment horizontal="general" vertical="bottom" wrapText="1"/>
      <protection locked="1" hidden="0"/>
    </xf>
    <xf numFmtId="0" fontId="1" fillId="0" borderId="3" xfId="0" applyFont="1" applyFill="1" applyBorder="1" applyAlignment="1" applyProtection="1">
      <alignment horizontal="general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164" fontId="1" fillId="0" borderId="3" xfId="0" applyNumberFormat="1" applyFont="1" applyFill="1" applyBorder="1" applyAlignment="1" applyProtection="1">
      <alignment horizontal="general" vertical="bottom"/>
      <protection locked="1" hidden="0"/>
    </xf>
    <xf numFmtId="164" fontId="6" fillId="0" borderId="3" xfId="0" applyNumberFormat="1" applyFont="1" applyFill="1" applyBorder="1" applyAlignment="1" applyProtection="1">
      <alignment horizontal="general" vertical="bottom"/>
      <protection locked="1" hidden="0"/>
    </xf>
    <xf numFmtId="165" fontId="8" fillId="0" borderId="0" xfId="0" applyNumberFormat="1" applyFont="1" applyFill="1" applyAlignment="1" applyProtection="1">
      <alignment horizontal="general" vertical="bottom"/>
      <protection locked="1" hidden="0"/>
    </xf>
    <xf numFmtId="0" fontId="7" fillId="0" borderId="1" xfId="0" applyFont="1" applyFill="1" applyBorder="1" applyAlignment="1" applyProtection="1">
      <alignment horizontal="general" vertical="bottom"/>
      <protection locked="1" hidden="0"/>
    </xf>
    <xf numFmtId="164" fontId="8" fillId="0" borderId="0" xfId="0" applyNumberFormat="1" applyFont="1" applyFill="1" applyAlignment="1" applyProtection="1">
      <alignment horizontal="general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164" fontId="7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7" fillId="2" borderId="1" xfId="0" applyNumberFormat="1" applyFont="1" applyFill="1" applyBorder="1" applyAlignment="1" applyProtection="1">
      <alignment horizontal="general" vertical="bottom"/>
      <protection locked="1" hidden="0"/>
    </xf>
    <xf numFmtId="0" fontId="7" fillId="3" borderId="0" xfId="0" applyFont="1" applyFill="1" applyAlignment="1" applyProtection="1">
      <alignment horizontal="general" vertical="bottom"/>
      <protection locked="1" hidden="0"/>
    </xf>
    <xf numFmtId="165" fontId="1" fillId="2" borderId="2" xfId="0" applyNumberFormat="1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165" fontId="9" fillId="0" borderId="0" xfId="0" applyNumberFormat="1" applyFont="1" applyFill="1" applyAlignment="1" applyProtection="1">
      <alignment horizontal="general" vertical="bottom"/>
      <protection locked="1" hidden="0"/>
    </xf>
    <xf numFmtId="0" fontId="10" fillId="0" borderId="0" xfId="0" applyFont="1" applyFill="1" applyAlignment="1" applyProtection="1">
      <alignment horizontal="general" vertical="bottom"/>
      <protection locked="1" hidden="0"/>
    </xf>
    <xf numFmtId="166" fontId="11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3" xfId="0" applyNumberFormat="1" applyFont="1" applyFill="1" applyBorder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bottom" wrapText="1"/>
      <protection locked="1" hidden="0"/>
    </xf>
    <xf numFmtId="168" fontId="1" fillId="0" borderId="0" xfId="0" applyNumberFormat="1" applyFont="1" applyFill="1" applyAlignment="1" applyProtection="1">
      <alignment horizontal="general" vertical="bottom"/>
      <protection locked="1" hidden="0"/>
    </xf>
    <xf numFmtId="165" fontId="6" fillId="0" borderId="0" xfId="0" applyNumberFormat="1" applyFont="1" applyFill="1" applyAlignment="1" applyProtection="1">
      <alignment horizontal="general" vertical="bottom"/>
      <protection locked="1" hidden="0"/>
    </xf>
    <xf numFmtId="164" fontId="8" fillId="2" borderId="0" xfId="0" applyNumberFormat="1" applyFont="1" applyFill="1" applyAlignment="1" applyProtection="1">
      <alignment horizontal="general" vertical="bottom"/>
      <protection locked="1" hidden="0"/>
    </xf>
    <xf numFmtId="0" fontId="6" fillId="0" borderId="3" xfId="0" applyFont="1" applyFill="1" applyBorder="1" applyAlignment="1" applyProtection="1">
      <alignment horizontal="general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4" fontId="12" fillId="2" borderId="1" xfId="0" applyNumberFormat="1" applyFont="1" applyFill="1" applyBorder="1" applyAlignment="1" applyProtection="1">
      <alignment horizontal="general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164" fontId="6" fillId="2" borderId="0" xfId="0" applyNumberFormat="1" applyFont="1" applyFill="1" applyAlignment="1" applyProtection="1">
      <alignment horizontal="general" vertical="bottom"/>
      <protection locked="1" hidden="0"/>
    </xf>
    <xf numFmtId="0" fontId="12" fillId="0" borderId="1" xfId="0" applyFont="1" applyFill="1" applyBorder="1" applyAlignment="1" applyProtection="1">
      <alignment horizontal="general" vertical="bottom"/>
      <protection locked="1" hidden="0"/>
    </xf>
    <xf numFmtId="164" fontId="6" fillId="0" borderId="0" xfId="0" applyNumberFormat="1" applyFont="1" applyFill="1" applyAlignment="1" applyProtection="1">
      <alignment horizontal="general" vertical="bottom"/>
      <protection locked="1" hidden="0"/>
    </xf>
    <xf numFmtId="166" fontId="5" fillId="2" borderId="0" xfId="0" applyNumberFormat="1" applyFont="1" applyFill="1" applyAlignment="1" applyProtection="1">
      <alignment horizontal="general" vertical="bottom"/>
      <protection locked="1" hidden="0"/>
    </xf>
    <xf numFmtId="164" fontId="9" fillId="2" borderId="0" xfId="0" applyNumberFormat="1" applyFont="1" applyFill="1" applyAlignment="1" applyProtection="1">
      <alignment horizontal="general" vertical="bottom"/>
      <protection locked="1" hidden="0"/>
    </xf>
    <xf numFmtId="166" fontId="13" fillId="2" borderId="0" xfId="0" applyNumberFormat="1" applyFont="1" applyFill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4" fontId="5" fillId="2" borderId="0" xfId="0" applyNumberFormat="1" applyFont="1" applyFill="1" applyAlignment="1" applyProtection="1">
      <alignment horizontal="general" vertical="bottom"/>
      <protection locked="1" hidden="0"/>
    </xf>
    <xf numFmtId="166" fontId="14" fillId="0" borderId="0" xfId="0" applyNumberFormat="1" applyFont="1" applyFill="1" applyAlignment="1" applyProtection="1">
      <alignment horizontal="general" vertical="bottom"/>
      <protection locked="1" hidden="0"/>
    </xf>
    <xf numFmtId="166" fontId="13" fillId="0" borderId="0" xfId="0" applyNumberFormat="1" applyFont="1" applyFill="1" applyAlignment="1" applyProtection="1">
      <alignment horizontal="general" vertical="bottom"/>
      <protection locked="1" hidden="0"/>
    </xf>
    <xf numFmtId="166" fontId="11" fillId="2" borderId="0" xfId="0" applyNumberFormat="1" applyFont="1" applyFill="1" applyAlignment="1" applyProtection="1">
      <alignment horizontal="general" vertical="bottom"/>
      <protection locked="1" hidden="0"/>
    </xf>
    <xf numFmtId="164" fontId="12" fillId="0" borderId="1" xfId="0" applyNumberFormat="1" applyFont="1" applyFill="1" applyBorder="1" applyAlignment="1" applyProtection="1">
      <alignment horizontal="general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0" fontId="8" fillId="2" borderId="0" xfId="0" applyFont="1" applyFill="1" applyAlignment="1" applyProtection="1">
      <alignment horizontal="general" vertical="bottom"/>
      <protection locked="1" hidden="0"/>
    </xf>
    <xf numFmtId="164" fontId="3" fillId="2" borderId="1" xfId="0" applyNumberFormat="1" applyFont="1" applyFill="1" applyBorder="1" applyAlignment="1" applyProtection="1">
      <alignment horizontal="general" vertical="bottom"/>
      <protection locked="1" hidden="0"/>
    </xf>
    <xf numFmtId="169" fontId="6" fillId="0" borderId="0" xfId="0" applyNumberFormat="1" applyFont="1" applyFill="1" applyAlignment="1" applyProtection="1">
      <alignment horizontal="general" vertical="bottom"/>
      <protection locked="1" hidden="0"/>
    </xf>
    <xf numFmtId="167" fontId="1" fillId="2" borderId="0" xfId="0" applyNumberFormat="1" applyFont="1" applyFill="1" applyAlignment="1" applyProtection="1">
      <alignment horizontal="general" vertical="bottom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7" fontId="8" fillId="2" borderId="0" xfId="0" applyNumberFormat="1" applyFont="1" applyFill="1" applyAlignment="1" applyProtection="1">
      <alignment horizontal="general" vertical="bottom"/>
      <protection locked="1" hidden="0"/>
    </xf>
    <xf numFmtId="167" fontId="6" fillId="0" borderId="0" xfId="0" applyNumberFormat="1" applyFont="1" applyFill="1" applyAlignment="1" applyProtection="1">
      <alignment horizontal="general" vertical="bottom"/>
      <protection locked="1" hidden="0"/>
    </xf>
    <xf numFmtId="167" fontId="7" fillId="0" borderId="1" xfId="0" applyNumberFormat="1" applyFont="1" applyFill="1" applyBorder="1" applyAlignment="1" applyProtection="1">
      <alignment horizontal="general" vertical="bottom"/>
      <protection locked="1" hidden="0"/>
    </xf>
    <xf numFmtId="0" fontId="6" fillId="2" borderId="0" xfId="0" applyFont="1" applyFill="1" applyAlignment="1" applyProtection="1">
      <alignment horizontal="general" vertical="bottom"/>
      <protection locked="1" hidden="0"/>
    </xf>
    <xf numFmtId="167" fontId="7" fillId="2" borderId="1" xfId="0" applyNumberFormat="1" applyFont="1" applyFill="1" applyBorder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76200</xdr:colOff>
      <xdr:row>0</xdr:row>
      <xdr:rowOff>57150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160"/>
  <sheetViews>
    <sheetView showGridLines="0" workbookViewId="0">
      <pane xSplit="2" ySplit="7" topLeftCell="C8" activePane="bottomRight" state="frozen"/>
    </sheetView>
  </sheetViews>
  <sheetFormatPr defaultRowHeight="15"/>
  <cols>
    <col min="1" max="1" width="12" customWidth="1"/>
    <col min="2" max="2" width="36" customWidth="1"/>
    <col min="3" max="3" width="15" customWidth="1"/>
    <col min="4" max="4" width="17" customWidth="1"/>
    <col min="5" max="5" width="16" customWidth="1"/>
    <col min="6" max="6" width="17" customWidth="1"/>
    <col min="7" max="7" width="16" customWidth="1"/>
    <col min="8" max="8" width="14" customWidth="1"/>
    <col min="10" max="10" width="66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1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6"/>
      <c r="C8" s="6"/>
      <c r="D8" s="6"/>
      <c r="E8" s="6"/>
      <c r="F8" s="6"/>
      <c r="G8" s="6"/>
      <c r="H8" s="13"/>
      <c r="I8" s="6"/>
      <c r="J8" s="6"/>
      <c r="K8" s="6"/>
    </row>
    <row r="9">
      <c r="B9" s="1" t="s">
        <v>12</v>
      </c>
      <c r="C9" s="1" t="s">
        <v>0</v>
      </c>
      <c r="D9" s="1" t="s">
        <v>13</v>
      </c>
      <c r="E9" s="1"/>
      <c r="F9" s="1"/>
      <c r="G9" s="1"/>
      <c r="H9" s="13"/>
      <c r="I9" s="6"/>
      <c r="J9" s="6"/>
      <c r="K9" s="6"/>
    </row>
    <row r="10">
      <c r="B10" s="1" t="s">
        <v>14</v>
      </c>
      <c r="C10" s="1" t="s">
        <v>15</v>
      </c>
      <c r="D10" s="1" t="s">
        <v>16</v>
      </c>
      <c r="E10" s="1"/>
      <c r="F10" s="1"/>
      <c r="G10" s="1"/>
      <c r="H10" s="13"/>
      <c r="I10" s="6"/>
      <c r="J10" s="6"/>
      <c r="K10" s="6"/>
    </row>
    <row r="11">
      <c r="B11" s="1" t="s">
        <v>17</v>
      </c>
      <c r="C11" s="30" t="s">
        <v>18</v>
      </c>
      <c r="D11" s="1"/>
      <c r="E11" s="1"/>
      <c r="F11" s="1"/>
      <c r="G11" s="1"/>
      <c r="H11" s="13"/>
      <c r="I11" s="6"/>
      <c r="J11" s="6"/>
      <c r="K11" s="6"/>
    </row>
    <row r="12">
      <c r="B12" s="1" t="s">
        <v>19</v>
      </c>
      <c r="C12" s="1" t="s">
        <v>20</v>
      </c>
      <c r="D12" s="1" t="s">
        <v>21</v>
      </c>
      <c r="E12" s="1"/>
      <c r="F12" s="1"/>
      <c r="G12" s="1"/>
      <c r="H12" s="13"/>
      <c r="I12" s="6"/>
      <c r="J12" s="6"/>
      <c r="K12" s="6"/>
    </row>
    <row r="13">
      <c r="B13" s="1" t="s">
        <v>22</v>
      </c>
      <c r="C13" s="1" t="s">
        <v>23</v>
      </c>
      <c r="D13" s="1" t="s">
        <v>24</v>
      </c>
      <c r="E13" s="1"/>
      <c r="F13" s="1"/>
      <c r="G13" s="1"/>
      <c r="H13" s="13"/>
      <c r="I13" s="6"/>
      <c r="J13" s="6"/>
      <c r="K13" s="6"/>
    </row>
    <row r="14">
      <c r="B14" s="1" t="s">
        <v>25</v>
      </c>
      <c r="C14" s="1" t="s">
        <v>26</v>
      </c>
      <c r="D14" s="1" t="s">
        <v>27</v>
      </c>
      <c r="E14" s="1"/>
      <c r="F14" s="1"/>
      <c r="G14" s="1"/>
      <c r="H14" s="13"/>
      <c r="I14" s="6"/>
      <c r="J14" s="6"/>
      <c r="K14" s="6"/>
    </row>
    <row r="15">
      <c r="B15" s="1" t="s">
        <v>28</v>
      </c>
      <c r="C15" s="31">
        <f>Inputs!C28</f>
        <v>46294</v>
      </c>
      <c r="D15" s="1"/>
      <c r="E15" s="1"/>
      <c r="F15" s="1"/>
      <c r="G15" s="1"/>
      <c r="H15" s="13"/>
      <c r="I15" s="6"/>
      <c r="J15" s="6"/>
      <c r="K15" s="6"/>
    </row>
    <row r="16">
      <c r="B16" s="1"/>
      <c r="C16" s="1"/>
      <c r="D16" s="1"/>
      <c r="E16" s="1"/>
      <c r="F16" s="1"/>
      <c r="G16" s="1"/>
      <c r="H16" s="13"/>
      <c r="I16" s="6"/>
      <c r="J16" s="6"/>
      <c r="K16" s="6"/>
    </row>
    <row r="17" ht="25.5">
      <c r="B17" s="11" t="s">
        <v>29</v>
      </c>
      <c r="C17" s="11" t="s">
        <v>30</v>
      </c>
      <c r="D17" s="11" t="s">
        <v>31</v>
      </c>
      <c r="E17" s="11" t="s">
        <v>32</v>
      </c>
      <c r="F17" s="11" t="s">
        <v>33</v>
      </c>
      <c r="G17" s="11" t="s">
        <v>34</v>
      </c>
      <c r="H17" s="13"/>
      <c r="I17" s="6"/>
      <c r="J17" s="6"/>
      <c r="K17" s="6"/>
    </row>
    <row r="18">
      <c r="B18" s="12" t="s">
        <v>35</v>
      </c>
      <c r="C18" s="15">
        <f>'Revenue summary'!H29</f>
        <v>884</v>
      </c>
      <c r="D18" s="15">
        <f>Inputs!C46</f>
        <v>880.35</v>
      </c>
      <c r="E18" s="14">
        <f>C18-D18</f>
        <v>3.6499999999999773</v>
      </c>
      <c r="F18" s="33">
        <f>Guidance!G16</f>
        <v>883.282</v>
      </c>
      <c r="G18" s="12" t="s">
        <v>36</v>
      </c>
      <c r="H18" s="13"/>
      <c r="I18" s="6"/>
      <c r="J18" s="6"/>
      <c r="K18" s="6"/>
    </row>
    <row r="19">
      <c r="B19" s="12" t="s">
        <v>37</v>
      </c>
      <c r="C19" s="15">
        <f>'Income Statement'!H39</f>
        <v>54.85497599999992</v>
      </c>
      <c r="D19" s="14" t="s">
        <v>38</v>
      </c>
      <c r="E19" s="14"/>
      <c r="F19" s="12" t="s">
        <v>38</v>
      </c>
      <c r="G19" s="12" t="s">
        <v>39</v>
      </c>
      <c r="H19" s="13"/>
      <c r="I19" s="6"/>
      <c r="J19" s="6"/>
      <c r="K19" s="6"/>
    </row>
    <row r="20">
      <c r="B20" s="12" t="s">
        <v>40</v>
      </c>
      <c r="C20" s="9">
        <f>'Income Statement'!H40</f>
        <v>1.3662509589041076</v>
      </c>
      <c r="D20" s="9">
        <f>Inputs!C29</f>
        <v>1.3</v>
      </c>
      <c r="E20" s="28">
        <f>C20-D20</f>
        <v>0.06625095890410759</v>
      </c>
      <c r="F20" s="12" t="s">
        <v>38</v>
      </c>
      <c r="G20" s="12" t="s">
        <v>41</v>
      </c>
      <c r="H20" s="13"/>
      <c r="I20" s="6"/>
      <c r="J20" s="6"/>
      <c r="K20" s="6"/>
    </row>
    <row r="21">
      <c r="B21" s="12" t="s">
        <v>42</v>
      </c>
      <c r="C21" s="15">
        <f>'Income Statement'!H30</f>
        <v>44.21497599999992</v>
      </c>
      <c r="D21" s="15">
        <f>Inputs!C57</f>
        <v>48.31</v>
      </c>
      <c r="E21" s="14">
        <f>C21-D21</f>
        <v>-4.09502400000008</v>
      </c>
      <c r="F21" s="12" t="s">
        <v>38</v>
      </c>
      <c r="G21" s="12" t="s">
        <v>39</v>
      </c>
      <c r="H21" s="13"/>
      <c r="I21" s="6"/>
      <c r="J21" s="6"/>
      <c r="K21" s="6"/>
    </row>
    <row r="22">
      <c r="B22" s="12" t="s">
        <v>43</v>
      </c>
      <c r="C22" s="9">
        <f>'Income Statement'!H32</f>
        <v>1.1012447322540455</v>
      </c>
      <c r="D22" s="9">
        <f>Inputs!C38</f>
        <v>1.23</v>
      </c>
      <c r="E22" s="28">
        <f>C22-D22</f>
        <v>-0.12875526774595447</v>
      </c>
      <c r="F22" s="12" t="s">
        <v>38</v>
      </c>
      <c r="G22" s="12" t="s">
        <v>41</v>
      </c>
      <c r="H22" s="13"/>
      <c r="I22" s="6"/>
      <c r="J22" s="6"/>
      <c r="K22" s="6"/>
    </row>
    <row r="23">
      <c r="B23" s="17" t="s">
        <v>44</v>
      </c>
      <c r="C23" s="40" t="str">
        <f>IF(AND('Balance Sheet'!H34=0,'Cash Flow Statement'!H28=0,Geo!H14=0,'Revenue summary'!H74=0,'Revenue summary'!H75,'Income Statement'!F42=0,'Income Statement'!G42=0,'Income Statement'!H74=0,'Segment - Parts Supply'!H63=0,'Segment - RE&amp;S'!H63=0,'Segment - Government Solutions'!H63=0,'Segment - Legacy Commercial'!H63=0,C18='Revenue summary'!H29,C19='Income Statement'!H39,C20='Income Statement'!H40),"PASS","FAIL")</f>
        <v>PASS</v>
      </c>
      <c r="D23" s="17"/>
      <c r="E23" s="17"/>
      <c r="F23" s="17"/>
      <c r="G23" s="17"/>
      <c r="H23" s="13"/>
      <c r="I23" s="6"/>
      <c r="J23" s="6"/>
      <c r="K23" s="6"/>
    </row>
    <row r="24">
      <c r="B24" s="35" t="s">
        <v>45</v>
      </c>
      <c r="C24" s="27">
        <f>Inputs!C80</f>
        <v>0.67</v>
      </c>
      <c r="D24" s="1"/>
      <c r="E24" s="1"/>
      <c r="F24" s="1"/>
      <c r="G24" s="1"/>
      <c r="H24" s="13"/>
      <c r="I24" s="6"/>
      <c r="J24" s="6"/>
      <c r="K24" s="6"/>
    </row>
    <row r="25">
      <c r="B25" s="1" t="s">
        <v>46</v>
      </c>
      <c r="C25" s="38" t="str">
        <f>Inputs!C81</f>
        <v>medium</v>
      </c>
      <c r="D25" s="1"/>
      <c r="E25" s="1"/>
      <c r="F25" s="1"/>
      <c r="G25" s="1"/>
      <c r="H25" s="13"/>
      <c r="I25" s="6"/>
      <c r="J25" s="6"/>
      <c r="K25" s="6"/>
    </row>
    <row r="26">
      <c r="B26" s="6"/>
      <c r="C26" s="6"/>
      <c r="D26" s="6"/>
      <c r="E26" s="6"/>
      <c r="F26" s="6"/>
      <c r="G26" s="6"/>
      <c r="H26" s="13"/>
      <c r="I26" s="6"/>
      <c r="J26" s="6"/>
      <c r="K26" s="6"/>
    </row>
    <row r="27">
      <c r="B27" s="6"/>
      <c r="C27" s="6"/>
      <c r="D27" s="6"/>
      <c r="E27" s="6"/>
      <c r="F27" s="6"/>
      <c r="G27" s="6"/>
      <c r="H27" s="13"/>
      <c r="I27" s="6"/>
      <c r="J27" s="6" t="s">
        <v>47</v>
      </c>
      <c r="K27" s="6"/>
    </row>
    <row r="28">
      <c r="B28" s="6"/>
      <c r="C28" s="6"/>
      <c r="D28" s="6"/>
      <c r="E28" s="6"/>
      <c r="F28" s="6"/>
      <c r="G28" s="6"/>
      <c r="H28" s="13"/>
      <c r="I28" s="6"/>
      <c r="J28" s="6" t="s">
        <v>48</v>
      </c>
      <c r="K28" s="6"/>
    </row>
    <row r="29">
      <c r="B29" s="6"/>
      <c r="C29" s="6"/>
      <c r="D29" s="6"/>
      <c r="E29" s="6"/>
      <c r="F29" s="6"/>
      <c r="G29" s="6"/>
      <c r="H29" s="13"/>
      <c r="I29" s="6"/>
      <c r="J29" s="6" t="s">
        <v>49</v>
      </c>
      <c r="K29" s="6"/>
    </row>
    <row r="30">
      <c r="B30" s="6"/>
      <c r="C30" s="6"/>
      <c r="D30" s="6"/>
      <c r="E30" s="6"/>
      <c r="F30" s="6"/>
      <c r="G30" s="6"/>
      <c r="H30" s="13"/>
      <c r="I30" s="6"/>
      <c r="J30" s="6"/>
      <c r="K30" s="6"/>
    </row>
    <row r="31">
      <c r="B31" s="6"/>
      <c r="C31" s="6"/>
      <c r="D31" s="6"/>
      <c r="E31" s="6"/>
      <c r="F31" s="6"/>
      <c r="G31" s="6"/>
      <c r="H31" s="13"/>
      <c r="I31" s="6"/>
      <c r="J31" s="6" t="s">
        <v>50</v>
      </c>
      <c r="K31" s="6"/>
    </row>
    <row r="32">
      <c r="B32" s="6"/>
      <c r="C32" s="6"/>
      <c r="D32" s="6"/>
      <c r="E32" s="6"/>
      <c r="F32" s="6"/>
      <c r="G32" s="6"/>
      <c r="H32" s="13"/>
      <c r="I32" s="6"/>
      <c r="J32" s="6" t="s">
        <v>51</v>
      </c>
      <c r="K32" s="6"/>
    </row>
    <row r="33">
      <c r="H33" s="2"/>
    </row>
    <row r="34">
      <c r="H34" s="2"/>
    </row>
    <row r="35">
      <c r="H35" s="2"/>
    </row>
    <row r="36">
      <c r="H36" s="2"/>
    </row>
    <row r="37">
      <c r="H37" s="2"/>
    </row>
    <row r="38">
      <c r="H38" s="2"/>
    </row>
    <row r="39">
      <c r="H39" s="2"/>
    </row>
    <row r="40">
      <c r="H40" s="2"/>
    </row>
    <row r="41">
      <c r="H41" s="2"/>
    </row>
    <row r="42">
      <c r="H42" s="2"/>
    </row>
    <row r="43">
      <c r="H43" s="2"/>
    </row>
    <row r="44">
      <c r="H44" s="2"/>
    </row>
    <row r="45">
      <c r="H45" s="2"/>
    </row>
    <row r="46">
      <c r="H46" s="2"/>
    </row>
    <row r="47">
      <c r="H47" s="2"/>
    </row>
    <row r="48">
      <c r="H48" s="2"/>
    </row>
    <row r="49">
      <c r="H49" s="2"/>
    </row>
    <row r="50">
      <c r="H50" s="2"/>
    </row>
    <row r="51">
      <c r="H51" s="2"/>
    </row>
    <row r="52">
      <c r="H52" s="2"/>
    </row>
    <row r="53">
      <c r="H53" s="2"/>
    </row>
    <row r="54">
      <c r="H54" s="2"/>
    </row>
    <row r="55">
      <c r="H55" s="2"/>
    </row>
    <row r="56">
      <c r="H56" s="2"/>
    </row>
    <row r="57">
      <c r="H57" s="2"/>
    </row>
    <row r="58">
      <c r="H58" s="2"/>
    </row>
    <row r="59">
      <c r="H59" s="2"/>
    </row>
    <row r="60">
      <c r="H60" s="2"/>
    </row>
    <row r="61">
      <c r="H61" s="2"/>
    </row>
    <row r="62">
      <c r="H62" s="2"/>
    </row>
    <row r="63">
      <c r="H63" s="2"/>
    </row>
    <row r="64">
      <c r="H64" s="2"/>
    </row>
    <row r="65">
      <c r="H65" s="2"/>
    </row>
    <row r="66">
      <c r="H66" s="2"/>
    </row>
    <row r="67">
      <c r="H67" s="2"/>
    </row>
    <row r="68">
      <c r="H68" s="2"/>
    </row>
    <row r="69">
      <c r="H69" s="2"/>
    </row>
    <row r="70">
      <c r="H70" s="2"/>
    </row>
    <row r="71">
      <c r="H71" s="2"/>
    </row>
    <row r="72">
      <c r="H72" s="2"/>
    </row>
    <row r="73">
      <c r="H73" s="2"/>
    </row>
    <row r="74">
      <c r="H74" s="2"/>
    </row>
    <row r="75">
      <c r="H75" s="2"/>
    </row>
    <row r="76">
      <c r="H76" s="2"/>
    </row>
    <row r="77">
      <c r="H77" s="2"/>
    </row>
    <row r="78">
      <c r="H78" s="2"/>
    </row>
    <row r="79">
      <c r="H79" s="2"/>
    </row>
    <row r="80">
      <c r="H80" s="2"/>
    </row>
    <row r="81">
      <c r="H81" s="2"/>
    </row>
    <row r="82">
      <c r="H82" s="2"/>
    </row>
    <row r="83">
      <c r="H83" s="2"/>
    </row>
    <row r="84">
      <c r="H84" s="2"/>
    </row>
    <row r="85">
      <c r="H85" s="2"/>
    </row>
    <row r="86">
      <c r="H86" s="2"/>
    </row>
    <row r="87">
      <c r="H87" s="2"/>
    </row>
    <row r="88">
      <c r="H88" s="2"/>
    </row>
    <row r="89">
      <c r="H89" s="2"/>
    </row>
    <row r="90">
      <c r="H90" s="2"/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O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8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52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/>
    </row>
    <row r="9">
      <c r="B9" s="1" t="s">
        <v>53</v>
      </c>
      <c r="C9" s="41">
        <f>'Segment - Parts Supply'!C29</f>
        <v>317.8</v>
      </c>
      <c r="D9" s="41">
        <f>'Segment - Parts Supply'!D29</f>
        <v>353.6</v>
      </c>
      <c r="E9" s="41">
        <f>'Segment - Parts Supply'!E29</f>
        <v>392.5</v>
      </c>
      <c r="F9" s="41">
        <f>'Segment - Parts Supply'!F29</f>
        <v>423.80000000000007</v>
      </c>
      <c r="G9" s="41">
        <f>'Segment - Parts Supply'!G29</f>
        <v>1487.7</v>
      </c>
      <c r="H9" s="39">
        <f>'Segment - Parts Supply'!H29</f>
        <v>410</v>
      </c>
      <c r="I9" s="1"/>
      <c r="J9" s="1"/>
      <c r="K9" s="6"/>
    </row>
    <row r="10">
      <c r="B10" s="35" t="s">
        <v>54</v>
      </c>
      <c r="C10" s="8"/>
      <c r="D10" s="8"/>
      <c r="E10" s="8"/>
      <c r="F10" s="8"/>
      <c r="G10" s="8"/>
      <c r="H10" s="42">
        <f>IFERROR(H9/C9-1,0)</f>
        <v>0.29011957205789796</v>
      </c>
      <c r="I10" s="1"/>
      <c r="J10" s="1"/>
      <c r="K10" s="6"/>
    </row>
    <row r="11">
      <c r="B11" s="35" t="s">
        <v>55</v>
      </c>
      <c r="C11" s="8"/>
      <c r="D11" s="8">
        <f>IFERROR(D9/C9-1,0)</f>
        <v>0.11264946507237261</v>
      </c>
      <c r="E11" s="8">
        <f>IFERROR(E9/D9-1,0)</f>
        <v>0.1100113122171944</v>
      </c>
      <c r="F11" s="8">
        <f>IFERROR(F9/E9-1,0)</f>
        <v>0.07974522292993647</v>
      </c>
      <c r="G11" s="8"/>
      <c r="H11" s="42">
        <f>IFERROR(H9/F9-1,0)</f>
        <v>-0.03256252949504501</v>
      </c>
      <c r="I11" s="1"/>
      <c r="J11" s="1"/>
      <c r="K11" s="6"/>
    </row>
    <row r="12">
      <c r="B12" s="35" t="s">
        <v>56</v>
      </c>
      <c r="C12" s="8">
        <f>IFERROR(C9/C29,0)</f>
        <v>0.42969172525689564</v>
      </c>
      <c r="D12" s="8">
        <f>IFERROR(D9/D29,0)</f>
        <v>0.4446120960643783</v>
      </c>
      <c r="E12" s="8">
        <f>IFERROR(E9/E29,0)</f>
        <v>0.46444207786060826</v>
      </c>
      <c r="F12" s="8">
        <f>IFERROR(F9/F29,0)</f>
        <v>0.4566810344827586</v>
      </c>
      <c r="G12" s="8">
        <f>IFERROR(G9/G29,0)</f>
        <v>0.44972793228536884</v>
      </c>
      <c r="H12" s="42">
        <f>IFERROR(H9/H29,0)</f>
        <v>0.4638009049773756</v>
      </c>
      <c r="I12" s="1"/>
      <c r="J12" s="1"/>
      <c r="K12" s="6"/>
    </row>
    <row r="13">
      <c r="B13" s="1" t="s">
        <v>57</v>
      </c>
      <c r="C13" s="4"/>
      <c r="D13" s="4"/>
      <c r="E13" s="4"/>
      <c r="F13" s="4"/>
      <c r="G13" s="4"/>
      <c r="H13" s="3">
        <f>(H12-C12)*10000</f>
        <v>341.09179720479943</v>
      </c>
      <c r="I13" s="1"/>
      <c r="J13" s="1"/>
      <c r="K13" s="6"/>
    </row>
    <row r="14">
      <c r="B14" s="1" t="s">
        <v>58</v>
      </c>
      <c r="C14" s="41">
        <f>'Segment - RE&amp;S'!C29</f>
        <v>226.4</v>
      </c>
      <c r="D14" s="41">
        <f>'Segment - RE&amp;S'!D29</f>
        <v>257.7</v>
      </c>
      <c r="E14" s="41">
        <f>'Segment - RE&amp;S'!E29</f>
        <v>282.29999999999995</v>
      </c>
      <c r="F14" s="41">
        <f>'Segment - RE&amp;S'!F29</f>
        <v>314.40000000000015</v>
      </c>
      <c r="G14" s="41">
        <f>'Segment - RE&amp;S'!G29</f>
        <v>1080.8</v>
      </c>
      <c r="H14" s="39">
        <f>'Segment - RE&amp;S'!H29</f>
        <v>282</v>
      </c>
      <c r="I14" s="1"/>
      <c r="J14" s="1"/>
      <c r="K14" s="6"/>
    </row>
    <row r="15">
      <c r="B15" s="35" t="s">
        <v>54</v>
      </c>
      <c r="C15" s="8"/>
      <c r="D15" s="8"/>
      <c r="E15" s="8"/>
      <c r="F15" s="8"/>
      <c r="G15" s="8"/>
      <c r="H15" s="42">
        <f>IFERROR(H14/C14-1,0)</f>
        <v>0.24558303886925792</v>
      </c>
      <c r="I15" s="1"/>
      <c r="J15" s="1"/>
      <c r="K15" s="6"/>
    </row>
    <row r="16">
      <c r="B16" s="35" t="s">
        <v>55</v>
      </c>
      <c r="C16" s="8"/>
      <c r="D16" s="8">
        <f>IFERROR(D14/C14-1,0)</f>
        <v>0.13825088339222602</v>
      </c>
      <c r="E16" s="8">
        <f>IFERROR(E14/D14-1,0)</f>
        <v>0.09545983701979033</v>
      </c>
      <c r="F16" s="8">
        <f>IFERROR(F14/E14-1,0)</f>
        <v>0.11370882040382635</v>
      </c>
      <c r="G16" s="8"/>
      <c r="H16" s="42">
        <f>IFERROR(H14/F14-1,0)</f>
        <v>-0.10305343511450427</v>
      </c>
      <c r="I16" s="1"/>
      <c r="J16" s="1"/>
      <c r="K16" s="6"/>
    </row>
    <row r="17">
      <c r="B17" s="35" t="s">
        <v>56</v>
      </c>
      <c r="C17" s="8">
        <f>IFERROR(C14/C29,0)</f>
        <v>0.3061114115738237</v>
      </c>
      <c r="D17" s="8">
        <f>IFERROR(D14/D29,0)</f>
        <v>0.32402866842700867</v>
      </c>
      <c r="E17" s="8">
        <f>IFERROR(E14/E29,0)</f>
        <v>0.33404330848420305</v>
      </c>
      <c r="F17" s="8">
        <f>IFERROR(F14/F29,0)</f>
        <v>0.33879310344827596</v>
      </c>
      <c r="G17" s="8">
        <f>IFERROR(G14/G29,0)</f>
        <v>0.32672309552599754</v>
      </c>
      <c r="H17" s="42">
        <f>IFERROR(H14/H29,0)</f>
        <v>0.3190045248868778</v>
      </c>
      <c r="I17" s="1"/>
      <c r="J17" s="1"/>
      <c r="K17" s="6"/>
    </row>
    <row r="18">
      <c r="B18" s="1" t="s">
        <v>57</v>
      </c>
      <c r="C18" s="4"/>
      <c r="D18" s="4"/>
      <c r="E18" s="4"/>
      <c r="F18" s="4"/>
      <c r="G18" s="4"/>
      <c r="H18" s="3">
        <f>(H17-C17)*10000</f>
        <v>128.93113313054096</v>
      </c>
      <c r="I18" s="1"/>
      <c r="J18" s="1"/>
      <c r="K18" s="6"/>
    </row>
    <row r="19">
      <c r="B19" s="1" t="s">
        <v>59</v>
      </c>
      <c r="C19" s="41">
        <f>'Segment - Government Solutions'!C29</f>
        <v>133.89999999999998</v>
      </c>
      <c r="D19" s="41">
        <f>'Segment - Government Solutions'!D29</f>
        <v>123.5</v>
      </c>
      <c r="E19" s="41">
        <f>'Segment - Government Solutions'!E29</f>
        <v>114.7</v>
      </c>
      <c r="F19" s="41">
        <f>'Segment - Government Solutions'!F29</f>
        <v>130.20000000000002</v>
      </c>
      <c r="G19" s="41">
        <f>'Segment - Government Solutions'!G29</f>
        <v>502.3</v>
      </c>
      <c r="H19" s="39">
        <f>'Segment - Government Solutions'!H29</f>
        <v>136</v>
      </c>
      <c r="I19" s="1"/>
      <c r="J19" s="1"/>
      <c r="K19" s="6"/>
    </row>
    <row r="20">
      <c r="B20" s="35" t="s">
        <v>54</v>
      </c>
      <c r="C20" s="8"/>
      <c r="D20" s="8"/>
      <c r="E20" s="8"/>
      <c r="F20" s="8"/>
      <c r="G20" s="8"/>
      <c r="H20" s="42">
        <f>IFERROR(H19/C19-1,0)</f>
        <v>0.01568334578043329</v>
      </c>
      <c r="I20" s="1"/>
      <c r="J20" s="1"/>
      <c r="K20" s="6"/>
    </row>
    <row r="21">
      <c r="B21" s="35" t="s">
        <v>55</v>
      </c>
      <c r="C21" s="8"/>
      <c r="D21" s="8">
        <f>IFERROR(D19/C19-1,0)</f>
        <v>-0.07766990291262121</v>
      </c>
      <c r="E21" s="8">
        <f>IFERROR(E19/D19-1,0)</f>
        <v>-0.07125506072874488</v>
      </c>
      <c r="F21" s="8">
        <f>IFERROR(F19/E19-1,0)</f>
        <v>0.1351351351351353</v>
      </c>
      <c r="G21" s="8"/>
      <c r="H21" s="42">
        <f>IFERROR(H19/F19-1,0)</f>
        <v>0.04454685099846367</v>
      </c>
      <c r="I21" s="1"/>
      <c r="J21" s="1"/>
      <c r="K21" s="6"/>
    </row>
    <row r="22">
      <c r="B22" s="35" t="s">
        <v>56</v>
      </c>
      <c r="C22" s="8">
        <f>IFERROR(C19/C29,0)</f>
        <v>0.18104380746349374</v>
      </c>
      <c r="D22" s="8">
        <f>IFERROR(D19/D29,0)</f>
        <v>0.15528731296366152</v>
      </c>
      <c r="E22" s="8">
        <f>IFERROR(E19/E29,0)</f>
        <v>0.13572358300792808</v>
      </c>
      <c r="F22" s="8">
        <f>IFERROR(F19/F29,0)</f>
        <v>0.14030172413793102</v>
      </c>
      <c r="G22" s="8">
        <f>IFERROR(G19/G29,0)</f>
        <v>0.15184401451027812</v>
      </c>
      <c r="H22" s="42">
        <f>IFERROR(H19/H29,0)</f>
        <v>0.15384615384615385</v>
      </c>
      <c r="I22" s="1"/>
      <c r="J22" s="1"/>
      <c r="K22" s="6"/>
    </row>
    <row r="23">
      <c r="B23" s="1" t="s">
        <v>57</v>
      </c>
      <c r="C23" s="4"/>
      <c r="D23" s="4"/>
      <c r="E23" s="4"/>
      <c r="F23" s="4"/>
      <c r="G23" s="4"/>
      <c r="H23" s="3">
        <f>(H22-C22)*10000</f>
        <v>-271.97653617339887</v>
      </c>
      <c r="I23" s="1"/>
      <c r="J23" s="1"/>
      <c r="K23" s="6"/>
    </row>
    <row r="24">
      <c r="B24" s="1" t="s">
        <v>60</v>
      </c>
      <c r="C24" s="41">
        <f>'Segment - Legacy Commercial'!C29</f>
        <v>61.5</v>
      </c>
      <c r="D24" s="41">
        <f>'Segment - Legacy Commercial'!D29</f>
        <v>60.5</v>
      </c>
      <c r="E24" s="41">
        <f>'Segment - Legacy Commercial'!E29</f>
        <v>55.6</v>
      </c>
      <c r="F24" s="41">
        <f>'Segment - Legacy Commercial'!F29</f>
        <v>59.599999999999994</v>
      </c>
      <c r="G24" s="41">
        <f>'Segment - Legacy Commercial'!G29</f>
        <v>237.2</v>
      </c>
      <c r="H24" s="39">
        <f>'Segment - Legacy Commercial'!H29</f>
        <v>56</v>
      </c>
      <c r="I24" s="1"/>
      <c r="J24" s="1"/>
      <c r="K24" s="6"/>
    </row>
    <row r="25">
      <c r="B25" s="35" t="s">
        <v>54</v>
      </c>
      <c r="C25" s="8"/>
      <c r="D25" s="8"/>
      <c r="E25" s="8"/>
      <c r="F25" s="8"/>
      <c r="G25" s="8"/>
      <c r="H25" s="42">
        <f>IFERROR(H24/C24-1,0)</f>
        <v>-0.08943089430894313</v>
      </c>
      <c r="I25" s="1"/>
      <c r="J25" s="1"/>
      <c r="K25" s="6"/>
    </row>
    <row r="26">
      <c r="B26" s="35" t="s">
        <v>55</v>
      </c>
      <c r="C26" s="8"/>
      <c r="D26" s="8">
        <f>IFERROR(D24/C24-1,0)</f>
        <v>-0.016260162601625994</v>
      </c>
      <c r="E26" s="8">
        <f>IFERROR(E24/D24-1,0)</f>
        <v>-0.08099173553719008</v>
      </c>
      <c r="F26" s="8">
        <f>IFERROR(F24/E24-1,0)</f>
        <v>0.07194244604316524</v>
      </c>
      <c r="G26" s="8"/>
      <c r="H26" s="42">
        <f>IFERROR(H24/F24-1,0)</f>
        <v>-0.0604026845637583</v>
      </c>
      <c r="I26" s="1"/>
      <c r="J26" s="1"/>
      <c r="K26" s="6"/>
    </row>
    <row r="27">
      <c r="B27" s="35" t="s">
        <v>56</v>
      </c>
      <c r="C27" s="8">
        <f>IFERROR(C24/C29,0)</f>
        <v>0.0831530557057869</v>
      </c>
      <c r="D27" s="8">
        <f>IFERROR(D24/D29,0)</f>
        <v>0.0760719225449516</v>
      </c>
      <c r="E27" s="8">
        <f>IFERROR(E24/E29,0)</f>
        <v>0.06579103064726069</v>
      </c>
      <c r="F27" s="8">
        <f>IFERROR(F24/F29,0)</f>
        <v>0.06422413793103446</v>
      </c>
      <c r="G27" s="8">
        <f>IFERROR(G24/G29,0)</f>
        <v>0.0717049576783555</v>
      </c>
      <c r="H27" s="42">
        <f>IFERROR(H24/H29,0)</f>
        <v>0.06334841628959276</v>
      </c>
      <c r="I27" s="1"/>
      <c r="J27" s="1"/>
      <c r="K27" s="6"/>
    </row>
    <row r="28">
      <c r="B28" s="1" t="s">
        <v>57</v>
      </c>
      <c r="C28" s="4"/>
      <c r="D28" s="4"/>
      <c r="E28" s="4"/>
      <c r="F28" s="4"/>
      <c r="G28" s="4"/>
      <c r="H28" s="3">
        <f>(H27-C27)*10000</f>
        <v>-198.04639416194146</v>
      </c>
      <c r="I28" s="1"/>
      <c r="J28" s="1"/>
      <c r="K28" s="6"/>
    </row>
    <row r="29">
      <c r="B29" s="17" t="s">
        <v>61</v>
      </c>
      <c r="C29" s="20">
        <f>SUM(C9,C14,C19,C24)</f>
        <v>739.6</v>
      </c>
      <c r="D29" s="20">
        <f>SUM(D9,D14,D19,D24)</f>
        <v>795.3</v>
      </c>
      <c r="E29" s="20">
        <f>SUM(E9,E14,E19,E24)</f>
        <v>845.0999999999999</v>
      </c>
      <c r="F29" s="20">
        <f>SUM(F9,F14,F19,F24)</f>
        <v>928.0000000000002</v>
      </c>
      <c r="G29" s="20">
        <f>SUM(G9,G14,G19,G24)</f>
        <v>3308</v>
      </c>
      <c r="H29" s="21">
        <f>SUM(H9,H14,H19,H24)</f>
        <v>884</v>
      </c>
      <c r="I29" s="1"/>
      <c r="J29" s="1"/>
      <c r="K29" s="6"/>
    </row>
    <row r="30">
      <c r="B30" s="35" t="s">
        <v>54</v>
      </c>
      <c r="C30" s="8"/>
      <c r="D30" s="8"/>
      <c r="E30" s="8"/>
      <c r="F30" s="8"/>
      <c r="G30" s="8"/>
      <c r="H30" s="42">
        <f>H29/C29-1</f>
        <v>0.1952406706327745</v>
      </c>
      <c r="I30" s="1"/>
      <c r="J30" s="1"/>
      <c r="K30" s="6"/>
    </row>
    <row r="31">
      <c r="B31" s="35" t="s">
        <v>55</v>
      </c>
      <c r="C31" s="8"/>
      <c r="D31" s="8">
        <f>D29/C29-1</f>
        <v>0.07531097890751748</v>
      </c>
      <c r="E31" s="8">
        <f>E29/D29-1</f>
        <v>0.06261788004526592</v>
      </c>
      <c r="F31" s="8">
        <f>F29/E29-1</f>
        <v>0.09809490001183341</v>
      </c>
      <c r="G31" s="8"/>
      <c r="H31" s="42">
        <f>H29/F29-1</f>
        <v>-0.04741379310344851</v>
      </c>
      <c r="I31" s="1"/>
      <c r="J31" s="1"/>
      <c r="K31" s="6"/>
    </row>
    <row r="32">
      <c r="B32" s="35" t="s">
        <v>62</v>
      </c>
      <c r="C32" s="8"/>
      <c r="D32" s="8"/>
      <c r="E32" s="8"/>
      <c r="F32" s="8"/>
      <c r="G32" s="8"/>
      <c r="H32" s="42">
        <f>(1+H35)/((1+H33)*(1+H34))-1</f>
        <v>0.08519518782224411</v>
      </c>
      <c r="I32" s="1"/>
      <c r="J32" s="1"/>
      <c r="K32" s="6"/>
    </row>
    <row r="33">
      <c r="B33" s="35" t="s">
        <v>63</v>
      </c>
      <c r="C33" s="8"/>
      <c r="D33" s="8"/>
      <c r="E33" s="8"/>
      <c r="F33" s="8"/>
      <c r="G33" s="8"/>
      <c r="H33" s="49">
        <f>SUM('Segment - Parts Supply'!H51,'Segment - RE&amp;S'!H51,'Segment - Government Solutions'!H51,'Segment - Legacy Commercial'!H51)/C29</f>
        <v>0.10140616549486209</v>
      </c>
      <c r="I33" s="1"/>
      <c r="J33" s="1" t="s">
        <v>64</v>
      </c>
      <c r="K33" s="6"/>
    </row>
    <row r="34">
      <c r="B34" s="35" t="s">
        <v>65</v>
      </c>
      <c r="C34" s="8"/>
      <c r="D34" s="8"/>
      <c r="E34" s="8"/>
      <c r="F34" s="8"/>
      <c r="G34" s="8"/>
      <c r="H34" s="44">
        <v>0</v>
      </c>
      <c r="I34" s="1"/>
      <c r="J34" s="1"/>
      <c r="K34" s="6"/>
    </row>
    <row r="35">
      <c r="B35" s="35" t="s">
        <v>66</v>
      </c>
      <c r="C35" s="8"/>
      <c r="D35" s="8"/>
      <c r="E35" s="8"/>
      <c r="F35" s="8"/>
      <c r="G35" s="8"/>
      <c r="H35" s="42">
        <f>H30</f>
        <v>0.1952406706327745</v>
      </c>
      <c r="I35" s="1"/>
      <c r="J35" s="1"/>
      <c r="K35" s="6"/>
    </row>
    <row r="36">
      <c r="B36" s="1"/>
      <c r="C36" s="4"/>
      <c r="D36" s="4"/>
      <c r="E36" s="4"/>
      <c r="F36" s="4"/>
      <c r="G36" s="4"/>
      <c r="H36" s="3"/>
      <c r="I36" s="1"/>
      <c r="J36" s="1"/>
      <c r="K36" s="6"/>
    </row>
    <row r="37">
      <c r="B37" s="17" t="s">
        <v>67</v>
      </c>
      <c r="C37" s="20">
        <f>C29-C24</f>
        <v>678.1</v>
      </c>
      <c r="D37" s="20">
        <f>D29-D24</f>
        <v>734.8</v>
      </c>
      <c r="E37" s="20">
        <f>E29-E24</f>
        <v>789.4999999999999</v>
      </c>
      <c r="F37" s="20">
        <f>F29-F24</f>
        <v>868.4000000000002</v>
      </c>
      <c r="G37" s="20">
        <f>G29-G24</f>
        <v>3070.8</v>
      </c>
      <c r="H37" s="21">
        <f>H29-H24</f>
        <v>828</v>
      </c>
      <c r="I37" s="1"/>
      <c r="J37" s="1" t="s">
        <v>68</v>
      </c>
      <c r="K37" s="6"/>
    </row>
    <row r="38">
      <c r="B38" s="35" t="s">
        <v>69</v>
      </c>
      <c r="C38" s="8"/>
      <c r="D38" s="8"/>
      <c r="E38" s="8"/>
      <c r="F38" s="8"/>
      <c r="G38" s="8"/>
      <c r="H38" s="42">
        <f>H37/C37-1</f>
        <v>0.22105884087892647</v>
      </c>
      <c r="I38" s="1"/>
      <c r="J38" s="1"/>
      <c r="K38" s="6"/>
    </row>
    <row r="39">
      <c r="B39" s="1"/>
      <c r="C39" s="4"/>
      <c r="D39" s="4"/>
      <c r="E39" s="4"/>
      <c r="F39" s="4"/>
      <c r="G39" s="4"/>
      <c r="H39" s="3"/>
      <c r="I39" s="1"/>
      <c r="J39" s="1"/>
      <c r="K39" s="6"/>
    </row>
    <row r="40">
      <c r="B40" s="1" t="s">
        <v>70</v>
      </c>
      <c r="C40" s="41">
        <f>C29-Inputs!H12</f>
        <v>0</v>
      </c>
      <c r="D40" s="41">
        <f>D29-Inputs!H13</f>
        <v>0</v>
      </c>
      <c r="E40" s="41">
        <f>E29-Inputs!H14</f>
        <v>0</v>
      </c>
      <c r="F40" s="41">
        <f>F29-Inputs!H15</f>
        <v>0</v>
      </c>
      <c r="G40" s="4"/>
      <c r="H40" s="3"/>
      <c r="I40" s="1"/>
      <c r="J40" s="1" t="s">
        <v>71</v>
      </c>
      <c r="K40" s="6"/>
    </row>
    <row r="41">
      <c r="B41" s="1"/>
      <c r="C41" s="4"/>
      <c r="D41" s="4"/>
      <c r="E41" s="4"/>
      <c r="F41" s="4"/>
      <c r="G41" s="4"/>
      <c r="H41" s="3"/>
      <c r="I41" s="1"/>
      <c r="J41" s="1"/>
      <c r="K41" s="6"/>
    </row>
    <row r="42">
      <c r="B42" s="17" t="s">
        <v>72</v>
      </c>
      <c r="C42" s="50">
        <f>SUM('Segment - Parts Supply'!C9,'Segment - RE&amp;S'!C9,'Segment - Government Solutions'!C9,'Segment - Legacy Commercial'!C9)</f>
        <v>523.3</v>
      </c>
      <c r="D42" s="50">
        <f>SUM('Segment - Parts Supply'!D9,'Segment - RE&amp;S'!D9,'Segment - Government Solutions'!D9,'Segment - Legacy Commercial'!D9)</f>
        <v>566.4</v>
      </c>
      <c r="E42" s="50">
        <f>SUM('Segment - Parts Supply'!E9,'Segment - RE&amp;S'!E9,'Segment - Government Solutions'!E9,'Segment - Legacy Commercial'!E9)</f>
        <v>615.8</v>
      </c>
      <c r="F42" s="50">
        <f>SUM('Segment - Parts Supply'!F9,'Segment - RE&amp;S'!F9,'Segment - Government Solutions'!F9,'Segment - Legacy Commercial'!F9)</f>
        <v>678.6000000000003</v>
      </c>
      <c r="G42" s="50">
        <f>SUM('Segment - Parts Supply'!G9,'Segment - RE&amp;S'!G9,'Segment - Government Solutions'!G9,'Segment - Legacy Commercial'!G9)</f>
        <v>2384.1000000000004</v>
      </c>
      <c r="H42" s="37">
        <f>SUM('Segment - Parts Supply'!H9,'Segment - RE&amp;S'!H9,'Segment - Government Solutions'!H9,'Segment - Legacy Commercial'!H9)</f>
        <v>638</v>
      </c>
      <c r="I42" s="1"/>
      <c r="J42" s="1" t="s">
        <v>73</v>
      </c>
      <c r="K42" s="41">
        <f>SUM('Segment - Parts Supply'!K9,'Segment - RE&amp;S'!K9,'Segment - Government Solutions'!K9,'Segment - Legacy Commercial'!K9)</f>
        <v>1976.1</v>
      </c>
      <c r="L42" s="41">
        <f>SUM('Segment - Parts Supply'!L9,'Segment - RE&amp;S'!L9,'Segment - Government Solutions'!L9,'Segment - Legacy Commercial'!L9)</f>
        <v>472.9</v>
      </c>
      <c r="M42" s="41">
        <f>SUM('Segment - Parts Supply'!M9,'Segment - RE&amp;S'!M9,'Segment - Government Solutions'!M9,'Segment - Legacy Commercial'!M9)</f>
        <v>500.20000000000005</v>
      </c>
      <c r="N42" s="41">
        <f>SUM('Segment - Parts Supply'!N9,'Segment - RE&amp;S'!N9,'Segment - Government Solutions'!N9,'Segment - Legacy Commercial'!N9)</f>
        <v>485.5</v>
      </c>
      <c r="O42" s="41">
        <f>SUM('Segment - Parts Supply'!O9,'Segment - RE&amp;S'!O9,'Segment - Government Solutions'!O9,'Segment - Legacy Commercial'!O9)</f>
        <v>517.5</v>
      </c>
    </row>
    <row r="43">
      <c r="B43" s="17" t="s">
        <v>74</v>
      </c>
      <c r="C43" s="50">
        <f>SUM('Segment - Parts Supply'!C19,'Segment - RE&amp;S'!C19,'Segment - Government Solutions'!C19,'Segment - Legacy Commercial'!C19)</f>
        <v>216.29999999999998</v>
      </c>
      <c r="D43" s="50">
        <f>SUM('Segment - Parts Supply'!D19,'Segment - RE&amp;S'!D19,'Segment - Government Solutions'!D19,'Segment - Legacy Commercial'!D19)</f>
        <v>228.9</v>
      </c>
      <c r="E43" s="50">
        <f>SUM('Segment - Parts Supply'!E19,'Segment - RE&amp;S'!E19,'Segment - Government Solutions'!E19,'Segment - Legacy Commercial'!E19)</f>
        <v>229.3</v>
      </c>
      <c r="F43" s="50">
        <f>SUM('Segment - Parts Supply'!F19,'Segment - RE&amp;S'!F19,'Segment - Government Solutions'!F19,'Segment - Legacy Commercial'!F19)</f>
        <v>249.40000000000003</v>
      </c>
      <c r="G43" s="50">
        <f>SUM('Segment - Parts Supply'!G19,'Segment - RE&amp;S'!G19,'Segment - Government Solutions'!G19,'Segment - Legacy Commercial'!G19)</f>
        <v>923.9</v>
      </c>
      <c r="H43" s="37">
        <f>SUM('Segment - Parts Supply'!H19,'Segment - RE&amp;S'!H19,'Segment - Government Solutions'!H19,'Segment - Legacy Commercial'!H19)</f>
        <v>246</v>
      </c>
      <c r="I43" s="1"/>
      <c r="J43" s="1" t="s">
        <v>75</v>
      </c>
      <c r="K43" s="41">
        <f>SUM('Segment - Parts Supply'!K19,'Segment - RE&amp;S'!K19,'Segment - Government Solutions'!K19,'Segment - Legacy Commercial'!K19)</f>
        <v>804.4</v>
      </c>
      <c r="L43" s="41">
        <f>SUM('Segment - Parts Supply'!L19,'Segment - RE&amp;S'!L19,'Segment - Government Solutions'!L19,'Segment - Legacy Commercial'!L19)</f>
        <v>188.79999999999998</v>
      </c>
      <c r="M43" s="41">
        <f>SUM('Segment - Parts Supply'!M19,'Segment - RE&amp;S'!M19,'Segment - Government Solutions'!M19,'Segment - Legacy Commercial'!M19)</f>
        <v>185.9</v>
      </c>
      <c r="N43" s="41">
        <f>SUM('Segment - Parts Supply'!N19,'Segment - RE&amp;S'!N19,'Segment - Government Solutions'!N19,'Segment - Legacy Commercial'!N19)</f>
        <v>192.7</v>
      </c>
      <c r="O43" s="41">
        <f>SUM('Segment - Parts Supply'!O19,'Segment - RE&amp;S'!O19,'Segment - Government Solutions'!O19,'Segment - Legacy Commercial'!O19)</f>
        <v>237</v>
      </c>
    </row>
    <row r="44">
      <c r="B44" s="35" t="s">
        <v>76</v>
      </c>
      <c r="C44" s="8">
        <f>C42/C29</f>
        <v>0.7075446187128177</v>
      </c>
      <c r="D44" s="8">
        <f>D42/D29</f>
        <v>0.7121840814786873</v>
      </c>
      <c r="E44" s="8">
        <f>E42/E29</f>
        <v>0.7286711631759555</v>
      </c>
      <c r="F44" s="8">
        <f>F42/F29</f>
        <v>0.7312500000000001</v>
      </c>
      <c r="G44" s="8">
        <f>G42/G29</f>
        <v>0.7207073760580412</v>
      </c>
      <c r="H44" s="42">
        <f>H42/H29</f>
        <v>0.7217194570135747</v>
      </c>
      <c r="I44" s="1"/>
      <c r="J44" s="1"/>
      <c r="K44" s="6"/>
    </row>
    <row r="45">
      <c r="B45" s="1" t="s">
        <v>77</v>
      </c>
      <c r="C45" s="4"/>
      <c r="D45" s="4"/>
      <c r="E45" s="4"/>
      <c r="F45" s="4"/>
      <c r="G45" s="4"/>
      <c r="H45" s="3">
        <f>(H44-C44)*10000</f>
        <v>141.74838300756943</v>
      </c>
      <c r="I45" s="1"/>
      <c r="J45" s="1"/>
      <c r="K45" s="6"/>
    </row>
    <row r="46">
      <c r="B46" s="1"/>
      <c r="C46" s="4"/>
      <c r="D46" s="4"/>
      <c r="E46" s="4"/>
      <c r="F46" s="4"/>
      <c r="G46" s="4"/>
      <c r="H46" s="3"/>
      <c r="I46" s="1"/>
      <c r="J46" s="1"/>
      <c r="K46" s="6"/>
    </row>
    <row r="47">
      <c r="B47" s="35" t="s">
        <v>78</v>
      </c>
      <c r="C47" s="8"/>
      <c r="D47" s="8"/>
      <c r="E47" s="8"/>
      <c r="F47" s="8"/>
      <c r="G47" s="27">
        <f>Geo!G15</f>
        <v>0.714087061668682</v>
      </c>
      <c r="H47" s="49">
        <f>Geo!H15</f>
        <v>0.712785597048593</v>
      </c>
      <c r="I47" s="1"/>
      <c r="J47" s="1"/>
      <c r="K47" s="6"/>
    </row>
    <row r="48">
      <c r="B48" s="1" t="s">
        <v>79</v>
      </c>
      <c r="C48" s="4"/>
      <c r="D48" s="4"/>
      <c r="E48" s="4"/>
      <c r="F48" s="4"/>
      <c r="G48" s="4"/>
      <c r="H48" s="3"/>
      <c r="I48" s="1"/>
      <c r="J48" s="1"/>
      <c r="K48" s="6"/>
    </row>
    <row r="49">
      <c r="B49" s="6"/>
      <c r="C49" s="6"/>
      <c r="D49" s="6"/>
      <c r="E49" s="6"/>
      <c r="F49" s="6"/>
      <c r="G49" s="6"/>
      <c r="H49" s="13"/>
      <c r="I49" s="6"/>
      <c r="J49" s="6"/>
      <c r="K49" s="6"/>
    </row>
    <row r="50">
      <c r="B50" s="6"/>
      <c r="C50" s="6"/>
      <c r="D50" s="6"/>
      <c r="E50" s="6"/>
      <c r="F50" s="6"/>
      <c r="G50" s="6"/>
      <c r="H50" s="13"/>
      <c r="I50" s="6"/>
      <c r="J50" s="6"/>
      <c r="K50" s="6"/>
    </row>
    <row r="51">
      <c r="B51" s="1" t="s">
        <v>80</v>
      </c>
      <c r="C51" s="1"/>
      <c r="D51" s="1"/>
      <c r="E51" s="1"/>
      <c r="F51" s="1"/>
      <c r="G51" s="1"/>
      <c r="H51" s="36"/>
      <c r="I51" s="6"/>
      <c r="J51" s="6"/>
      <c r="K51" s="6"/>
    </row>
    <row r="52">
      <c r="B52" s="35" t="s">
        <v>81</v>
      </c>
      <c r="C52" s="1"/>
      <c r="D52" s="1"/>
      <c r="E52" s="1"/>
      <c r="F52" s="1"/>
      <c r="G52" s="27">
        <f>'Segment - Parts Supply'!G34</f>
        <v>0.2245452300600872</v>
      </c>
      <c r="H52" s="49">
        <f>'Segment - Parts Supply'!H34</f>
        <v>0.1621315192743764</v>
      </c>
      <c r="I52" s="6"/>
      <c r="J52" s="6"/>
      <c r="K52" s="6"/>
    </row>
    <row r="53">
      <c r="B53" s="35" t="s">
        <v>82</v>
      </c>
      <c r="C53" s="1"/>
      <c r="D53" s="1"/>
      <c r="E53" s="1"/>
      <c r="F53" s="1"/>
      <c r="G53" s="27">
        <f>'Segment - Parts Supply'!G35</f>
        <v>0.10485631138595851</v>
      </c>
      <c r="H53" s="49">
        <f>'Segment - Parts Supply'!H35</f>
        <v>0.11013215859030837</v>
      </c>
      <c r="I53" s="6"/>
      <c r="J53" s="6"/>
      <c r="K53" s="6"/>
    </row>
    <row r="54">
      <c r="B54" s="35" t="s">
        <v>83</v>
      </c>
      <c r="C54" s="1"/>
      <c r="D54" s="1"/>
      <c r="E54" s="1"/>
      <c r="F54" s="1"/>
      <c r="G54" s="27">
        <f>'Segment - Parts Supply'!G36</f>
        <v>0</v>
      </c>
      <c r="H54" s="49">
        <f>'Segment - Parts Supply'!H36</f>
        <v>0</v>
      </c>
      <c r="I54" s="6"/>
      <c r="J54" s="6"/>
      <c r="K54" s="6"/>
    </row>
    <row r="55">
      <c r="B55" s="35" t="s">
        <v>84</v>
      </c>
      <c r="C55" s="1"/>
      <c r="D55" s="1"/>
      <c r="E55" s="1"/>
      <c r="F55" s="1"/>
      <c r="G55" s="27">
        <f>'Segment - Parts Supply'!G37</f>
        <v>0.35294652600945775</v>
      </c>
      <c r="H55" s="49">
        <f>'Segment - Parts Supply'!H37</f>
        <v>0.29011957205789796</v>
      </c>
      <c r="I55" s="6"/>
      <c r="J55" s="6"/>
      <c r="K55" s="6"/>
    </row>
    <row r="56">
      <c r="B56" s="1"/>
      <c r="C56" s="1"/>
      <c r="D56" s="1"/>
      <c r="E56" s="1"/>
      <c r="F56" s="1"/>
      <c r="G56" s="1"/>
      <c r="H56" s="36"/>
      <c r="I56" s="6"/>
      <c r="J56" s="6"/>
      <c r="K56" s="6"/>
    </row>
    <row r="57">
      <c r="B57" s="1" t="s">
        <v>85</v>
      </c>
      <c r="C57" s="1"/>
      <c r="D57" s="1"/>
      <c r="E57" s="1"/>
      <c r="F57" s="1"/>
      <c r="G57" s="1"/>
      <c r="H57" s="36"/>
      <c r="I57" s="6"/>
      <c r="J57" s="6"/>
      <c r="K57" s="6"/>
    </row>
    <row r="58">
      <c r="B58" s="35" t="s">
        <v>81</v>
      </c>
      <c r="C58" s="1"/>
      <c r="D58" s="1"/>
      <c r="E58" s="1"/>
      <c r="F58" s="1"/>
      <c r="G58" s="27">
        <f>'Segment - RE&amp;S'!G34</f>
        <v>0.017606628377742295</v>
      </c>
      <c r="H58" s="49">
        <f>'Segment - RE&amp;S'!H34</f>
        <v>0.05855855855855863</v>
      </c>
      <c r="I58" s="6"/>
      <c r="J58" s="6"/>
      <c r="K58" s="6"/>
    </row>
    <row r="59">
      <c r="B59" s="35" t="s">
        <v>82</v>
      </c>
      <c r="C59" s="1"/>
      <c r="D59" s="1"/>
      <c r="E59" s="1"/>
      <c r="F59" s="1"/>
      <c r="G59" s="27">
        <f>'Segment - RE&amp;S'!G35</f>
        <v>0.14081632653061224</v>
      </c>
      <c r="H59" s="49">
        <f>'Segment - RE&amp;S'!H35</f>
        <v>0.17667844522968199</v>
      </c>
      <c r="I59" s="6"/>
      <c r="J59" s="6"/>
      <c r="K59" s="6"/>
    </row>
    <row r="60">
      <c r="B60" s="35" t="s">
        <v>83</v>
      </c>
      <c r="C60" s="1"/>
      <c r="D60" s="1"/>
      <c r="E60" s="1"/>
      <c r="F60" s="1"/>
      <c r="G60" s="27">
        <f>'Segment - RE&amp;S'!G36</f>
        <v>0</v>
      </c>
      <c r="H60" s="49">
        <f>'Segment - RE&amp;S'!H36</f>
        <v>0</v>
      </c>
      <c r="I60" s="6"/>
      <c r="J60" s="6"/>
      <c r="K60" s="6"/>
    </row>
    <row r="61">
      <c r="B61" s="35" t="s">
        <v>84</v>
      </c>
      <c r="C61" s="1"/>
      <c r="D61" s="1"/>
      <c r="E61" s="1"/>
      <c r="F61" s="1"/>
      <c r="G61" s="27">
        <f>'Segment - RE&amp;S'!G37</f>
        <v>0.16090225563909777</v>
      </c>
      <c r="H61" s="49">
        <f>'Segment - RE&amp;S'!H37</f>
        <v>0.24558303886925792</v>
      </c>
      <c r="I61" s="6"/>
      <c r="J61" s="6"/>
      <c r="K61" s="6"/>
    </row>
    <row r="62">
      <c r="B62" s="1"/>
      <c r="C62" s="1"/>
      <c r="D62" s="1"/>
      <c r="E62" s="1"/>
      <c r="F62" s="1"/>
      <c r="G62" s="1"/>
      <c r="H62" s="36"/>
      <c r="I62" s="6"/>
      <c r="J62" s="6"/>
      <c r="K62" s="6"/>
    </row>
    <row r="63">
      <c r="B63" s="1" t="s">
        <v>86</v>
      </c>
      <c r="C63" s="1"/>
      <c r="D63" s="1"/>
      <c r="E63" s="1"/>
      <c r="F63" s="1"/>
      <c r="G63" s="1"/>
      <c r="H63" s="36"/>
      <c r="I63" s="6"/>
      <c r="J63" s="6"/>
      <c r="K63" s="6"/>
    </row>
    <row r="64">
      <c r="B64" s="35" t="s">
        <v>81</v>
      </c>
      <c r="C64" s="1"/>
      <c r="D64" s="1"/>
      <c r="E64" s="1"/>
      <c r="F64" s="1"/>
      <c r="G64" s="27">
        <f>'Segment - Government Solutions'!G34</f>
        <v>0.013928138877674634</v>
      </c>
      <c r="H64" s="49">
        <f>'Segment - Government Solutions'!H34</f>
        <v>0.01568334578043329</v>
      </c>
      <c r="I64" s="6"/>
      <c r="J64" s="6"/>
      <c r="K64" s="6"/>
    </row>
    <row r="65">
      <c r="B65" s="35" t="s">
        <v>82</v>
      </c>
      <c r="C65" s="1"/>
      <c r="D65" s="1"/>
      <c r="E65" s="1"/>
      <c r="F65" s="1"/>
      <c r="G65" s="27">
        <f>'Segment - Government Solutions'!G35</f>
        <v>0</v>
      </c>
      <c r="H65" s="49">
        <f>'Segment - Government Solutions'!H35</f>
        <v>0</v>
      </c>
      <c r="I65" s="6"/>
      <c r="J65" s="6"/>
      <c r="K65" s="6"/>
    </row>
    <row r="66">
      <c r="B66" s="35" t="s">
        <v>83</v>
      </c>
      <c r="C66" s="1"/>
      <c r="D66" s="1"/>
      <c r="E66" s="1"/>
      <c r="F66" s="1"/>
      <c r="G66" s="27">
        <f>'Segment - Government Solutions'!G36</f>
        <v>0</v>
      </c>
      <c r="H66" s="49">
        <f>'Segment - Government Solutions'!H36</f>
        <v>0</v>
      </c>
      <c r="I66" s="6"/>
      <c r="J66" s="6"/>
      <c r="K66" s="6"/>
    </row>
    <row r="67">
      <c r="B67" s="35" t="s">
        <v>84</v>
      </c>
      <c r="C67" s="1"/>
      <c r="D67" s="1"/>
      <c r="E67" s="1"/>
      <c r="F67" s="1"/>
      <c r="G67" s="27">
        <f>'Segment - Government Solutions'!G37</f>
        <v>0.013928138877674634</v>
      </c>
      <c r="H67" s="49">
        <f>'Segment - Government Solutions'!H37</f>
        <v>0.01568334578043329</v>
      </c>
      <c r="I67" s="6"/>
      <c r="J67" s="6"/>
      <c r="K67" s="6"/>
    </row>
    <row r="68">
      <c r="B68" s="1"/>
      <c r="C68" s="1"/>
      <c r="D68" s="1"/>
      <c r="E68" s="1"/>
      <c r="F68" s="1"/>
      <c r="G68" s="1"/>
      <c r="H68" s="36"/>
      <c r="I68" s="6"/>
      <c r="J68" s="6"/>
      <c r="K68" s="6"/>
    </row>
    <row r="69">
      <c r="B69" s="1" t="s">
        <v>87</v>
      </c>
      <c r="C69" s="1"/>
      <c r="D69" s="1"/>
      <c r="E69" s="1"/>
      <c r="F69" s="1"/>
      <c r="G69" s="1"/>
      <c r="H69" s="36"/>
      <c r="I69" s="6"/>
      <c r="J69" s="6"/>
      <c r="K69" s="6"/>
    </row>
    <row r="70">
      <c r="B70" s="35" t="s">
        <v>81</v>
      </c>
      <c r="C70" s="1"/>
      <c r="D70" s="1"/>
      <c r="E70" s="1"/>
      <c r="F70" s="1"/>
      <c r="G70" s="27">
        <f>'Segment - Legacy Commercial'!G34</f>
        <v>-0.0679764243614932</v>
      </c>
      <c r="H70" s="49">
        <f>'Segment - Legacy Commercial'!H34</f>
        <v>-0.08943089430894313</v>
      </c>
      <c r="I70" s="6"/>
      <c r="J70" s="6"/>
      <c r="K70" s="6"/>
    </row>
    <row r="71">
      <c r="B71" s="35" t="s">
        <v>82</v>
      </c>
      <c r="C71" s="1"/>
      <c r="D71" s="1"/>
      <c r="E71" s="1"/>
      <c r="F71" s="1"/>
      <c r="G71" s="27">
        <f>'Segment - Legacy Commercial'!G35</f>
        <v>0</v>
      </c>
      <c r="H71" s="49">
        <f>'Segment - Legacy Commercial'!H35</f>
        <v>0</v>
      </c>
      <c r="I71" s="6"/>
      <c r="J71" s="6"/>
      <c r="K71" s="6"/>
    </row>
    <row r="72">
      <c r="B72" s="35" t="s">
        <v>83</v>
      </c>
      <c r="C72" s="1"/>
      <c r="D72" s="1"/>
      <c r="E72" s="1"/>
      <c r="F72" s="1"/>
      <c r="G72" s="27">
        <f>'Segment - Legacy Commercial'!G36</f>
        <v>0</v>
      </c>
      <c r="H72" s="49">
        <f>'Segment - Legacy Commercial'!H36</f>
        <v>0</v>
      </c>
      <c r="I72" s="6"/>
      <c r="J72" s="6"/>
      <c r="K72" s="6"/>
    </row>
    <row r="73">
      <c r="B73" s="35" t="s">
        <v>84</v>
      </c>
      <c r="C73" s="1"/>
      <c r="D73" s="1"/>
      <c r="E73" s="1"/>
      <c r="F73" s="1"/>
      <c r="G73" s="27">
        <f>'Segment - Legacy Commercial'!G37</f>
        <v>-0.0679764243614932</v>
      </c>
      <c r="H73" s="49">
        <f>'Segment - Legacy Commercial'!H37</f>
        <v>-0.08943089430894313</v>
      </c>
      <c r="I73" s="6"/>
      <c r="J73" s="6"/>
      <c r="K73" s="6"/>
    </row>
    <row r="74">
      <c r="B74" s="1" t="s">
        <v>88</v>
      </c>
      <c r="C74" s="1"/>
      <c r="D74" s="1"/>
      <c r="E74" s="1"/>
      <c r="F74" s="1"/>
      <c r="G74" s="4">
        <f>G29-SUM(G9,G14,G19,G24)</f>
        <v>0</v>
      </c>
      <c r="H74" s="3">
        <f>H29-SUM(H9,H14,H19,H24)</f>
        <v>0</v>
      </c>
      <c r="I74" s="6"/>
      <c r="J74" s="6"/>
      <c r="K74" s="6"/>
    </row>
    <row r="75">
      <c r="B75" s="1" t="s">
        <v>89</v>
      </c>
      <c r="C75" s="1"/>
      <c r="D75" s="1"/>
      <c r="E75" s="1"/>
      <c r="F75" s="1"/>
      <c r="G75" s="1"/>
      <c r="H75" s="62" t="b">
        <f>AND(H38&gt;=Guidance!E13,H38&lt;=Guidance!F13)</f>
        <v>1</v>
      </c>
      <c r="I75" s="6"/>
      <c r="J75" s="6"/>
      <c r="K75" s="6"/>
    </row>
    <row r="76">
      <c r="H76" s="2"/>
    </row>
    <row r="77">
      <c r="B77" s="1" t="s">
        <v>90</v>
      </c>
      <c r="C77" s="1"/>
      <c r="D77" s="1"/>
      <c r="E77" s="1"/>
      <c r="F77" s="1"/>
      <c r="G77" s="1"/>
      <c r="H77" s="36"/>
      <c r="I77" s="1"/>
      <c r="J77" s="1"/>
      <c r="K77" s="1"/>
      <c r="L77" s="1"/>
      <c r="M77" s="1"/>
      <c r="N77" s="1"/>
      <c r="O77" s="1"/>
    </row>
    <row r="78">
      <c r="B78" s="35" t="s">
        <v>81</v>
      </c>
      <c r="C78" s="8" t="s">
        <v>38</v>
      </c>
      <c r="D78" s="8" t="s">
        <v>38</v>
      </c>
      <c r="E78" s="8" t="s">
        <v>38</v>
      </c>
      <c r="F78" s="8" t="s">
        <v>38</v>
      </c>
      <c r="G78" s="8">
        <f>(1+G81)/((1+G79)*(1+G80))-1</f>
        <v>0.0889284735543987</v>
      </c>
      <c r="H78" s="42">
        <f>(1+H81)/((1+H79)*(1+H80))-1</f>
        <v>0.08448070712221667</v>
      </c>
      <c r="I78" s="1"/>
      <c r="J78" s="1"/>
      <c r="K78" s="1"/>
      <c r="L78" s="1"/>
      <c r="M78" s="1"/>
      <c r="N78" s="1"/>
      <c r="O78" s="1"/>
    </row>
    <row r="79">
      <c r="B79" s="35" t="s">
        <v>91</v>
      </c>
      <c r="C79" s="8" t="s">
        <v>38</v>
      </c>
      <c r="D79" s="8" t="s">
        <v>38</v>
      </c>
      <c r="E79" s="8" t="s">
        <v>38</v>
      </c>
      <c r="F79" s="8" t="s">
        <v>38</v>
      </c>
      <c r="G79" s="48">
        <f>('Segment - Parts Supply'!K54+'Segment - RE&amp;S'!K53)/K42</f>
        <v>0.10793988158494004</v>
      </c>
      <c r="H79" s="44">
        <f>SUM('Segment - Parts Supply'!H51-'Segment - Parts Supply'!H52,'Segment - RE&amp;S'!H51-'Segment - RE&amp;S'!H52)/C42</f>
        <v>0.12421173323141603</v>
      </c>
      <c r="I79" s="1"/>
      <c r="J79" s="1"/>
      <c r="K79" s="1"/>
      <c r="L79" s="1"/>
      <c r="M79" s="1"/>
      <c r="N79" s="1"/>
      <c r="O79" s="1"/>
    </row>
    <row r="80">
      <c r="B80" s="35" t="s">
        <v>92</v>
      </c>
      <c r="C80" s="8" t="s">
        <v>38</v>
      </c>
      <c r="D80" s="8" t="s">
        <v>38</v>
      </c>
      <c r="E80" s="8" t="s">
        <v>38</v>
      </c>
      <c r="F80" s="8" t="s">
        <v>38</v>
      </c>
      <c r="G80" s="48">
        <v>0</v>
      </c>
      <c r="H80" s="44">
        <v>0</v>
      </c>
      <c r="I80" s="1"/>
      <c r="J80" s="1" t="s">
        <v>93</v>
      </c>
      <c r="K80" s="1"/>
      <c r="L80" s="1"/>
      <c r="M80" s="1"/>
      <c r="N80" s="1"/>
      <c r="O80" s="1"/>
    </row>
    <row r="81">
      <c r="B81" s="35" t="s">
        <v>66</v>
      </c>
      <c r="C81" s="8">
        <f>C42/L42-1</f>
        <v>0.10657644322266857</v>
      </c>
      <c r="D81" s="8">
        <f>D42/M42-1</f>
        <v>0.13234706117552975</v>
      </c>
      <c r="E81" s="8">
        <f>E42/N42-1</f>
        <v>0.2683831101956744</v>
      </c>
      <c r="F81" s="8">
        <f>F42/O42-1</f>
        <v>0.3113043478260875</v>
      </c>
      <c r="G81" s="48">
        <f>G42/K42-1</f>
        <v>0.20646728404433</v>
      </c>
      <c r="H81" s="44">
        <f>H42/C42-1</f>
        <v>0.21918593540989884</v>
      </c>
      <c r="I81" s="1"/>
      <c r="J81" s="1"/>
      <c r="K81" s="1"/>
      <c r="L81" s="1"/>
      <c r="M81" s="1"/>
      <c r="N81" s="1"/>
      <c r="O81" s="1"/>
    </row>
    <row r="82">
      <c r="B82" s="1" t="s">
        <v>94</v>
      </c>
      <c r="C82" s="1"/>
      <c r="D82" s="4">
        <f>D42-C42</f>
        <v>43.10000000000002</v>
      </c>
      <c r="E82" s="4">
        <f>E42-D42</f>
        <v>49.39999999999998</v>
      </c>
      <c r="F82" s="4">
        <f>F42-E42</f>
        <v>62.800000000000296</v>
      </c>
      <c r="G82" s="1"/>
      <c r="H82" s="3">
        <f>H42-F42</f>
        <v>-40.60000000000025</v>
      </c>
      <c r="I82" s="1"/>
      <c r="J82" s="1"/>
      <c r="K82" s="1"/>
      <c r="L82" s="1"/>
      <c r="M82" s="1"/>
      <c r="N82" s="1"/>
      <c r="O82" s="1"/>
    </row>
    <row r="83">
      <c r="B83" s="1"/>
      <c r="C83" s="1"/>
      <c r="D83" s="1"/>
      <c r="E83" s="1"/>
      <c r="F83" s="1"/>
      <c r="G83" s="1"/>
      <c r="H83" s="36"/>
      <c r="I83" s="1"/>
      <c r="J83" s="1"/>
      <c r="K83" s="1"/>
      <c r="L83" s="1"/>
      <c r="M83" s="1"/>
      <c r="N83" s="1"/>
      <c r="O83" s="1"/>
    </row>
    <row r="84">
      <c r="B84" s="1"/>
      <c r="C84" s="1"/>
      <c r="D84" s="1"/>
      <c r="E84" s="1"/>
      <c r="F84" s="1"/>
      <c r="G84" s="1"/>
      <c r="H84" s="36"/>
      <c r="I84" s="1"/>
      <c r="J84" s="1"/>
      <c r="K84" s="1"/>
      <c r="L84" s="1"/>
      <c r="M84" s="1"/>
      <c r="N84" s="1"/>
      <c r="O84" s="1"/>
    </row>
    <row r="85">
      <c r="B85" s="1" t="s">
        <v>95</v>
      </c>
      <c r="C85" s="1"/>
      <c r="D85" s="1"/>
      <c r="E85" s="1"/>
      <c r="F85" s="1"/>
      <c r="G85" s="1"/>
      <c r="H85" s="36"/>
      <c r="I85" s="1"/>
      <c r="J85" s="1"/>
      <c r="K85" s="1"/>
      <c r="L85" s="1"/>
      <c r="M85" s="1"/>
      <c r="N85" s="1"/>
      <c r="O85" s="1"/>
    </row>
    <row r="86">
      <c r="B86" s="35" t="s">
        <v>81</v>
      </c>
      <c r="C86" s="8" t="s">
        <v>38</v>
      </c>
      <c r="D86" s="8" t="s">
        <v>38</v>
      </c>
      <c r="E86" s="8" t="s">
        <v>38</v>
      </c>
      <c r="F86" s="8" t="s">
        <v>38</v>
      </c>
      <c r="G86" s="8">
        <f>(1+G89)/((1+G87)*(1+G88))-1</f>
        <v>0.10303247373447921</v>
      </c>
      <c r="H86" s="42">
        <f>(1+H89)/((1+H87)*(1+H88))-1</f>
        <v>0.08705258506407443</v>
      </c>
      <c r="I86" s="1"/>
      <c r="J86" s="1"/>
      <c r="K86" s="1"/>
      <c r="L86" s="1"/>
      <c r="M86" s="1"/>
      <c r="N86" s="1"/>
      <c r="O86" s="1"/>
    </row>
    <row r="87">
      <c r="B87" s="35" t="s">
        <v>91</v>
      </c>
      <c r="C87" s="8" t="s">
        <v>38</v>
      </c>
      <c r="D87" s="8" t="s">
        <v>38</v>
      </c>
      <c r="E87" s="8" t="s">
        <v>38</v>
      </c>
      <c r="F87" s="8" t="s">
        <v>38</v>
      </c>
      <c r="G87" s="48">
        <f>'Segment - Parts Supply'!K55/K43</f>
        <v>0.04127299850820488</v>
      </c>
      <c r="H87" s="44">
        <f>'Segment - Parts Supply'!H52/C43</f>
        <v>0.04623208506703653</v>
      </c>
      <c r="I87" s="1"/>
      <c r="J87" s="1"/>
      <c r="K87" s="1"/>
      <c r="L87" s="1"/>
      <c r="M87" s="1"/>
      <c r="N87" s="1"/>
      <c r="O87" s="1"/>
    </row>
    <row r="88">
      <c r="B88" s="35" t="s">
        <v>92</v>
      </c>
      <c r="C88" s="8" t="s">
        <v>38</v>
      </c>
      <c r="D88" s="8" t="s">
        <v>38</v>
      </c>
      <c r="E88" s="8" t="s">
        <v>38</v>
      </c>
      <c r="F88" s="8" t="s">
        <v>38</v>
      </c>
      <c r="G88" s="48">
        <v>0</v>
      </c>
      <c r="H88" s="44">
        <v>0</v>
      </c>
      <c r="I88" s="1"/>
      <c r="J88" s="1"/>
      <c r="K88" s="1"/>
      <c r="L88" s="1"/>
      <c r="M88" s="1"/>
      <c r="N88" s="1"/>
      <c r="O88" s="1"/>
    </row>
    <row r="89">
      <c r="B89" s="35" t="s">
        <v>66</v>
      </c>
      <c r="C89" s="8">
        <f>C43/L43-1</f>
        <v>0.14565677966101687</v>
      </c>
      <c r="D89" s="8">
        <f>D43/M43-1</f>
        <v>0.23130715438407745</v>
      </c>
      <c r="E89" s="8">
        <f>E43/N43-1</f>
        <v>0.1899325376232488</v>
      </c>
      <c r="F89" s="8">
        <f>F43/O43-1</f>
        <v>0.05232067510548544</v>
      </c>
      <c r="G89" s="48">
        <f>G43/K43-1</f>
        <v>0.14855793137742412</v>
      </c>
      <c r="H89" s="44">
        <f>H43/C43-1</f>
        <v>0.13730929264909864</v>
      </c>
      <c r="I89" s="1"/>
      <c r="J89" s="1"/>
      <c r="K89" s="1"/>
      <c r="L89" s="1"/>
      <c r="M89" s="1"/>
      <c r="N89" s="1"/>
      <c r="O89" s="1"/>
    </row>
    <row r="90">
      <c r="B90" s="1" t="s">
        <v>94</v>
      </c>
      <c r="C90" s="1"/>
      <c r="D90" s="4">
        <f>D43-C43</f>
        <v>12.600000000000023</v>
      </c>
      <c r="E90" s="4">
        <f>E43-D43</f>
        <v>0.4000000000000057</v>
      </c>
      <c r="F90" s="4">
        <f>F43-E43</f>
        <v>20.100000000000023</v>
      </c>
      <c r="G90" s="1"/>
      <c r="H90" s="3">
        <f>H43-F43</f>
        <v>-3.400000000000034</v>
      </c>
      <c r="I90" s="1"/>
      <c r="J90" s="1"/>
      <c r="K90" s="1"/>
      <c r="L90" s="1"/>
      <c r="M90" s="1"/>
      <c r="N90" s="1"/>
      <c r="O90" s="1"/>
    </row>
    <row r="91">
      <c r="B91" s="1"/>
      <c r="C91" s="1"/>
      <c r="D91" s="1"/>
      <c r="E91" s="1"/>
      <c r="F91" s="1"/>
      <c r="G91" s="1"/>
      <c r="H91" s="36"/>
      <c r="I91" s="1"/>
      <c r="J91" s="1"/>
      <c r="K91" s="1"/>
      <c r="L91" s="1"/>
      <c r="M91" s="1"/>
      <c r="N91" s="1"/>
      <c r="O91" s="1"/>
    </row>
    <row r="92">
      <c r="B92" s="1" t="s">
        <v>96</v>
      </c>
      <c r="C92" s="4">
        <f>C29-SUM(C42:C43)</f>
        <v>0</v>
      </c>
      <c r="D92" s="4">
        <f>D29-SUM(D42:D43)</f>
        <v>0</v>
      </c>
      <c r="E92" s="4">
        <f>E29-SUM(E42:E43)</f>
        <v>0</v>
      </c>
      <c r="F92" s="4">
        <f>F29-SUM(F42:F43)</f>
        <v>0</v>
      </c>
      <c r="G92" s="4">
        <f>G29-SUM(G42:G43)</f>
        <v>0</v>
      </c>
      <c r="H92" s="3">
        <f>H29-SUM(H42:H43)</f>
        <v>0</v>
      </c>
      <c r="I92" s="1"/>
      <c r="J92" s="1"/>
      <c r="K92" s="1"/>
      <c r="L92" s="1"/>
      <c r="M92" s="1"/>
      <c r="N92" s="1"/>
      <c r="O92" s="1"/>
    </row>
    <row r="93">
      <c r="B93" s="1"/>
      <c r="C93" s="1"/>
      <c r="D93" s="1"/>
      <c r="E93" s="1"/>
      <c r="F93" s="1"/>
      <c r="G93" s="1"/>
      <c r="H93" s="36"/>
      <c r="I93" s="1"/>
      <c r="J93" s="1"/>
      <c r="K93" s="1"/>
      <c r="L93" s="1"/>
      <c r="M93" s="1"/>
      <c r="N93" s="1"/>
      <c r="O93" s="1"/>
    </row>
    <row r="94">
      <c r="B94" s="1"/>
      <c r="C94" s="1"/>
      <c r="D94" s="1"/>
      <c r="E94" s="1"/>
      <c r="F94" s="1"/>
      <c r="G94" s="1"/>
      <c r="H94" s="36"/>
      <c r="I94" s="1"/>
      <c r="J94" s="1"/>
      <c r="K94" s="1"/>
      <c r="L94" s="1"/>
      <c r="M94" s="1"/>
      <c r="N94" s="1"/>
      <c r="O94" s="1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1:O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8" customWidth="1"/>
    <col min="11" max="11" width="25" customWidth="1"/>
    <col min="12" max="15" width="14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97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 t="s">
        <v>98</v>
      </c>
      <c r="L8" s="1" t="s">
        <v>99</v>
      </c>
      <c r="M8" s="1" t="s">
        <v>100</v>
      </c>
      <c r="N8" s="1" t="s">
        <v>101</v>
      </c>
      <c r="O8" s="1" t="s">
        <v>102</v>
      </c>
    </row>
    <row r="9">
      <c r="B9" s="1" t="s">
        <v>103</v>
      </c>
      <c r="C9" s="18">
        <v>254.5</v>
      </c>
      <c r="D9" s="18">
        <v>268.1</v>
      </c>
      <c r="E9" s="18">
        <v>300</v>
      </c>
      <c r="F9" s="4">
        <f>G9-SUM(C9:E9)</f>
        <v>330.80000000000007</v>
      </c>
      <c r="G9" s="18">
        <v>1153.4</v>
      </c>
      <c r="H9" s="3">
        <f>(C9+H51-H52)*(1+H61)</f>
        <v>325</v>
      </c>
      <c r="I9" s="1"/>
      <c r="J9" s="1" t="s">
        <v>104</v>
      </c>
      <c r="K9" s="34">
        <v>879.2</v>
      </c>
      <c r="L9" s="34">
        <v>210.4</v>
      </c>
      <c r="M9" s="34">
        <v>220.8</v>
      </c>
      <c r="N9" s="34">
        <v>220.9</v>
      </c>
      <c r="O9" s="34">
        <v>227.1</v>
      </c>
    </row>
    <row r="10">
      <c r="B10" s="35" t="s">
        <v>105</v>
      </c>
      <c r="C10" s="8"/>
      <c r="D10" s="8"/>
      <c r="E10" s="8"/>
      <c r="F10" s="8"/>
      <c r="G10" s="8">
        <f>IFERROR(G9/K9-1,0)</f>
        <v>0.311874431301183</v>
      </c>
      <c r="H10" s="42">
        <f>IFERROR(H9/C9-1,0)</f>
        <v>0.2770137524557956</v>
      </c>
      <c r="I10" s="1"/>
      <c r="J10" s="1"/>
      <c r="K10" s="1"/>
      <c r="L10" s="34"/>
      <c r="M10" s="34"/>
      <c r="N10" s="34"/>
      <c r="O10" s="34"/>
    </row>
    <row r="11">
      <c r="B11" s="1" t="s">
        <v>106</v>
      </c>
      <c r="C11" s="4"/>
      <c r="D11" s="4">
        <f>D9-C9</f>
        <v>13.600000000000023</v>
      </c>
      <c r="E11" s="4">
        <f>E9-D9</f>
        <v>31.899999999999977</v>
      </c>
      <c r="F11" s="4">
        <f>F9-E9</f>
        <v>30.800000000000068</v>
      </c>
      <c r="G11" s="4"/>
      <c r="H11" s="3">
        <f>H9-F9</f>
        <v>-5.800000000000068</v>
      </c>
      <c r="I11" s="1"/>
      <c r="J11" s="1"/>
      <c r="K11" s="1"/>
      <c r="L11" s="34"/>
      <c r="M11" s="34"/>
      <c r="N11" s="34"/>
      <c r="O11" s="34"/>
    </row>
    <row r="12">
      <c r="B12" s="35" t="s">
        <v>107</v>
      </c>
      <c r="C12" s="47">
        <f>IFERROR(C9/C29,0)</f>
        <v>0.8008181246066708</v>
      </c>
      <c r="D12" s="47">
        <f>IFERROR(D9/D29,0)</f>
        <v>0.7582013574660633</v>
      </c>
      <c r="E12" s="47">
        <f>IFERROR(E9/E29,0)</f>
        <v>0.7643312101910829</v>
      </c>
      <c r="F12" s="47">
        <f>IFERROR(F9/F29,0)</f>
        <v>0.7805568664464371</v>
      </c>
      <c r="G12" s="8">
        <f>IFERROR(G9/G29,0)</f>
        <v>0.7752907172144922</v>
      </c>
      <c r="H12" s="42">
        <f>IFERROR(H9/H29,0)</f>
        <v>0.7926829268292683</v>
      </c>
      <c r="I12" s="1"/>
      <c r="J12" s="1"/>
      <c r="K12" s="1"/>
      <c r="L12" s="34"/>
      <c r="M12" s="34"/>
      <c r="N12" s="34"/>
      <c r="O12" s="34"/>
    </row>
    <row r="13">
      <c r="B13" s="35" t="s">
        <v>108</v>
      </c>
      <c r="C13" s="4"/>
      <c r="D13" s="4">
        <f>(D12-C12)*10000</f>
        <v>-426.1676714060747</v>
      </c>
      <c r="E13" s="4">
        <f>(E12-D12)*10000</f>
        <v>61.298527250195356</v>
      </c>
      <c r="F13" s="4">
        <f>(F12-E12)*10000</f>
        <v>162.25656255354215</v>
      </c>
      <c r="G13" s="45">
        <f>(G12-K9/K29)*10000</f>
        <v>-242.72760413736273</v>
      </c>
      <c r="H13" s="46">
        <f>(H12-C12)*10000</f>
        <v>-81.35197777402459</v>
      </c>
      <c r="I13" s="1"/>
      <c r="J13" s="1"/>
      <c r="K13" s="1"/>
      <c r="L13" s="34"/>
      <c r="M13" s="34"/>
      <c r="N13" s="34"/>
      <c r="O13" s="34"/>
    </row>
    <row r="14">
      <c r="B14" s="35" t="s">
        <v>62</v>
      </c>
      <c r="C14" s="8"/>
      <c r="D14" s="8"/>
      <c r="E14" s="8"/>
      <c r="F14" s="8"/>
      <c r="G14" s="8">
        <f>(1+G17)/((1+G15)*(1+G16))-1</f>
        <v>0.19970875806116095</v>
      </c>
      <c r="H14" s="42">
        <f>(1+H17)/((1+H15)*(1+H16))-1</f>
        <v>0.16279069767441867</v>
      </c>
      <c r="I14" s="1"/>
      <c r="J14" s="1"/>
      <c r="K14" s="1"/>
      <c r="L14" s="34"/>
      <c r="M14" s="34"/>
      <c r="N14" s="34"/>
      <c r="O14" s="34"/>
    </row>
    <row r="15">
      <c r="B15" s="35" t="s">
        <v>63</v>
      </c>
      <c r="C15" s="8"/>
      <c r="D15" s="8"/>
      <c r="E15" s="8"/>
      <c r="F15" s="8"/>
      <c r="G15" s="8">
        <f>K54/K9</f>
        <v>0.0934940855323021</v>
      </c>
      <c r="H15" s="42">
        <f>(H51-H52)/C9</f>
        <v>0.09823182711198428</v>
      </c>
      <c r="I15" s="1"/>
      <c r="J15" s="1"/>
      <c r="K15" s="1"/>
      <c r="L15" s="34"/>
      <c r="M15" s="34"/>
      <c r="N15" s="34"/>
      <c r="O15" s="34"/>
    </row>
    <row r="16">
      <c r="B16" s="35" t="s">
        <v>109</v>
      </c>
      <c r="C16" s="8"/>
      <c r="D16" s="8"/>
      <c r="E16" s="8"/>
      <c r="F16" s="8"/>
      <c r="G16" s="48">
        <v>0</v>
      </c>
      <c r="H16" s="44">
        <v>0</v>
      </c>
      <c r="I16" s="1"/>
      <c r="J16" s="1"/>
      <c r="K16" s="1"/>
      <c r="L16" s="34"/>
      <c r="M16" s="34"/>
      <c r="N16" s="34"/>
      <c r="O16" s="34"/>
    </row>
    <row r="17">
      <c r="B17" s="35" t="s">
        <v>84</v>
      </c>
      <c r="C17" s="8"/>
      <c r="D17" s="8"/>
      <c r="E17" s="8"/>
      <c r="F17" s="8"/>
      <c r="G17" s="8">
        <f>G10</f>
        <v>0.311874431301183</v>
      </c>
      <c r="H17" s="42">
        <f>H10</f>
        <v>0.2770137524557956</v>
      </c>
      <c r="I17" s="1"/>
      <c r="J17" s="1"/>
      <c r="K17" s="1"/>
      <c r="L17" s="34"/>
      <c r="M17" s="34"/>
      <c r="N17" s="34"/>
      <c r="O17" s="34"/>
    </row>
    <row r="18">
      <c r="B18" s="1"/>
      <c r="C18" s="4"/>
      <c r="D18" s="4"/>
      <c r="E18" s="4"/>
      <c r="F18" s="4"/>
      <c r="G18" s="4"/>
      <c r="H18" s="3"/>
      <c r="I18" s="1"/>
      <c r="J18" s="1"/>
      <c r="K18" s="1"/>
      <c r="L18" s="34"/>
      <c r="M18" s="34"/>
      <c r="N18" s="34"/>
      <c r="O18" s="34"/>
    </row>
    <row r="19">
      <c r="B19" s="1" t="s">
        <v>110</v>
      </c>
      <c r="C19" s="18">
        <v>63.3</v>
      </c>
      <c r="D19" s="18">
        <v>85.5</v>
      </c>
      <c r="E19" s="18">
        <v>92.5</v>
      </c>
      <c r="F19" s="4">
        <f>G19-SUM(C19:E19)</f>
        <v>93</v>
      </c>
      <c r="G19" s="18">
        <v>334.3</v>
      </c>
      <c r="H19" s="3">
        <f>(C19+H52)*(1+H62)</f>
        <v>85</v>
      </c>
      <c r="I19" s="1"/>
      <c r="J19" s="1"/>
      <c r="K19" s="34">
        <v>220.4</v>
      </c>
      <c r="L19" s="34">
        <v>39.3</v>
      </c>
      <c r="M19" s="34">
        <v>52.9</v>
      </c>
      <c r="N19" s="34">
        <v>49.8</v>
      </c>
      <c r="O19" s="34">
        <v>78.4</v>
      </c>
    </row>
    <row r="20">
      <c r="B20" s="35" t="s">
        <v>105</v>
      </c>
      <c r="C20" s="8"/>
      <c r="D20" s="8"/>
      <c r="E20" s="8"/>
      <c r="F20" s="8"/>
      <c r="G20" s="8">
        <f>IFERROR(G19/K19-1,0)</f>
        <v>0.5167876588021778</v>
      </c>
      <c r="H20" s="42">
        <f>IFERROR(H19/C19-1,0)</f>
        <v>0.34281200631911535</v>
      </c>
      <c r="I20" s="1"/>
      <c r="J20" s="1"/>
      <c r="K20" s="1"/>
    </row>
    <row r="21">
      <c r="B21" s="1" t="s">
        <v>106</v>
      </c>
      <c r="C21" s="4"/>
      <c r="D21" s="4">
        <f>D19-C19</f>
        <v>22.200000000000003</v>
      </c>
      <c r="E21" s="4">
        <f>E19-D19</f>
        <v>7</v>
      </c>
      <c r="F21" s="4">
        <f>F19-E19</f>
        <v>0.5</v>
      </c>
      <c r="G21" s="4"/>
      <c r="H21" s="3">
        <f>H19-F19</f>
        <v>-8</v>
      </c>
      <c r="I21" s="1"/>
      <c r="J21" s="1"/>
      <c r="K21" s="1"/>
    </row>
    <row r="22">
      <c r="B22" s="35" t="s">
        <v>111</v>
      </c>
      <c r="C22" s="47">
        <f>IFERROR(C19/C29,0)</f>
        <v>0.19918187539332913</v>
      </c>
      <c r="D22" s="47">
        <f>IFERROR(D19/D29,0)</f>
        <v>0.24179864253393663</v>
      </c>
      <c r="E22" s="47">
        <f>IFERROR(E19/E29,0)</f>
        <v>0.2356687898089172</v>
      </c>
      <c r="F22" s="47">
        <f>IFERROR(F19/F29,0)</f>
        <v>0.21944313355356296</v>
      </c>
      <c r="G22" s="8">
        <f>IFERROR(G19/G29,0)</f>
        <v>0.22470928278550784</v>
      </c>
      <c r="H22" s="42">
        <f>IFERROR(H19/H29,0)</f>
        <v>0.2073170731707317</v>
      </c>
      <c r="I22" s="1"/>
      <c r="J22" s="1"/>
      <c r="K22" s="1"/>
    </row>
    <row r="23">
      <c r="B23" s="35" t="s">
        <v>108</v>
      </c>
      <c r="C23" s="4"/>
      <c r="D23" s="4">
        <f>(D22-C22)*10000</f>
        <v>426.167671406075</v>
      </c>
      <c r="E23" s="4">
        <f>(E22-D22)*10000</f>
        <v>-61.29852725019425</v>
      </c>
      <c r="F23" s="4">
        <f>(F22-E22)*10000</f>
        <v>-162.25656255354244</v>
      </c>
      <c r="G23" s="45">
        <f>(G22-K19/K29)*10000</f>
        <v>242.727604137363</v>
      </c>
      <c r="H23" s="46">
        <f>(H22-C22)*10000</f>
        <v>81.3519777740257</v>
      </c>
      <c r="I23" s="1"/>
      <c r="J23" s="1"/>
      <c r="K23" s="1"/>
    </row>
    <row r="24">
      <c r="B24" s="35" t="s">
        <v>62</v>
      </c>
      <c r="C24" s="8"/>
      <c r="D24" s="8"/>
      <c r="E24" s="8"/>
      <c r="F24" s="8"/>
      <c r="G24" s="8">
        <f>(1+G27)/((1+G25)*(1+G26))-1</f>
        <v>0.31821766561514186</v>
      </c>
      <c r="H24" s="42">
        <f>(1+H27)/((1+H25)*(1+H26))-1</f>
        <v>0.15961800818553895</v>
      </c>
      <c r="I24" s="1"/>
      <c r="J24" s="1"/>
      <c r="K24" s="1"/>
    </row>
    <row r="25">
      <c r="B25" s="35" t="s">
        <v>63</v>
      </c>
      <c r="C25" s="8"/>
      <c r="D25" s="8"/>
      <c r="E25" s="8"/>
      <c r="F25" s="8"/>
      <c r="G25" s="8">
        <f>K55/K19</f>
        <v>0.15063520871143377</v>
      </c>
      <c r="H25" s="42">
        <f>IFERROR(H52/C19,0)</f>
        <v>0.1579778830963665</v>
      </c>
      <c r="I25" s="1"/>
      <c r="J25" s="1"/>
      <c r="K25" s="1"/>
    </row>
    <row r="26">
      <c r="B26" s="35" t="s">
        <v>109</v>
      </c>
      <c r="C26" s="8"/>
      <c r="D26" s="8"/>
      <c r="E26" s="8"/>
      <c r="F26" s="8"/>
      <c r="G26" s="48">
        <v>0</v>
      </c>
      <c r="H26" s="44">
        <v>0</v>
      </c>
      <c r="I26" s="1"/>
      <c r="J26" s="1"/>
      <c r="K26" s="1"/>
    </row>
    <row r="27">
      <c r="B27" s="35" t="s">
        <v>84</v>
      </c>
      <c r="C27" s="8"/>
      <c r="D27" s="8"/>
      <c r="E27" s="8"/>
      <c r="F27" s="8"/>
      <c r="G27" s="8">
        <f>G20</f>
        <v>0.5167876588021778</v>
      </c>
      <c r="H27" s="42">
        <f>H20</f>
        <v>0.34281200631911535</v>
      </c>
      <c r="I27" s="1"/>
      <c r="J27" s="1"/>
      <c r="K27" s="1"/>
    </row>
    <row r="28">
      <c r="B28" s="1"/>
      <c r="C28" s="4"/>
      <c r="D28" s="4"/>
      <c r="E28" s="4"/>
      <c r="F28" s="4"/>
      <c r="G28" s="4"/>
      <c r="H28" s="3"/>
      <c r="I28" s="1"/>
      <c r="J28" s="1"/>
      <c r="K28" s="1"/>
    </row>
    <row r="29">
      <c r="B29" s="17" t="s">
        <v>112</v>
      </c>
      <c r="C29" s="20">
        <f>SUM(C9,C19)</f>
        <v>317.8</v>
      </c>
      <c r="D29" s="20">
        <f>SUM(D9,D19)</f>
        <v>353.6</v>
      </c>
      <c r="E29" s="20">
        <f>SUM(E9,E19)</f>
        <v>392.5</v>
      </c>
      <c r="F29" s="20">
        <f>SUM(F9,F19)</f>
        <v>423.80000000000007</v>
      </c>
      <c r="G29" s="20">
        <f>SUM(G9,G19)</f>
        <v>1487.7</v>
      </c>
      <c r="H29" s="21">
        <f>SUM(H9,H19)</f>
        <v>410</v>
      </c>
      <c r="I29" s="1"/>
      <c r="J29" s="1"/>
      <c r="K29" s="1">
        <f>SUM(K9,K19)</f>
        <v>1099.6000000000001</v>
      </c>
    </row>
    <row r="30">
      <c r="B30" s="35" t="s">
        <v>105</v>
      </c>
      <c r="C30" s="8"/>
      <c r="D30" s="8"/>
      <c r="E30" s="8"/>
      <c r="F30" s="8"/>
      <c r="G30" s="8">
        <f>G29/K29-1</f>
        <v>0.35294652600945775</v>
      </c>
      <c r="H30" s="42">
        <f>IFERROR(H29/C29-1,0)</f>
        <v>0.29011957205789796</v>
      </c>
      <c r="I30" s="1"/>
      <c r="J30" s="1"/>
      <c r="K30" s="1"/>
    </row>
    <row r="31">
      <c r="B31" s="1" t="s">
        <v>106</v>
      </c>
      <c r="C31" s="4"/>
      <c r="D31" s="4">
        <f>D29-C29</f>
        <v>35.80000000000001</v>
      </c>
      <c r="E31" s="4">
        <f>E29-D29</f>
        <v>38.89999999999998</v>
      </c>
      <c r="F31" s="4">
        <f>F29-E29</f>
        <v>31.300000000000068</v>
      </c>
      <c r="G31" s="4"/>
      <c r="H31" s="3">
        <f>H29-F29</f>
        <v>-13.800000000000068</v>
      </c>
      <c r="I31" s="1"/>
      <c r="J31" s="1"/>
      <c r="K31" s="1"/>
    </row>
    <row r="32">
      <c r="B32" s="35" t="s">
        <v>113</v>
      </c>
      <c r="C32" s="27">
        <f>IFERROR(C29/'Revenue summary'!C29,0)</f>
        <v>0.42969172525689564</v>
      </c>
      <c r="D32" s="27">
        <f>IFERROR(D29/'Revenue summary'!D29,0)</f>
        <v>0.4446120960643783</v>
      </c>
      <c r="E32" s="27">
        <f>IFERROR(E29/'Revenue summary'!E29,0)</f>
        <v>0.46444207786060826</v>
      </c>
      <c r="F32" s="27">
        <f>IFERROR(F29/'Revenue summary'!F29,0)</f>
        <v>0.4566810344827586</v>
      </c>
      <c r="G32" s="27">
        <f>IFERROR(G29/'Revenue summary'!G29,0)</f>
        <v>0.44972793228536884</v>
      </c>
      <c r="H32" s="49">
        <f>IFERROR(H29/'Revenue summary'!H29,0)</f>
        <v>0.4638009049773756</v>
      </c>
      <c r="I32" s="1"/>
      <c r="J32" s="1"/>
      <c r="K32" s="1"/>
    </row>
    <row r="33">
      <c r="B33" s="35" t="s">
        <v>108</v>
      </c>
      <c r="C33" s="4"/>
      <c r="D33" s="4">
        <f>(D32-C32)*10000</f>
        <v>149.20370807482652</v>
      </c>
      <c r="E33" s="4">
        <f>(E32-D32)*10000</f>
        <v>198.29981796229967</v>
      </c>
      <c r="F33" s="4">
        <f>(F32-E32)*10000</f>
        <v>-77.61043377849663</v>
      </c>
      <c r="G33" s="4"/>
      <c r="H33" s="3">
        <f>(H32-C32)*10000</f>
        <v>341.09179720479943</v>
      </c>
      <c r="I33" s="1"/>
      <c r="J33" s="1"/>
      <c r="K33" s="1"/>
    </row>
    <row r="34">
      <c r="B34" s="35" t="s">
        <v>62</v>
      </c>
      <c r="C34" s="8"/>
      <c r="D34" s="8"/>
      <c r="E34" s="8"/>
      <c r="F34" s="8"/>
      <c r="G34" s="8">
        <f>(1+G37)/((1+G35)*(1+G36))-1</f>
        <v>0.2245452300600872</v>
      </c>
      <c r="H34" s="42">
        <f>(1+H37)/((1+H35)*(1+H36))-1</f>
        <v>0.1621315192743764</v>
      </c>
      <c r="I34" s="1"/>
      <c r="J34" s="1"/>
      <c r="K34" s="1"/>
    </row>
    <row r="35">
      <c r="B35" s="35" t="s">
        <v>63</v>
      </c>
      <c r="C35" s="8"/>
      <c r="D35" s="8"/>
      <c r="E35" s="8"/>
      <c r="F35" s="8"/>
      <c r="G35" s="8">
        <f>K53/K29</f>
        <v>0.10485631138595851</v>
      </c>
      <c r="H35" s="42">
        <f>H51/C29</f>
        <v>0.11013215859030837</v>
      </c>
      <c r="I35" s="1"/>
      <c r="J35" s="1"/>
      <c r="K35" s="1"/>
    </row>
    <row r="36">
      <c r="B36" s="35" t="s">
        <v>109</v>
      </c>
      <c r="C36" s="8"/>
      <c r="D36" s="8"/>
      <c r="E36" s="8"/>
      <c r="F36" s="8"/>
      <c r="G36" s="48">
        <v>0</v>
      </c>
      <c r="H36" s="44">
        <v>0</v>
      </c>
      <c r="I36" s="1"/>
      <c r="J36" s="1"/>
      <c r="K36" s="1"/>
    </row>
    <row r="37">
      <c r="B37" s="35" t="s">
        <v>84</v>
      </c>
      <c r="C37" s="8"/>
      <c r="D37" s="8"/>
      <c r="E37" s="8"/>
      <c r="F37" s="8"/>
      <c r="G37" s="8">
        <f>G30</f>
        <v>0.35294652600945775</v>
      </c>
      <c r="H37" s="42">
        <f>H30</f>
        <v>0.29011957205789796</v>
      </c>
      <c r="I37" s="1"/>
      <c r="J37" s="1"/>
      <c r="K37" s="1"/>
    </row>
    <row r="38">
      <c r="B38" s="1"/>
      <c r="C38" s="4"/>
      <c r="D38" s="4"/>
      <c r="E38" s="4"/>
      <c r="F38" s="4"/>
      <c r="G38" s="4"/>
      <c r="H38" s="3"/>
      <c r="I38" s="1"/>
      <c r="J38" s="1"/>
      <c r="K38" s="1"/>
    </row>
    <row r="39">
      <c r="B39" s="17" t="s">
        <v>114</v>
      </c>
      <c r="C39" s="5">
        <v>40.9</v>
      </c>
      <c r="D39" s="5">
        <v>40.9</v>
      </c>
      <c r="E39" s="5">
        <v>50.7</v>
      </c>
      <c r="F39" s="5">
        <v>53.7</v>
      </c>
      <c r="G39" s="5">
        <v>186.2</v>
      </c>
      <c r="H39" s="21">
        <f>H29*H42</f>
        <v>52.07</v>
      </c>
      <c r="I39" s="1"/>
      <c r="J39" s="1"/>
      <c r="K39" s="1">
        <v>156.8</v>
      </c>
    </row>
    <row r="40">
      <c r="B40" s="35" t="s">
        <v>115</v>
      </c>
      <c r="C40" s="8">
        <f>IFERROR(C39/C29,0)</f>
        <v>0.12869729389553178</v>
      </c>
      <c r="D40" s="8">
        <f>IFERROR(D39/D29,0)</f>
        <v>0.11566742081447963</v>
      </c>
      <c r="E40" s="8">
        <f>IFERROR(E39/E29,0)</f>
        <v>0.129171974522293</v>
      </c>
      <c r="F40" s="8">
        <f>IFERROR(F39/F29,0)</f>
        <v>0.12671071260028313</v>
      </c>
      <c r="G40" s="8">
        <f>IFERROR(G39/G29,0)</f>
        <v>0.1251596424010217</v>
      </c>
      <c r="H40" s="42">
        <f>IFERROR(H39/H29,0)</f>
        <v>0.127</v>
      </c>
      <c r="I40" s="1"/>
      <c r="J40" s="1"/>
      <c r="K40" s="1"/>
    </row>
    <row r="41">
      <c r="B41" s="35" t="s">
        <v>116</v>
      </c>
      <c r="C41" s="4"/>
      <c r="D41" s="4">
        <f>(D40-C40)*10000</f>
        <v>-130.29873081052148</v>
      </c>
      <c r="E41" s="4">
        <f>(E40-D40)*10000</f>
        <v>135.0455370781338</v>
      </c>
      <c r="F41" s="4">
        <f>(F40-E40)*10000</f>
        <v>-24.612619220098775</v>
      </c>
      <c r="G41" s="4">
        <f>(G40-K39/K29)*10000</f>
        <v>-174.3766571101904</v>
      </c>
      <c r="H41" s="3">
        <f>(H40-C40)*10000</f>
        <v>-16.972938955317762</v>
      </c>
      <c r="I41" s="1"/>
      <c r="J41" s="1"/>
      <c r="K41" s="1"/>
    </row>
    <row r="42">
      <c r="B42" s="35" t="s">
        <v>117</v>
      </c>
      <c r="C42" s="8"/>
      <c r="D42" s="8"/>
      <c r="E42" s="8"/>
      <c r="F42" s="8"/>
      <c r="G42" s="8"/>
      <c r="H42" s="44">
        <v>0.127</v>
      </c>
      <c r="I42" s="1"/>
      <c r="J42" s="1"/>
      <c r="K42" s="1"/>
    </row>
    <row r="43">
      <c r="B43" s="1" t="s">
        <v>118</v>
      </c>
      <c r="C43" s="4"/>
      <c r="D43" s="4"/>
      <c r="E43" s="4"/>
      <c r="F43" s="4"/>
      <c r="G43" s="4"/>
      <c r="H43" s="3"/>
      <c r="I43" s="1"/>
      <c r="J43" s="1" t="s">
        <v>119</v>
      </c>
      <c r="K43" s="1"/>
    </row>
    <row r="44">
      <c r="B44" s="1" t="s">
        <v>120</v>
      </c>
      <c r="C44" s="4" t="s">
        <v>38</v>
      </c>
      <c r="D44" s="4" t="s">
        <v>38</v>
      </c>
      <c r="E44" s="4" t="s">
        <v>38</v>
      </c>
      <c r="F44" s="4" t="s">
        <v>38</v>
      </c>
      <c r="G44" s="4" t="s">
        <v>38</v>
      </c>
      <c r="H44" s="3" t="s">
        <v>38</v>
      </c>
      <c r="I44" s="1"/>
      <c r="J44" s="1" t="s">
        <v>121</v>
      </c>
      <c r="K44" s="1"/>
    </row>
    <row r="45">
      <c r="B45" s="1" t="s">
        <v>122</v>
      </c>
      <c r="C45" s="4" t="s">
        <v>38</v>
      </c>
      <c r="D45" s="4" t="s">
        <v>38</v>
      </c>
      <c r="E45" s="4" t="s">
        <v>38</v>
      </c>
      <c r="F45" s="4" t="s">
        <v>38</v>
      </c>
      <c r="G45" s="4" t="s">
        <v>38</v>
      </c>
      <c r="H45" s="3" t="s">
        <v>38</v>
      </c>
      <c r="I45" s="1"/>
      <c r="J45" s="1"/>
      <c r="K45" s="1"/>
    </row>
    <row r="46">
      <c r="B46" s="17" t="s">
        <v>123</v>
      </c>
      <c r="C46" s="20"/>
      <c r="D46" s="20"/>
      <c r="E46" s="20"/>
      <c r="F46" s="20"/>
      <c r="G46" s="20"/>
      <c r="H46" s="21"/>
      <c r="I46" s="1"/>
      <c r="J46" s="1"/>
      <c r="K46" s="1"/>
    </row>
    <row r="47">
      <c r="B47" s="1"/>
      <c r="C47" s="4"/>
      <c r="D47" s="4"/>
      <c r="E47" s="4"/>
      <c r="F47" s="4"/>
      <c r="G47" s="4"/>
      <c r="H47" s="3"/>
      <c r="I47" s="1"/>
      <c r="J47" s="1"/>
      <c r="K47" s="1"/>
    </row>
    <row r="48">
      <c r="B48" s="35" t="s">
        <v>124</v>
      </c>
      <c r="C48" s="8">
        <f>IFERROR(C9/C29,0)</f>
        <v>0.8008181246066708</v>
      </c>
      <c r="D48" s="8">
        <f>IFERROR(D9/D29,0)</f>
        <v>0.7582013574660633</v>
      </c>
      <c r="E48" s="8">
        <f>IFERROR(E9/E29,0)</f>
        <v>0.7643312101910829</v>
      </c>
      <c r="F48" s="8">
        <f>IFERROR(F9/F29,0)</f>
        <v>0.7805568664464371</v>
      </c>
      <c r="G48" s="8">
        <f>IFERROR(G9/G29,0)</f>
        <v>0.7752907172144922</v>
      </c>
      <c r="H48" s="42">
        <f>IFERROR(H9/H29,0)</f>
        <v>0.7926829268292683</v>
      </c>
      <c r="I48" s="1"/>
      <c r="J48" s="1"/>
      <c r="K48" s="1"/>
    </row>
    <row r="49">
      <c r="B49" s="35" t="s">
        <v>125</v>
      </c>
      <c r="C49" s="45"/>
      <c r="D49" s="45"/>
      <c r="E49" s="45"/>
      <c r="F49" s="45"/>
      <c r="G49" s="45"/>
      <c r="H49" s="46">
        <f>(H48-C48)*10000</f>
        <v>-81.35197777402459</v>
      </c>
      <c r="I49" s="1"/>
      <c r="J49" s="1"/>
      <c r="K49" s="1"/>
    </row>
    <row r="50">
      <c r="B50" s="35" t="s">
        <v>126</v>
      </c>
      <c r="C50" s="4"/>
      <c r="D50" s="4">
        <f>(D48-C48)*10000</f>
        <v>-426.1676714060747</v>
      </c>
      <c r="E50" s="4">
        <f>(E48-D48)*10000</f>
        <v>61.298527250195356</v>
      </c>
      <c r="F50" s="4">
        <f>(F48-E48)*10000</f>
        <v>162.25656255354215</v>
      </c>
      <c r="G50" s="4"/>
      <c r="H50" s="3">
        <f>(H48-F48)*10000</f>
        <v>121.26060382831261</v>
      </c>
      <c r="I50" s="1"/>
      <c r="J50" s="1"/>
      <c r="K50" s="1"/>
    </row>
    <row r="51">
      <c r="B51" s="6" t="s">
        <v>127</v>
      </c>
      <c r="C51" s="6"/>
      <c r="D51" s="6"/>
      <c r="E51" s="6"/>
      <c r="F51" s="6"/>
      <c r="G51" s="6"/>
      <c r="H51" s="43">
        <v>35</v>
      </c>
      <c r="I51" s="6"/>
      <c r="J51" s="6" t="s">
        <v>128</v>
      </c>
      <c r="K51" s="34"/>
    </row>
    <row r="52">
      <c r="B52" s="6" t="s">
        <v>129</v>
      </c>
      <c r="C52" s="6"/>
      <c r="D52" s="6"/>
      <c r="E52" s="6"/>
      <c r="F52" s="6"/>
      <c r="G52" s="6"/>
      <c r="H52" s="43">
        <v>10</v>
      </c>
      <c r="I52" s="6"/>
      <c r="J52" s="6"/>
      <c r="K52" s="34"/>
    </row>
    <row r="53">
      <c r="B53" s="6" t="s">
        <v>130</v>
      </c>
      <c r="C53" s="6"/>
      <c r="D53" s="6"/>
      <c r="E53" s="6"/>
      <c r="F53" s="6"/>
      <c r="G53" s="6"/>
      <c r="H53" s="13"/>
      <c r="I53" s="6"/>
      <c r="J53" s="6"/>
      <c r="K53" s="34">
        <v>115.3</v>
      </c>
    </row>
    <row r="54">
      <c r="B54" s="6"/>
      <c r="C54" s="6"/>
      <c r="D54" s="6"/>
      <c r="E54" s="6"/>
      <c r="F54" s="6"/>
      <c r="G54" s="6"/>
      <c r="H54" s="13"/>
      <c r="I54" s="6"/>
      <c r="J54" s="6"/>
      <c r="K54" s="6">
        <v>82.2</v>
      </c>
    </row>
    <row r="55">
      <c r="B55" s="6"/>
      <c r="C55" s="6"/>
      <c r="D55" s="6"/>
      <c r="E55" s="6"/>
      <c r="F55" s="6"/>
      <c r="G55" s="6"/>
      <c r="H55" s="13"/>
      <c r="I55" s="6"/>
      <c r="J55" s="6"/>
      <c r="K55" s="6">
        <v>33.2</v>
      </c>
    </row>
    <row r="56">
      <c r="B56" s="6"/>
      <c r="C56" s="6"/>
      <c r="D56" s="6"/>
      <c r="E56" s="6"/>
      <c r="F56" s="6"/>
      <c r="G56" s="6"/>
      <c r="H56" s="13"/>
      <c r="I56" s="6"/>
      <c r="J56" s="6"/>
      <c r="K56" s="6"/>
    </row>
    <row r="57">
      <c r="B57" s="1" t="s">
        <v>131</v>
      </c>
      <c r="C57" s="1"/>
      <c r="D57" s="1"/>
      <c r="E57" s="1"/>
      <c r="F57" s="1"/>
      <c r="G57" s="1"/>
      <c r="H57" s="36"/>
      <c r="I57" s="1"/>
      <c r="J57" s="1"/>
      <c r="K57" s="1"/>
    </row>
    <row r="58">
      <c r="B58" s="1" t="s">
        <v>132</v>
      </c>
      <c r="C58" s="4">
        <f>C29</f>
        <v>317.8</v>
      </c>
      <c r="D58" s="1"/>
      <c r="E58" s="1"/>
      <c r="F58" s="1"/>
      <c r="G58" s="1"/>
      <c r="H58" s="3">
        <f>C29</f>
        <v>317.8</v>
      </c>
      <c r="I58" s="1"/>
      <c r="J58" s="1"/>
      <c r="K58" s="1"/>
    </row>
    <row r="59">
      <c r="B59" s="1" t="s">
        <v>133</v>
      </c>
      <c r="C59" s="1"/>
      <c r="D59" s="1"/>
      <c r="E59" s="1"/>
      <c r="F59" s="1"/>
      <c r="G59" s="1"/>
      <c r="H59" s="36">
        <f>SUM((C9+H51-H52)*H61,(C19+H52)*H62)</f>
        <v>57.200000000000024</v>
      </c>
      <c r="I59" s="1"/>
      <c r="J59" s="1"/>
      <c r="K59" s="1"/>
    </row>
    <row r="60">
      <c r="B60" s="1" t="s">
        <v>134</v>
      </c>
      <c r="C60" s="1"/>
      <c r="D60" s="1"/>
      <c r="E60" s="1"/>
      <c r="F60" s="1"/>
      <c r="G60" s="1"/>
      <c r="H60" s="3">
        <f>H51</f>
        <v>35</v>
      </c>
      <c r="I60" s="1"/>
      <c r="J60" s="1"/>
      <c r="K60" s="1"/>
    </row>
    <row r="61">
      <c r="B61" s="35" t="s">
        <v>135</v>
      </c>
      <c r="C61" s="8"/>
      <c r="D61" s="8"/>
      <c r="E61" s="8"/>
      <c r="F61" s="8"/>
      <c r="G61" s="8"/>
      <c r="H61" s="44">
        <v>0.16279069767441867</v>
      </c>
      <c r="I61" s="1"/>
      <c r="J61" s="1" t="s">
        <v>136</v>
      </c>
      <c r="K61" s="1"/>
    </row>
    <row r="62">
      <c r="B62" s="35" t="s">
        <v>137</v>
      </c>
      <c r="C62" s="8"/>
      <c r="D62" s="8"/>
      <c r="E62" s="8"/>
      <c r="F62" s="8"/>
      <c r="G62" s="8"/>
      <c r="H62" s="44">
        <v>0.15961800818553895</v>
      </c>
      <c r="I62" s="1"/>
      <c r="J62" s="1"/>
      <c r="K62" s="1"/>
    </row>
    <row r="63">
      <c r="B63" s="1" t="s">
        <v>138</v>
      </c>
      <c r="C63" s="1"/>
      <c r="D63" s="1"/>
      <c r="E63" s="1"/>
      <c r="F63" s="1"/>
      <c r="G63" s="1"/>
      <c r="H63" s="3">
        <f>H29-SUM(H58:H60)</f>
        <v>0</v>
      </c>
      <c r="I63" s="1"/>
      <c r="J63" s="1"/>
      <c r="K63" s="1"/>
    </row>
    <row r="64">
      <c r="B64" s="1"/>
      <c r="C64" s="1"/>
      <c r="D64" s="1"/>
      <c r="E64" s="1"/>
      <c r="F64" s="1"/>
      <c r="G64" s="1"/>
      <c r="H64" s="36"/>
      <c r="I64" s="1"/>
      <c r="J64" s="1"/>
      <c r="K64" s="1"/>
    </row>
    <row r="65">
      <c r="B65" s="1" t="s">
        <v>139</v>
      </c>
      <c r="C65" s="1"/>
      <c r="D65" s="1"/>
      <c r="E65" s="1"/>
      <c r="F65" s="1"/>
      <c r="G65" s="1"/>
      <c r="H65" s="36"/>
      <c r="I65" s="1"/>
      <c r="J65" s="1"/>
      <c r="K65" s="1"/>
    </row>
    <row r="66">
      <c r="B66" s="1"/>
      <c r="C66" s="1"/>
      <c r="D66" s="1"/>
      <c r="E66" s="1"/>
      <c r="F66" s="1"/>
      <c r="G66" s="1"/>
      <c r="H66" s="36"/>
      <c r="I66" s="1"/>
      <c r="J66" s="1"/>
      <c r="K66" s="1"/>
    </row>
    <row r="67">
      <c r="B67" s="1" t="s">
        <v>140</v>
      </c>
      <c r="C67" s="1" t="s">
        <v>38</v>
      </c>
      <c r="D67" s="1" t="s">
        <v>38</v>
      </c>
      <c r="E67" s="1" t="s">
        <v>38</v>
      </c>
      <c r="F67" s="1" t="s">
        <v>38</v>
      </c>
      <c r="G67" s="1" t="s">
        <v>38</v>
      </c>
      <c r="H67" s="36" t="s">
        <v>38</v>
      </c>
      <c r="I67" s="1"/>
      <c r="J67" s="1" t="s">
        <v>141</v>
      </c>
      <c r="K67" s="1"/>
    </row>
    <row r="68">
      <c r="B68" s="1" t="s">
        <v>142</v>
      </c>
      <c r="C68" s="1" t="s">
        <v>38</v>
      </c>
      <c r="D68" s="1" t="s">
        <v>38</v>
      </c>
      <c r="E68" s="1" t="s">
        <v>38</v>
      </c>
      <c r="F68" s="1" t="s">
        <v>38</v>
      </c>
      <c r="G68" s="1" t="s">
        <v>38</v>
      </c>
      <c r="H68" s="36" t="s">
        <v>38</v>
      </c>
      <c r="I68" s="1"/>
      <c r="J68" s="1"/>
      <c r="K68" s="1"/>
    </row>
    <row r="69">
      <c r="B69" s="1" t="s">
        <v>143</v>
      </c>
      <c r="C69" s="1" t="s">
        <v>38</v>
      </c>
      <c r="D69" s="1" t="s">
        <v>38</v>
      </c>
      <c r="E69" s="1" t="s">
        <v>38</v>
      </c>
      <c r="F69" s="1" t="s">
        <v>38</v>
      </c>
      <c r="G69" s="1" t="s">
        <v>38</v>
      </c>
      <c r="H69" s="36" t="s">
        <v>38</v>
      </c>
      <c r="I69" s="1"/>
      <c r="J69" s="1"/>
      <c r="K69" s="1"/>
    </row>
    <row r="70">
      <c r="B70" s="1" t="s">
        <v>144</v>
      </c>
      <c r="C70" s="1" t="s">
        <v>38</v>
      </c>
      <c r="D70" s="1" t="s">
        <v>38</v>
      </c>
      <c r="E70" s="1" t="s">
        <v>38</v>
      </c>
      <c r="F70" s="1" t="s">
        <v>38</v>
      </c>
      <c r="G70" s="1" t="s">
        <v>38</v>
      </c>
      <c r="H70" s="36" t="s">
        <v>38</v>
      </c>
      <c r="I70" s="1"/>
      <c r="J70" s="1"/>
      <c r="K70" s="1"/>
    </row>
    <row r="71">
      <c r="B71" s="1" t="s">
        <v>145</v>
      </c>
      <c r="C71" s="1" t="s">
        <v>38</v>
      </c>
      <c r="D71" s="1" t="s">
        <v>38</v>
      </c>
      <c r="E71" s="1" t="s">
        <v>38</v>
      </c>
      <c r="F71" s="1" t="s">
        <v>38</v>
      </c>
      <c r="G71" s="1" t="s">
        <v>38</v>
      </c>
      <c r="H71" s="36" t="s">
        <v>38</v>
      </c>
      <c r="I71" s="1"/>
      <c r="J71" s="1"/>
      <c r="K71" s="1"/>
    </row>
    <row r="72">
      <c r="B72" s="1" t="s">
        <v>146</v>
      </c>
      <c r="C72" s="1" t="s">
        <v>38</v>
      </c>
      <c r="D72" s="1" t="s">
        <v>38</v>
      </c>
      <c r="E72" s="1" t="s">
        <v>38</v>
      </c>
      <c r="F72" s="1" t="s">
        <v>38</v>
      </c>
      <c r="G72" s="1" t="s">
        <v>38</v>
      </c>
      <c r="H72" s="36" t="s">
        <v>38</v>
      </c>
      <c r="I72" s="1"/>
      <c r="J72" s="1"/>
      <c r="K72" s="1"/>
    </row>
    <row r="73">
      <c r="B73" s="6"/>
      <c r="C73" s="6"/>
      <c r="D73" s="6"/>
      <c r="E73" s="6"/>
      <c r="F73" s="6"/>
      <c r="G73" s="6"/>
      <c r="H73" s="13"/>
      <c r="I73" s="6"/>
      <c r="J73" s="6"/>
      <c r="K73" s="6"/>
    </row>
    <row r="74">
      <c r="B74" s="1" t="s">
        <v>147</v>
      </c>
      <c r="C74" s="1"/>
      <c r="D74" s="1"/>
      <c r="E74" s="1"/>
      <c r="F74" s="1"/>
      <c r="G74" s="1"/>
      <c r="H74" s="3">
        <f>H58</f>
        <v>317.8</v>
      </c>
    </row>
    <row r="75">
      <c r="B75" s="35" t="s">
        <v>148</v>
      </c>
      <c r="C75" s="1"/>
      <c r="D75" s="1"/>
      <c r="E75" s="1"/>
      <c r="F75" s="1"/>
      <c r="G75" s="1"/>
      <c r="H75" s="42">
        <f>H74/C29-1</f>
        <v>0</v>
      </c>
    </row>
    <row r="76">
      <c r="B76" s="1" t="s">
        <v>149</v>
      </c>
      <c r="C76" s="1"/>
      <c r="D76" s="1"/>
      <c r="E76" s="1"/>
      <c r="F76" s="1"/>
      <c r="G76" s="1"/>
      <c r="H76" s="3">
        <f>H74-F29</f>
        <v>-106.00000000000006</v>
      </c>
    </row>
    <row r="77">
      <c r="B77" s="1" t="s">
        <v>150</v>
      </c>
      <c r="C77" s="1"/>
      <c r="D77" s="1"/>
      <c r="E77" s="1"/>
      <c r="F77" s="1"/>
      <c r="G77" s="1"/>
      <c r="H77" s="3">
        <f>H59</f>
        <v>57.200000000000024</v>
      </c>
    </row>
    <row r="78">
      <c r="B78" s="35" t="s">
        <v>151</v>
      </c>
      <c r="C78" s="1"/>
      <c r="D78" s="1"/>
      <c r="E78" s="1"/>
      <c r="F78" s="1"/>
      <c r="G78" s="1"/>
      <c r="H78" s="42">
        <f>H77/C29</f>
        <v>0.17998741346758976</v>
      </c>
    </row>
    <row r="79">
      <c r="B79" s="1" t="s">
        <v>152</v>
      </c>
      <c r="C79" s="1"/>
      <c r="D79" s="1"/>
      <c r="E79" s="1"/>
      <c r="F79" s="1"/>
      <c r="G79" s="1"/>
      <c r="H79" s="3" t="s">
        <v>38</v>
      </c>
    </row>
    <row r="80">
      <c r="B80" s="1" t="s">
        <v>153</v>
      </c>
      <c r="C80" s="1"/>
      <c r="D80" s="1"/>
      <c r="E80" s="1"/>
      <c r="F80" s="1"/>
      <c r="G80" s="1"/>
      <c r="H80" s="3">
        <f>H60</f>
        <v>35</v>
      </c>
    </row>
    <row r="81">
      <c r="B81" s="35" t="s">
        <v>151</v>
      </c>
      <c r="C81" s="1"/>
      <c r="D81" s="1"/>
      <c r="E81" s="1"/>
      <c r="F81" s="1"/>
      <c r="G81" s="1"/>
      <c r="H81" s="42">
        <f>H80/C29</f>
        <v>0.11013215859030837</v>
      </c>
    </row>
    <row r="82">
      <c r="B82" s="1" t="s">
        <v>154</v>
      </c>
      <c r="C82" s="1"/>
      <c r="D82" s="1"/>
      <c r="E82" s="1"/>
      <c r="F82" s="1"/>
      <c r="G82" s="1"/>
      <c r="H82" s="3" t="s">
        <v>38</v>
      </c>
    </row>
    <row r="83">
      <c r="B83" s="35" t="s">
        <v>155</v>
      </c>
      <c r="C83" s="1"/>
      <c r="D83" s="1"/>
      <c r="E83" s="1"/>
      <c r="F83" s="1"/>
      <c r="G83" s="1"/>
      <c r="H83" s="42">
        <f>H61</f>
        <v>0.16279069767441867</v>
      </c>
      <c r="J83" t="s">
        <v>156</v>
      </c>
    </row>
    <row r="84">
      <c r="B84" s="1" t="s">
        <v>157</v>
      </c>
      <c r="C84" s="1"/>
      <c r="D84" s="1"/>
      <c r="E84" s="1"/>
      <c r="F84" s="1"/>
      <c r="G84" s="1"/>
      <c r="H84" s="3" t="s">
        <v>38</v>
      </c>
    </row>
    <row r="85">
      <c r="B85" s="1" t="s">
        <v>158</v>
      </c>
      <c r="C85" s="1"/>
      <c r="D85" s="1"/>
      <c r="E85" s="1"/>
      <c r="F85" s="1"/>
      <c r="G85" s="1"/>
      <c r="H85" s="3" t="s">
        <v>38</v>
      </c>
    </row>
    <row r="86">
      <c r="B86" s="35" t="s">
        <v>159</v>
      </c>
      <c r="C86" s="1"/>
      <c r="D86" s="1"/>
      <c r="E86" s="1"/>
      <c r="F86" s="1"/>
      <c r="G86" s="1"/>
      <c r="H86" s="42">
        <f>H62</f>
        <v>0.15961800818553895</v>
      </c>
    </row>
    <row r="87">
      <c r="B87" s="1" t="s">
        <v>157</v>
      </c>
      <c r="C87" s="1"/>
      <c r="D87" s="1"/>
      <c r="E87" s="1"/>
      <c r="F87" s="1"/>
      <c r="G87" s="1"/>
      <c r="H87" s="3" t="s">
        <v>38</v>
      </c>
    </row>
    <row r="88">
      <c r="B88" s="1" t="s">
        <v>158</v>
      </c>
      <c r="C88" s="1"/>
      <c r="D88" s="1"/>
      <c r="E88" s="1"/>
      <c r="F88" s="1"/>
      <c r="G88" s="1"/>
      <c r="H88" s="3" t="s">
        <v>38</v>
      </c>
    </row>
    <row r="89">
      <c r="B89" s="1" t="s">
        <v>160</v>
      </c>
      <c r="C89" s="1"/>
      <c r="D89" s="1"/>
      <c r="E89" s="1"/>
      <c r="F89" s="1"/>
      <c r="G89" s="1"/>
      <c r="H89" s="3">
        <f>SUM(H74,H77,H80)</f>
        <v>410.00000000000006</v>
      </c>
    </row>
    <row r="90">
      <c r="B90" s="1" t="s">
        <v>161</v>
      </c>
      <c r="C90" s="1"/>
      <c r="D90" s="1"/>
      <c r="E90" s="1"/>
      <c r="F90" s="1"/>
      <c r="G90" s="1"/>
      <c r="H90" s="3">
        <f>H89-H29</f>
        <v>0</v>
      </c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O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8" customWidth="1"/>
    <col min="11" max="11" width="25" customWidth="1"/>
    <col min="12" max="15" width="14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162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 t="s">
        <v>98</v>
      </c>
      <c r="L8" s="1" t="s">
        <v>99</v>
      </c>
      <c r="M8" s="1" t="s">
        <v>100</v>
      </c>
      <c r="N8" s="1" t="s">
        <v>101</v>
      </c>
      <c r="O8" s="1" t="s">
        <v>102</v>
      </c>
    </row>
    <row r="9">
      <c r="B9" s="1" t="s">
        <v>103</v>
      </c>
      <c r="C9" s="18">
        <v>206.6</v>
      </c>
      <c r="D9" s="18">
        <v>236.6</v>
      </c>
      <c r="E9" s="18">
        <v>258.9</v>
      </c>
      <c r="F9" s="4">
        <f>G9-SUM(C9:E9)</f>
        <v>288.10000000000014</v>
      </c>
      <c r="G9" s="18">
        <v>990.2</v>
      </c>
      <c r="H9" s="3">
        <f>(C9+H51-H52)*(1+H61)</f>
        <v>255.99999999999997</v>
      </c>
      <c r="I9" s="1"/>
      <c r="J9" s="1" t="s">
        <v>104</v>
      </c>
      <c r="K9" s="34">
        <v>838.4</v>
      </c>
      <c r="L9" s="34">
        <v>199.9</v>
      </c>
      <c r="M9" s="34">
        <v>217.5</v>
      </c>
      <c r="N9" s="34">
        <v>205.8</v>
      </c>
      <c r="O9" s="34">
        <v>215.2</v>
      </c>
    </row>
    <row r="10">
      <c r="B10" s="35" t="s">
        <v>105</v>
      </c>
      <c r="C10" s="8"/>
      <c r="D10" s="8"/>
      <c r="E10" s="8"/>
      <c r="F10" s="8"/>
      <c r="G10" s="8">
        <f>IFERROR(G9/K9-1,0)</f>
        <v>0.18105916030534353</v>
      </c>
      <c r="H10" s="42">
        <f>IFERROR(H9/C9-1,0)</f>
        <v>0.23910939012584698</v>
      </c>
      <c r="I10" s="1"/>
      <c r="J10" s="1"/>
      <c r="K10" s="1"/>
      <c r="L10" s="34"/>
      <c r="M10" s="34"/>
      <c r="N10" s="34"/>
      <c r="O10" s="34"/>
    </row>
    <row r="11">
      <c r="B11" s="1" t="s">
        <v>106</v>
      </c>
      <c r="C11" s="4"/>
      <c r="D11" s="4">
        <f>D9-C9</f>
        <v>30</v>
      </c>
      <c r="E11" s="4">
        <f>E9-D9</f>
        <v>22.299999999999983</v>
      </c>
      <c r="F11" s="4">
        <f>F9-E9</f>
        <v>29.20000000000016</v>
      </c>
      <c r="G11" s="4"/>
      <c r="H11" s="3">
        <f>H9-F9</f>
        <v>-32.100000000000165</v>
      </c>
      <c r="I11" s="1"/>
      <c r="J11" s="1"/>
      <c r="K11" s="1"/>
      <c r="L11" s="34"/>
      <c r="M11" s="34"/>
      <c r="N11" s="34"/>
      <c r="O11" s="34"/>
    </row>
    <row r="12">
      <c r="B12" s="35" t="s">
        <v>107</v>
      </c>
      <c r="C12" s="47">
        <f>IFERROR(C9/C29,0)</f>
        <v>0.9125441696113074</v>
      </c>
      <c r="D12" s="47">
        <f>IFERROR(D9/D29,0)</f>
        <v>0.9181218471090415</v>
      </c>
      <c r="E12" s="47">
        <f>IFERROR(E9/E29,0)</f>
        <v>0.9171094580233794</v>
      </c>
      <c r="F12" s="47">
        <f>IFERROR(F9/F29,0)</f>
        <v>0.9163486005089059</v>
      </c>
      <c r="G12" s="8">
        <f>IFERROR(G9/G29,0)</f>
        <v>0.9161732050333088</v>
      </c>
      <c r="H12" s="42">
        <f>IFERROR(H9/H29,0)</f>
        <v>0.9078014184397162</v>
      </c>
      <c r="I12" s="1"/>
      <c r="J12" s="1"/>
      <c r="K12" s="1"/>
      <c r="L12" s="34"/>
      <c r="M12" s="34"/>
      <c r="N12" s="34"/>
      <c r="O12" s="34"/>
    </row>
    <row r="13">
      <c r="B13" s="35" t="s">
        <v>108</v>
      </c>
      <c r="C13" s="4"/>
      <c r="D13" s="4">
        <f>(D12-C12)*10000</f>
        <v>55.7767749773419</v>
      </c>
      <c r="E13" s="4">
        <f>(E12-D12)*10000</f>
        <v>-10.123890856621465</v>
      </c>
      <c r="F13" s="4">
        <f>(F12-E12)*10000</f>
        <v>-7.60857514473523</v>
      </c>
      <c r="G13" s="45">
        <f>(G12-K9/K29)*10000</f>
        <v>156.36148105274472</v>
      </c>
      <c r="H13" s="46">
        <f>(H12-C12)*10000</f>
        <v>-47.42751171591175</v>
      </c>
      <c r="I13" s="1"/>
      <c r="J13" s="1"/>
      <c r="K13" s="1"/>
      <c r="L13" s="34"/>
      <c r="M13" s="34"/>
      <c r="N13" s="34"/>
      <c r="O13" s="34"/>
    </row>
    <row r="14">
      <c r="B14" s="35" t="s">
        <v>62</v>
      </c>
      <c r="C14" s="8"/>
      <c r="D14" s="8"/>
      <c r="E14" s="8"/>
      <c r="F14" s="8"/>
      <c r="G14" s="8">
        <f>(1+G17)/((1+G15)*(1+G16))-1</f>
        <v>0.021351211964930394</v>
      </c>
      <c r="H14" s="42">
        <f>(1+H17)/((1+H15)*(1+H16))-1</f>
        <v>0.03811841038118402</v>
      </c>
      <c r="I14" s="1"/>
      <c r="J14" s="1"/>
      <c r="K14" s="1"/>
      <c r="L14" s="34"/>
      <c r="M14" s="34"/>
      <c r="N14" s="34"/>
      <c r="O14" s="34"/>
    </row>
    <row r="15">
      <c r="B15" s="35" t="s">
        <v>63</v>
      </c>
      <c r="C15" s="8"/>
      <c r="D15" s="8"/>
      <c r="E15" s="8"/>
      <c r="F15" s="8"/>
      <c r="G15" s="8">
        <f>K53/K9</f>
        <v>0.1563692748091603</v>
      </c>
      <c r="H15" s="42">
        <f>(H51-H52)/C9</f>
        <v>0.1936108422071636</v>
      </c>
      <c r="I15" s="1"/>
      <c r="J15" s="1"/>
      <c r="K15" s="1"/>
      <c r="L15" s="34"/>
      <c r="M15" s="34"/>
      <c r="N15" s="34"/>
      <c r="O15" s="34"/>
    </row>
    <row r="16">
      <c r="B16" s="35" t="s">
        <v>109</v>
      </c>
      <c r="C16" s="8"/>
      <c r="D16" s="8"/>
      <c r="E16" s="8"/>
      <c r="F16" s="8"/>
      <c r="G16" s="48">
        <v>0</v>
      </c>
      <c r="H16" s="44">
        <v>0</v>
      </c>
      <c r="I16" s="1"/>
      <c r="J16" s="1"/>
      <c r="K16" s="1"/>
      <c r="L16" s="34"/>
      <c r="M16" s="34"/>
      <c r="N16" s="34"/>
      <c r="O16" s="34"/>
    </row>
    <row r="17">
      <c r="B17" s="35" t="s">
        <v>84</v>
      </c>
      <c r="C17" s="8"/>
      <c r="D17" s="8"/>
      <c r="E17" s="8"/>
      <c r="F17" s="8"/>
      <c r="G17" s="8">
        <f>G10</f>
        <v>0.18105916030534353</v>
      </c>
      <c r="H17" s="42">
        <f>H10</f>
        <v>0.23910939012584698</v>
      </c>
      <c r="I17" s="1"/>
      <c r="J17" s="1"/>
      <c r="K17" s="1"/>
      <c r="L17" s="34"/>
      <c r="M17" s="34"/>
      <c r="N17" s="34"/>
      <c r="O17" s="34"/>
    </row>
    <row r="18">
      <c r="B18" s="1"/>
      <c r="C18" s="4"/>
      <c r="D18" s="4"/>
      <c r="E18" s="4"/>
      <c r="F18" s="4"/>
      <c r="G18" s="4"/>
      <c r="H18" s="3"/>
      <c r="I18" s="1"/>
      <c r="J18" s="1"/>
      <c r="K18" s="1"/>
      <c r="L18" s="34"/>
      <c r="M18" s="34"/>
      <c r="N18" s="34"/>
      <c r="O18" s="34"/>
    </row>
    <row r="19">
      <c r="B19" s="1" t="s">
        <v>110</v>
      </c>
      <c r="C19" s="18">
        <v>19.8</v>
      </c>
      <c r="D19" s="18">
        <v>21.1</v>
      </c>
      <c r="E19" s="18">
        <v>23.4</v>
      </c>
      <c r="F19" s="4">
        <f>G19-SUM(C19:E19)</f>
        <v>26.299999999999997</v>
      </c>
      <c r="G19" s="18">
        <v>90.6</v>
      </c>
      <c r="H19" s="3">
        <f>(C19+H52)*(1+H62)</f>
        <v>26</v>
      </c>
      <c r="I19" s="1"/>
      <c r="J19" s="1"/>
      <c r="K19" s="34">
        <v>92.6</v>
      </c>
      <c r="L19" s="34">
        <v>29.4</v>
      </c>
      <c r="M19" s="34">
        <v>22.8</v>
      </c>
      <c r="N19" s="34">
        <v>22.9</v>
      </c>
      <c r="O19" s="34">
        <v>17.5</v>
      </c>
    </row>
    <row r="20">
      <c r="B20" s="35" t="s">
        <v>105</v>
      </c>
      <c r="C20" s="8"/>
      <c r="D20" s="8"/>
      <c r="E20" s="8"/>
      <c r="F20" s="8"/>
      <c r="G20" s="8">
        <f>IFERROR(G19/K19-1,0)</f>
        <v>-0.021598272138228958</v>
      </c>
      <c r="H20" s="42">
        <f>IFERROR(H19/C19-1,0)</f>
        <v>0.31313131313131315</v>
      </c>
      <c r="I20" s="1"/>
      <c r="J20" s="1"/>
      <c r="K20" s="1"/>
    </row>
    <row r="21">
      <c r="B21" s="1" t="s">
        <v>106</v>
      </c>
      <c r="C21" s="4"/>
      <c r="D21" s="4">
        <f>D19-C19</f>
        <v>1.3000000000000007</v>
      </c>
      <c r="E21" s="4">
        <f>E19-D19</f>
        <v>2.299999999999997</v>
      </c>
      <c r="F21" s="4">
        <f>F19-E19</f>
        <v>2.8999999999999986</v>
      </c>
      <c r="G21" s="4"/>
      <c r="H21" s="3">
        <f>H19-F19</f>
        <v>-0.29999999999999716</v>
      </c>
      <c r="I21" s="1"/>
      <c r="J21" s="1"/>
      <c r="K21" s="1"/>
    </row>
    <row r="22">
      <c r="B22" s="35" t="s">
        <v>111</v>
      </c>
      <c r="C22" s="47">
        <f>IFERROR(C19/C29,0)</f>
        <v>0.08745583038869258</v>
      </c>
      <c r="D22" s="47">
        <f>IFERROR(D19/D29,0)</f>
        <v>0.08187815289095848</v>
      </c>
      <c r="E22" s="47">
        <f>IFERROR(E19/E29,0)</f>
        <v>0.08289054197662063</v>
      </c>
      <c r="F22" s="47">
        <f>IFERROR(F19/F29,0)</f>
        <v>0.0836513994910941</v>
      </c>
      <c r="G22" s="8">
        <f>IFERROR(G19/G29,0)</f>
        <v>0.08382679496669133</v>
      </c>
      <c r="H22" s="42">
        <f>IFERROR(H19/H29,0)</f>
        <v>0.09219858156028368</v>
      </c>
      <c r="I22" s="1"/>
      <c r="J22" s="1"/>
      <c r="K22" s="1"/>
    </row>
    <row r="23">
      <c r="B23" s="35" t="s">
        <v>108</v>
      </c>
      <c r="C23" s="4"/>
      <c r="D23" s="4">
        <f>(D22-C22)*10000</f>
        <v>-55.776774977340935</v>
      </c>
      <c r="E23" s="4">
        <f>(E22-D22)*10000</f>
        <v>10.123890856621465</v>
      </c>
      <c r="F23" s="4">
        <f>(F22-E22)*10000</f>
        <v>7.608575144734675</v>
      </c>
      <c r="G23" s="45">
        <f>(G22-K19/K29)*10000</f>
        <v>-156.36148105274293</v>
      </c>
      <c r="H23" s="46">
        <f>(H22-C22)*10000</f>
        <v>47.42751171591106</v>
      </c>
      <c r="I23" s="1"/>
      <c r="J23" s="1"/>
      <c r="K23" s="1"/>
    </row>
    <row r="24">
      <c r="B24" s="35" t="s">
        <v>62</v>
      </c>
      <c r="C24" s="8"/>
      <c r="D24" s="8"/>
      <c r="E24" s="8"/>
      <c r="F24" s="8"/>
      <c r="G24" s="8">
        <f>(1+G27)/((1+G25)*(1+G26))-1</f>
        <v>-0.021598272138228958</v>
      </c>
      <c r="H24" s="42">
        <f>(1+H27)/((1+H25)*(1+H26))-1</f>
        <v>0.31313131313131315</v>
      </c>
      <c r="I24" s="1"/>
      <c r="J24" s="1"/>
      <c r="K24" s="1"/>
    </row>
    <row r="25">
      <c r="B25" s="35" t="s">
        <v>63</v>
      </c>
      <c r="C25" s="8"/>
      <c r="D25" s="8"/>
      <c r="E25" s="8"/>
      <c r="F25" s="8"/>
      <c r="G25" s="48">
        <v>0</v>
      </c>
      <c r="H25" s="42">
        <f>IFERROR(H52/C19,0)</f>
        <v>0</v>
      </c>
      <c r="I25" s="1"/>
      <c r="J25" s="1"/>
      <c r="K25" s="1"/>
    </row>
    <row r="26">
      <c r="B26" s="35" t="s">
        <v>109</v>
      </c>
      <c r="C26" s="8"/>
      <c r="D26" s="8"/>
      <c r="E26" s="8"/>
      <c r="F26" s="8"/>
      <c r="G26" s="48">
        <v>0</v>
      </c>
      <c r="H26" s="44">
        <v>0</v>
      </c>
      <c r="I26" s="1"/>
      <c r="J26" s="1"/>
      <c r="K26" s="1"/>
    </row>
    <row r="27">
      <c r="B27" s="35" t="s">
        <v>84</v>
      </c>
      <c r="C27" s="8"/>
      <c r="D27" s="8"/>
      <c r="E27" s="8"/>
      <c r="F27" s="8"/>
      <c r="G27" s="8">
        <f>G20</f>
        <v>-0.021598272138228958</v>
      </c>
      <c r="H27" s="42">
        <f>H20</f>
        <v>0.31313131313131315</v>
      </c>
      <c r="I27" s="1"/>
      <c r="J27" s="1"/>
      <c r="K27" s="1"/>
    </row>
    <row r="28">
      <c r="B28" s="1"/>
      <c r="C28" s="4"/>
      <c r="D28" s="4"/>
      <c r="E28" s="4"/>
      <c r="F28" s="4"/>
      <c r="G28" s="4"/>
      <c r="H28" s="3"/>
      <c r="I28" s="1"/>
      <c r="J28" s="1"/>
      <c r="K28" s="1"/>
    </row>
    <row r="29">
      <c r="B29" s="17" t="s">
        <v>112</v>
      </c>
      <c r="C29" s="20">
        <f>SUM(C9,C19)</f>
        <v>226.4</v>
      </c>
      <c r="D29" s="20">
        <f>SUM(D9,D19)</f>
        <v>257.7</v>
      </c>
      <c r="E29" s="20">
        <f>SUM(E9,E19)</f>
        <v>282.29999999999995</v>
      </c>
      <c r="F29" s="20">
        <f>SUM(F9,F19)</f>
        <v>314.40000000000015</v>
      </c>
      <c r="G29" s="20">
        <f>SUM(G9,G19)</f>
        <v>1080.8</v>
      </c>
      <c r="H29" s="21">
        <f>SUM(H9,H19)</f>
        <v>282</v>
      </c>
      <c r="I29" s="1"/>
      <c r="J29" s="1"/>
      <c r="K29" s="1">
        <f>SUM(K9,K19)</f>
        <v>931</v>
      </c>
    </row>
    <row r="30">
      <c r="B30" s="35" t="s">
        <v>105</v>
      </c>
      <c r="C30" s="8"/>
      <c r="D30" s="8"/>
      <c r="E30" s="8"/>
      <c r="F30" s="8"/>
      <c r="G30" s="8">
        <f>G29/K29-1</f>
        <v>0.16090225563909777</v>
      </c>
      <c r="H30" s="42">
        <f>IFERROR(H29/C29-1,0)</f>
        <v>0.24558303886925792</v>
      </c>
      <c r="I30" s="1"/>
      <c r="J30" s="1"/>
      <c r="K30" s="1"/>
    </row>
    <row r="31">
      <c r="B31" s="1" t="s">
        <v>106</v>
      </c>
      <c r="C31" s="4"/>
      <c r="D31" s="4">
        <f>D29-C29</f>
        <v>31.299999999999983</v>
      </c>
      <c r="E31" s="4">
        <f>E29-D29</f>
        <v>24.599999999999966</v>
      </c>
      <c r="F31" s="4">
        <f>F29-E29</f>
        <v>32.10000000000019</v>
      </c>
      <c r="G31" s="4"/>
      <c r="H31" s="3">
        <f>H29-F29</f>
        <v>-32.40000000000015</v>
      </c>
      <c r="I31" s="1"/>
      <c r="J31" s="1"/>
      <c r="K31" s="1"/>
    </row>
    <row r="32">
      <c r="B32" s="35" t="s">
        <v>113</v>
      </c>
      <c r="C32" s="27">
        <f>IFERROR(C29/'Revenue summary'!C29,0)</f>
        <v>0.3061114115738237</v>
      </c>
      <c r="D32" s="27">
        <f>IFERROR(D29/'Revenue summary'!D29,0)</f>
        <v>0.32402866842700867</v>
      </c>
      <c r="E32" s="27">
        <f>IFERROR(E29/'Revenue summary'!E29,0)</f>
        <v>0.33404330848420305</v>
      </c>
      <c r="F32" s="27">
        <f>IFERROR(F29/'Revenue summary'!F29,0)</f>
        <v>0.33879310344827596</v>
      </c>
      <c r="G32" s="27">
        <f>IFERROR(G29/'Revenue summary'!G29,0)</f>
        <v>0.32672309552599754</v>
      </c>
      <c r="H32" s="49">
        <f>IFERROR(H29/'Revenue summary'!H29,0)</f>
        <v>0.3190045248868778</v>
      </c>
      <c r="I32" s="1"/>
      <c r="J32" s="1"/>
      <c r="K32" s="1"/>
    </row>
    <row r="33">
      <c r="B33" s="35" t="s">
        <v>108</v>
      </c>
      <c r="C33" s="4"/>
      <c r="D33" s="4">
        <f>(D32-C32)*10000</f>
        <v>179.1725685318496</v>
      </c>
      <c r="E33" s="4">
        <f>(E32-D32)*10000</f>
        <v>100.1464005719438</v>
      </c>
      <c r="F33" s="4">
        <f>(F32-E32)*10000</f>
        <v>47.49794964072906</v>
      </c>
      <c r="G33" s="4"/>
      <c r="H33" s="3">
        <f>(H32-C32)*10000</f>
        <v>128.93113313054096</v>
      </c>
      <c r="I33" s="1"/>
      <c r="J33" s="1"/>
      <c r="K33" s="1"/>
    </row>
    <row r="34">
      <c r="B34" s="35" t="s">
        <v>62</v>
      </c>
      <c r="C34" s="8"/>
      <c r="D34" s="8"/>
      <c r="E34" s="8"/>
      <c r="F34" s="8"/>
      <c r="G34" s="8">
        <f>(1+G37)/((1+G35)*(1+G36))-1</f>
        <v>0.017606628377742295</v>
      </c>
      <c r="H34" s="42">
        <f>(1+H37)/((1+H35)*(1+H36))-1</f>
        <v>0.05855855855855863</v>
      </c>
      <c r="I34" s="1"/>
      <c r="J34" s="1"/>
      <c r="K34" s="1"/>
    </row>
    <row r="35">
      <c r="B35" s="35" t="s">
        <v>63</v>
      </c>
      <c r="C35" s="8"/>
      <c r="D35" s="8"/>
      <c r="E35" s="8"/>
      <c r="F35" s="8"/>
      <c r="G35" s="8">
        <f>K53/K29</f>
        <v>0.14081632653061224</v>
      </c>
      <c r="H35" s="42">
        <f>H51/C29</f>
        <v>0.17667844522968199</v>
      </c>
      <c r="I35" s="1"/>
      <c r="J35" s="1"/>
      <c r="K35" s="1"/>
    </row>
    <row r="36">
      <c r="B36" s="35" t="s">
        <v>109</v>
      </c>
      <c r="C36" s="8"/>
      <c r="D36" s="8"/>
      <c r="E36" s="8"/>
      <c r="F36" s="8"/>
      <c r="G36" s="48">
        <v>0</v>
      </c>
      <c r="H36" s="44">
        <v>0</v>
      </c>
      <c r="I36" s="1"/>
      <c r="J36" s="1"/>
      <c r="K36" s="1"/>
    </row>
    <row r="37">
      <c r="B37" s="35" t="s">
        <v>84</v>
      </c>
      <c r="C37" s="8"/>
      <c r="D37" s="8"/>
      <c r="E37" s="8"/>
      <c r="F37" s="8"/>
      <c r="G37" s="8">
        <f>G30</f>
        <v>0.16090225563909777</v>
      </c>
      <c r="H37" s="42">
        <f>H30</f>
        <v>0.24558303886925792</v>
      </c>
      <c r="I37" s="1"/>
      <c r="J37" s="1"/>
      <c r="K37" s="1"/>
    </row>
    <row r="38">
      <c r="B38" s="1"/>
      <c r="C38" s="4"/>
      <c r="D38" s="4"/>
      <c r="E38" s="4"/>
      <c r="F38" s="4"/>
      <c r="G38" s="4"/>
      <c r="H38" s="3"/>
      <c r="I38" s="1"/>
      <c r="J38" s="1"/>
      <c r="K38" s="1"/>
    </row>
    <row r="39">
      <c r="B39" s="17" t="s">
        <v>114</v>
      </c>
      <c r="C39" s="5">
        <v>20</v>
      </c>
      <c r="D39" s="5">
        <v>23.3</v>
      </c>
      <c r="E39" s="5">
        <v>19.6</v>
      </c>
      <c r="F39" s="5">
        <v>21.7</v>
      </c>
      <c r="G39" s="5">
        <v>84.6</v>
      </c>
      <c r="H39" s="21">
        <f>H29*H42</f>
        <v>21.714</v>
      </c>
      <c r="I39" s="1"/>
      <c r="J39" s="1"/>
      <c r="K39" s="1">
        <v>84</v>
      </c>
    </row>
    <row r="40">
      <c r="B40" s="35" t="s">
        <v>115</v>
      </c>
      <c r="C40" s="8">
        <f>IFERROR(C39/C29,0)</f>
        <v>0.08833922261484099</v>
      </c>
      <c r="D40" s="8">
        <f>IFERROR(D39/D29,0)</f>
        <v>0.09041521148622429</v>
      </c>
      <c r="E40" s="8">
        <f>IFERROR(E39/E29,0)</f>
        <v>0.06942968473255404</v>
      </c>
      <c r="F40" s="8">
        <f>IFERROR(F39/F29,0)</f>
        <v>0.06902035623409666</v>
      </c>
      <c r="G40" s="8">
        <f>IFERROR(G39/G29,0)</f>
        <v>0.07827535159141377</v>
      </c>
      <c r="H40" s="42">
        <f>IFERROR(H39/H29,0)</f>
        <v>0.077</v>
      </c>
      <c r="I40" s="1"/>
      <c r="J40" s="1"/>
      <c r="K40" s="1"/>
    </row>
    <row r="41">
      <c r="B41" s="35" t="s">
        <v>116</v>
      </c>
      <c r="C41" s="4"/>
      <c r="D41" s="4">
        <f>(D40-C40)*10000</f>
        <v>20.759888713832996</v>
      </c>
      <c r="E41" s="4">
        <f>(E40-D40)*10000</f>
        <v>-209.85526753670254</v>
      </c>
      <c r="F41" s="4">
        <f>(F40-E40)*10000</f>
        <v>-4.093284984573731</v>
      </c>
      <c r="G41" s="4">
        <f>(G40-K39/K29)*10000</f>
        <v>-119.50212318360659</v>
      </c>
      <c r="H41" s="3">
        <f>(H40-C40)*10000</f>
        <v>-113.39222614840993</v>
      </c>
      <c r="I41" s="1"/>
      <c r="J41" s="1"/>
      <c r="K41" s="1"/>
    </row>
    <row r="42">
      <c r="B42" s="35" t="s">
        <v>117</v>
      </c>
      <c r="C42" s="8"/>
      <c r="D42" s="8"/>
      <c r="E42" s="8"/>
      <c r="F42" s="8"/>
      <c r="G42" s="8"/>
      <c r="H42" s="44">
        <v>0.077</v>
      </c>
      <c r="I42" s="1"/>
      <c r="J42" s="1"/>
      <c r="K42" s="1"/>
    </row>
    <row r="43">
      <c r="B43" s="1" t="s">
        <v>118</v>
      </c>
      <c r="C43" s="4"/>
      <c r="D43" s="4"/>
      <c r="E43" s="4"/>
      <c r="F43" s="4"/>
      <c r="G43" s="4"/>
      <c r="H43" s="3"/>
      <c r="I43" s="1"/>
      <c r="J43" s="1" t="s">
        <v>119</v>
      </c>
      <c r="K43" s="1"/>
    </row>
    <row r="44">
      <c r="B44" s="1" t="s">
        <v>163</v>
      </c>
      <c r="C44" s="4" t="s">
        <v>38</v>
      </c>
      <c r="D44" s="4" t="s">
        <v>38</v>
      </c>
      <c r="E44" s="4" t="s">
        <v>38</v>
      </c>
      <c r="F44" s="4" t="s">
        <v>38</v>
      </c>
      <c r="G44" s="4" t="s">
        <v>38</v>
      </c>
      <c r="H44" s="3" t="s">
        <v>38</v>
      </c>
      <c r="I44" s="1"/>
      <c r="J44" s="1" t="s">
        <v>164</v>
      </c>
      <c r="K44" s="1"/>
    </row>
    <row r="45">
      <c r="B45" s="1" t="s">
        <v>165</v>
      </c>
      <c r="C45" s="4" t="s">
        <v>38</v>
      </c>
      <c r="D45" s="4" t="s">
        <v>38</v>
      </c>
      <c r="E45" s="4" t="s">
        <v>38</v>
      </c>
      <c r="F45" s="4" t="s">
        <v>38</v>
      </c>
      <c r="G45" s="4" t="s">
        <v>38</v>
      </c>
      <c r="H45" s="3" t="s">
        <v>38</v>
      </c>
      <c r="I45" s="1"/>
      <c r="J45" s="1"/>
      <c r="K45" s="1"/>
    </row>
    <row r="46">
      <c r="B46" s="17" t="s">
        <v>123</v>
      </c>
      <c r="C46" s="20"/>
      <c r="D46" s="20"/>
      <c r="E46" s="20"/>
      <c r="F46" s="20"/>
      <c r="G46" s="20"/>
      <c r="H46" s="21"/>
      <c r="I46" s="1"/>
      <c r="J46" s="1"/>
      <c r="K46" s="1"/>
    </row>
    <row r="47">
      <c r="B47" s="1"/>
      <c r="C47" s="4"/>
      <c r="D47" s="4"/>
      <c r="E47" s="4"/>
      <c r="F47" s="4"/>
      <c r="G47" s="4"/>
      <c r="H47" s="3"/>
      <c r="I47" s="1"/>
      <c r="J47" s="1"/>
      <c r="K47" s="1"/>
    </row>
    <row r="48">
      <c r="B48" s="35" t="s">
        <v>124</v>
      </c>
      <c r="C48" s="8">
        <f>IFERROR(C9/C29,0)</f>
        <v>0.9125441696113074</v>
      </c>
      <c r="D48" s="8">
        <f>IFERROR(D9/D29,0)</f>
        <v>0.9181218471090415</v>
      </c>
      <c r="E48" s="8">
        <f>IFERROR(E9/E29,0)</f>
        <v>0.9171094580233794</v>
      </c>
      <c r="F48" s="8">
        <f>IFERROR(F9/F29,0)</f>
        <v>0.9163486005089059</v>
      </c>
      <c r="G48" s="8">
        <f>IFERROR(G9/G29,0)</f>
        <v>0.9161732050333088</v>
      </c>
      <c r="H48" s="42">
        <f>IFERROR(H9/H29,0)</f>
        <v>0.9078014184397162</v>
      </c>
      <c r="I48" s="1"/>
      <c r="J48" s="1"/>
      <c r="K48" s="1"/>
    </row>
    <row r="49">
      <c r="B49" s="35" t="s">
        <v>125</v>
      </c>
      <c r="C49" s="45"/>
      <c r="D49" s="45"/>
      <c r="E49" s="45"/>
      <c r="F49" s="45"/>
      <c r="G49" s="45"/>
      <c r="H49" s="46">
        <f>(H48-C48)*10000</f>
        <v>-47.42751171591175</v>
      </c>
      <c r="I49" s="1"/>
      <c r="J49" s="1"/>
      <c r="K49" s="1"/>
    </row>
    <row r="50">
      <c r="B50" s="35" t="s">
        <v>126</v>
      </c>
      <c r="C50" s="4"/>
      <c r="D50" s="4">
        <f>(D48-C48)*10000</f>
        <v>55.7767749773419</v>
      </c>
      <c r="E50" s="4">
        <f>(E48-D48)*10000</f>
        <v>-10.123890856621465</v>
      </c>
      <c r="F50" s="4">
        <f>(F48-E48)*10000</f>
        <v>-7.60857514473523</v>
      </c>
      <c r="G50" s="4"/>
      <c r="H50" s="3">
        <f>(H48-F48)*10000</f>
        <v>-85.47182069189697</v>
      </c>
      <c r="I50" s="1"/>
      <c r="J50" s="1"/>
      <c r="K50" s="1"/>
    </row>
    <row r="51">
      <c r="B51" s="6" t="s">
        <v>127</v>
      </c>
      <c r="C51" s="6"/>
      <c r="D51" s="6"/>
      <c r="E51" s="6"/>
      <c r="F51" s="6"/>
      <c r="G51" s="6"/>
      <c r="H51" s="43">
        <v>40</v>
      </c>
      <c r="I51" s="6"/>
      <c r="J51" s="6" t="s">
        <v>128</v>
      </c>
      <c r="K51" s="34"/>
    </row>
    <row r="52">
      <c r="B52" s="6" t="s">
        <v>129</v>
      </c>
      <c r="C52" s="6"/>
      <c r="D52" s="6"/>
      <c r="E52" s="6"/>
      <c r="F52" s="6"/>
      <c r="G52" s="6"/>
      <c r="H52" s="43">
        <v>0</v>
      </c>
      <c r="I52" s="6"/>
      <c r="J52" s="6"/>
      <c r="K52" s="1"/>
    </row>
    <row r="53">
      <c r="B53" s="6" t="s">
        <v>130</v>
      </c>
      <c r="C53" s="6"/>
      <c r="D53" s="6"/>
      <c r="E53" s="6"/>
      <c r="F53" s="6"/>
      <c r="G53" s="6"/>
      <c r="H53" s="13"/>
      <c r="I53" s="6"/>
      <c r="J53" s="6"/>
      <c r="K53" s="34">
        <v>131.1</v>
      </c>
    </row>
    <row r="54">
      <c r="B54" s="6"/>
      <c r="C54" s="6"/>
      <c r="D54" s="6"/>
      <c r="E54" s="6"/>
      <c r="F54" s="6"/>
      <c r="G54" s="6"/>
      <c r="H54" s="13"/>
      <c r="I54" s="6"/>
      <c r="J54" s="6"/>
      <c r="K54" s="6"/>
    </row>
    <row r="55">
      <c r="B55" s="6"/>
      <c r="C55" s="6"/>
      <c r="D55" s="6"/>
      <c r="E55" s="6"/>
      <c r="F55" s="6"/>
      <c r="G55" s="6"/>
      <c r="H55" s="13"/>
      <c r="I55" s="6"/>
      <c r="J55" s="6"/>
      <c r="K55" s="6"/>
    </row>
    <row r="56">
      <c r="B56" s="6"/>
      <c r="C56" s="6"/>
      <c r="D56" s="6"/>
      <c r="E56" s="6"/>
      <c r="F56" s="6"/>
      <c r="G56" s="6"/>
      <c r="H56" s="13"/>
      <c r="I56" s="6"/>
      <c r="J56" s="6"/>
      <c r="K56" s="6"/>
    </row>
    <row r="57">
      <c r="B57" s="1" t="s">
        <v>131</v>
      </c>
      <c r="C57" s="1"/>
      <c r="D57" s="1"/>
      <c r="E57" s="1"/>
      <c r="F57" s="1"/>
      <c r="G57" s="1"/>
      <c r="H57" s="36"/>
      <c r="I57" s="1"/>
      <c r="J57" s="1"/>
      <c r="K57" s="1"/>
    </row>
    <row r="58">
      <c r="B58" s="1" t="s">
        <v>132</v>
      </c>
      <c r="C58" s="4">
        <f>C29</f>
        <v>226.4</v>
      </c>
      <c r="D58" s="1"/>
      <c r="E58" s="1"/>
      <c r="F58" s="1"/>
      <c r="G58" s="1"/>
      <c r="H58" s="3">
        <f>C29</f>
        <v>226.4</v>
      </c>
      <c r="I58" s="1"/>
      <c r="J58" s="1"/>
      <c r="K58" s="1"/>
    </row>
    <row r="59">
      <c r="B59" s="1" t="s">
        <v>133</v>
      </c>
      <c r="C59" s="1"/>
      <c r="D59" s="1"/>
      <c r="E59" s="1"/>
      <c r="F59" s="1"/>
      <c r="G59" s="1"/>
      <c r="H59" s="36">
        <f>SUM((C9+H51-H52)*H61,(C19+H52)*H62)</f>
        <v>15.59999999999998</v>
      </c>
      <c r="I59" s="1"/>
      <c r="J59" s="1"/>
      <c r="K59" s="1"/>
    </row>
    <row r="60">
      <c r="B60" s="1" t="s">
        <v>134</v>
      </c>
      <c r="C60" s="1"/>
      <c r="D60" s="1"/>
      <c r="E60" s="1"/>
      <c r="F60" s="1"/>
      <c r="G60" s="1"/>
      <c r="H60" s="3">
        <f>H51</f>
        <v>40</v>
      </c>
      <c r="I60" s="1"/>
      <c r="J60" s="1"/>
      <c r="K60" s="1"/>
    </row>
    <row r="61">
      <c r="B61" s="35" t="s">
        <v>135</v>
      </c>
      <c r="C61" s="8"/>
      <c r="D61" s="8"/>
      <c r="E61" s="8"/>
      <c r="F61" s="8"/>
      <c r="G61" s="8"/>
      <c r="H61" s="44">
        <v>0.03811841038118402</v>
      </c>
      <c r="I61" s="1"/>
      <c r="J61" s="1" t="s">
        <v>136</v>
      </c>
      <c r="K61" s="1"/>
    </row>
    <row r="62">
      <c r="B62" s="35" t="s">
        <v>137</v>
      </c>
      <c r="C62" s="8"/>
      <c r="D62" s="8"/>
      <c r="E62" s="8"/>
      <c r="F62" s="8"/>
      <c r="G62" s="8"/>
      <c r="H62" s="44">
        <v>0.31313131313131315</v>
      </c>
      <c r="I62" s="1"/>
      <c r="J62" s="1"/>
      <c r="K62" s="1"/>
    </row>
    <row r="63">
      <c r="B63" s="1" t="s">
        <v>138</v>
      </c>
      <c r="C63" s="1"/>
      <c r="D63" s="1"/>
      <c r="E63" s="1"/>
      <c r="F63" s="1"/>
      <c r="G63" s="1"/>
      <c r="H63" s="3">
        <f>H29-SUM(H58:H60)</f>
        <v>0</v>
      </c>
      <c r="I63" s="1"/>
      <c r="J63" s="1"/>
      <c r="K63" s="1"/>
    </row>
    <row r="64">
      <c r="B64" s="1"/>
      <c r="C64" s="1"/>
      <c r="D64" s="1"/>
      <c r="E64" s="1"/>
      <c r="F64" s="1"/>
      <c r="G64" s="1"/>
      <c r="H64" s="36"/>
      <c r="I64" s="1"/>
      <c r="J64" s="1"/>
      <c r="K64" s="1"/>
    </row>
    <row r="65">
      <c r="B65" s="1" t="s">
        <v>139</v>
      </c>
      <c r="C65" s="1"/>
      <c r="D65" s="1"/>
      <c r="E65" s="1"/>
      <c r="F65" s="1"/>
      <c r="G65" s="1"/>
      <c r="H65" s="36"/>
      <c r="I65" s="1"/>
      <c r="J65" s="1"/>
      <c r="K65" s="1"/>
    </row>
    <row r="66">
      <c r="B66" s="1"/>
      <c r="C66" s="1"/>
      <c r="D66" s="1"/>
      <c r="E66" s="1"/>
      <c r="F66" s="1"/>
      <c r="G66" s="1"/>
      <c r="H66" s="36"/>
      <c r="I66" s="1"/>
      <c r="J66" s="1"/>
      <c r="K66" s="1"/>
    </row>
    <row r="67">
      <c r="B67" s="1" t="s">
        <v>140</v>
      </c>
      <c r="C67" s="1" t="s">
        <v>38</v>
      </c>
      <c r="D67" s="1" t="s">
        <v>38</v>
      </c>
      <c r="E67" s="1" t="s">
        <v>38</v>
      </c>
      <c r="F67" s="1" t="s">
        <v>38</v>
      </c>
      <c r="G67" s="1" t="s">
        <v>38</v>
      </c>
      <c r="H67" s="36" t="s">
        <v>38</v>
      </c>
      <c r="I67" s="1"/>
      <c r="J67" s="1" t="s">
        <v>141</v>
      </c>
      <c r="K67" s="1"/>
    </row>
    <row r="68">
      <c r="B68" s="1" t="s">
        <v>142</v>
      </c>
      <c r="C68" s="1" t="s">
        <v>38</v>
      </c>
      <c r="D68" s="1" t="s">
        <v>38</v>
      </c>
      <c r="E68" s="1" t="s">
        <v>38</v>
      </c>
      <c r="F68" s="1" t="s">
        <v>38</v>
      </c>
      <c r="G68" s="1" t="s">
        <v>38</v>
      </c>
      <c r="H68" s="36" t="s">
        <v>38</v>
      </c>
      <c r="I68" s="1"/>
      <c r="J68" s="1"/>
      <c r="K68" s="1"/>
    </row>
    <row r="69">
      <c r="B69" s="1" t="s">
        <v>143</v>
      </c>
      <c r="C69" s="1" t="s">
        <v>38</v>
      </c>
      <c r="D69" s="1" t="s">
        <v>38</v>
      </c>
      <c r="E69" s="1" t="s">
        <v>38</v>
      </c>
      <c r="F69" s="1" t="s">
        <v>38</v>
      </c>
      <c r="G69" s="1" t="s">
        <v>38</v>
      </c>
      <c r="H69" s="36" t="s">
        <v>38</v>
      </c>
      <c r="I69" s="1"/>
      <c r="J69" s="1"/>
      <c r="K69" s="1"/>
    </row>
    <row r="70">
      <c r="B70" s="1" t="s">
        <v>144</v>
      </c>
      <c r="C70" s="1" t="s">
        <v>38</v>
      </c>
      <c r="D70" s="1" t="s">
        <v>38</v>
      </c>
      <c r="E70" s="1" t="s">
        <v>38</v>
      </c>
      <c r="F70" s="1" t="s">
        <v>38</v>
      </c>
      <c r="G70" s="1" t="s">
        <v>38</v>
      </c>
      <c r="H70" s="36" t="s">
        <v>38</v>
      </c>
      <c r="I70" s="1"/>
      <c r="J70" s="1"/>
      <c r="K70" s="1"/>
    </row>
    <row r="71">
      <c r="B71" s="1" t="s">
        <v>145</v>
      </c>
      <c r="C71" s="1" t="s">
        <v>38</v>
      </c>
      <c r="D71" s="1" t="s">
        <v>38</v>
      </c>
      <c r="E71" s="1" t="s">
        <v>38</v>
      </c>
      <c r="F71" s="1" t="s">
        <v>38</v>
      </c>
      <c r="G71" s="1" t="s">
        <v>38</v>
      </c>
      <c r="H71" s="36" t="s">
        <v>38</v>
      </c>
      <c r="I71" s="1"/>
      <c r="J71" s="1"/>
      <c r="K71" s="1"/>
    </row>
    <row r="72">
      <c r="B72" s="1" t="s">
        <v>146</v>
      </c>
      <c r="C72" s="1" t="s">
        <v>38</v>
      </c>
      <c r="D72" s="1" t="s">
        <v>38</v>
      </c>
      <c r="E72" s="1" t="s">
        <v>38</v>
      </c>
      <c r="F72" s="1" t="s">
        <v>38</v>
      </c>
      <c r="G72" s="1" t="s">
        <v>38</v>
      </c>
      <c r="H72" s="36" t="s">
        <v>38</v>
      </c>
      <c r="I72" s="1"/>
      <c r="J72" s="1"/>
      <c r="K72" s="1"/>
    </row>
    <row r="73">
      <c r="B73" s="6"/>
      <c r="C73" s="6"/>
      <c r="D73" s="6"/>
      <c r="E73" s="6"/>
      <c r="F73" s="6"/>
      <c r="G73" s="6"/>
      <c r="H73" s="13"/>
      <c r="I73" s="6"/>
      <c r="J73" s="6"/>
      <c r="K73" s="6"/>
    </row>
    <row r="74">
      <c r="B74" s="1" t="s">
        <v>147</v>
      </c>
      <c r="C74" s="1"/>
      <c r="D74" s="1"/>
      <c r="E74" s="1"/>
      <c r="F74" s="1"/>
      <c r="G74" s="1"/>
      <c r="H74" s="3">
        <f>H58</f>
        <v>226.4</v>
      </c>
    </row>
    <row r="75">
      <c r="B75" s="35" t="s">
        <v>148</v>
      </c>
      <c r="C75" s="1"/>
      <c r="D75" s="1"/>
      <c r="E75" s="1"/>
      <c r="F75" s="1"/>
      <c r="G75" s="1"/>
      <c r="H75" s="42">
        <f>H74/C29-1</f>
        <v>0</v>
      </c>
    </row>
    <row r="76">
      <c r="B76" s="1" t="s">
        <v>149</v>
      </c>
      <c r="C76" s="1"/>
      <c r="D76" s="1"/>
      <c r="E76" s="1"/>
      <c r="F76" s="1"/>
      <c r="G76" s="1"/>
      <c r="H76" s="3">
        <f>H74-F29</f>
        <v>-88.00000000000014</v>
      </c>
    </row>
    <row r="77">
      <c r="B77" s="1" t="s">
        <v>150</v>
      </c>
      <c r="C77" s="1"/>
      <c r="D77" s="1"/>
      <c r="E77" s="1"/>
      <c r="F77" s="1"/>
      <c r="G77" s="1"/>
      <c r="H77" s="3">
        <f>H59</f>
        <v>15.59999999999998</v>
      </c>
    </row>
    <row r="78">
      <c r="B78" s="35" t="s">
        <v>151</v>
      </c>
      <c r="C78" s="1"/>
      <c r="D78" s="1"/>
      <c r="E78" s="1"/>
      <c r="F78" s="1"/>
      <c r="G78" s="1"/>
      <c r="H78" s="42">
        <f>H77/C29</f>
        <v>0.06890459363957588</v>
      </c>
    </row>
    <row r="79">
      <c r="B79" s="1" t="s">
        <v>152</v>
      </c>
      <c r="C79" s="1"/>
      <c r="D79" s="1"/>
      <c r="E79" s="1"/>
      <c r="F79" s="1"/>
      <c r="G79" s="1"/>
      <c r="H79" s="3" t="s">
        <v>38</v>
      </c>
    </row>
    <row r="80">
      <c r="B80" s="1" t="s">
        <v>153</v>
      </c>
      <c r="C80" s="1"/>
      <c r="D80" s="1"/>
      <c r="E80" s="1"/>
      <c r="F80" s="1"/>
      <c r="G80" s="1"/>
      <c r="H80" s="3">
        <f>H60</f>
        <v>40</v>
      </c>
    </row>
    <row r="81">
      <c r="B81" s="35" t="s">
        <v>151</v>
      </c>
      <c r="C81" s="1"/>
      <c r="D81" s="1"/>
      <c r="E81" s="1"/>
      <c r="F81" s="1"/>
      <c r="G81" s="1"/>
      <c r="H81" s="42">
        <f>H80/C29</f>
        <v>0.17667844522968199</v>
      </c>
    </row>
    <row r="82">
      <c r="B82" s="1" t="s">
        <v>154</v>
      </c>
      <c r="C82" s="1"/>
      <c r="D82" s="1"/>
      <c r="E82" s="1"/>
      <c r="F82" s="1"/>
      <c r="G82" s="1"/>
      <c r="H82" s="3" t="s">
        <v>38</v>
      </c>
    </row>
    <row r="83">
      <c r="B83" s="35" t="s">
        <v>155</v>
      </c>
      <c r="C83" s="1"/>
      <c r="D83" s="1"/>
      <c r="E83" s="1"/>
      <c r="F83" s="1"/>
      <c r="G83" s="1"/>
      <c r="H83" s="42">
        <f>H61</f>
        <v>0.03811841038118402</v>
      </c>
      <c r="J83" t="s">
        <v>156</v>
      </c>
    </row>
    <row r="84">
      <c r="B84" s="1" t="s">
        <v>157</v>
      </c>
      <c r="C84" s="1"/>
      <c r="D84" s="1"/>
      <c r="E84" s="1"/>
      <c r="F84" s="1"/>
      <c r="G84" s="1"/>
      <c r="H84" s="3" t="s">
        <v>38</v>
      </c>
    </row>
    <row r="85">
      <c r="B85" s="1" t="s">
        <v>158</v>
      </c>
      <c r="C85" s="1"/>
      <c r="D85" s="1"/>
      <c r="E85" s="1"/>
      <c r="F85" s="1"/>
      <c r="G85" s="1"/>
      <c r="H85" s="3" t="s">
        <v>38</v>
      </c>
    </row>
    <row r="86">
      <c r="B86" s="35" t="s">
        <v>159</v>
      </c>
      <c r="C86" s="1"/>
      <c r="D86" s="1"/>
      <c r="E86" s="1"/>
      <c r="F86" s="1"/>
      <c r="G86" s="1"/>
      <c r="H86" s="42">
        <f>H62</f>
        <v>0.31313131313131315</v>
      </c>
    </row>
    <row r="87">
      <c r="B87" s="1" t="s">
        <v>157</v>
      </c>
      <c r="C87" s="1"/>
      <c r="D87" s="1"/>
      <c r="E87" s="1"/>
      <c r="F87" s="1"/>
      <c r="G87" s="1"/>
      <c r="H87" s="3" t="s">
        <v>38</v>
      </c>
    </row>
    <row r="88">
      <c r="B88" s="1" t="s">
        <v>158</v>
      </c>
      <c r="C88" s="1"/>
      <c r="D88" s="1"/>
      <c r="E88" s="1"/>
      <c r="F88" s="1"/>
      <c r="G88" s="1"/>
      <c r="H88" s="3" t="s">
        <v>38</v>
      </c>
    </row>
    <row r="89">
      <c r="B89" s="1" t="s">
        <v>160</v>
      </c>
      <c r="C89" s="1"/>
      <c r="D89" s="1"/>
      <c r="E89" s="1"/>
      <c r="F89" s="1"/>
      <c r="G89" s="1"/>
      <c r="H89" s="3">
        <f>SUM(H74,H77,H80)</f>
        <v>282</v>
      </c>
    </row>
    <row r="90">
      <c r="B90" s="1" t="s">
        <v>161</v>
      </c>
      <c r="C90" s="1"/>
      <c r="D90" s="1"/>
      <c r="E90" s="1"/>
      <c r="F90" s="1"/>
      <c r="G90" s="1"/>
      <c r="H90" s="3">
        <f>H89-H29</f>
        <v>0</v>
      </c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O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8" customWidth="1"/>
    <col min="11" max="11" width="25" customWidth="1"/>
    <col min="12" max="15" width="14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166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 t="s">
        <v>98</v>
      </c>
      <c r="L8" s="1" t="s">
        <v>99</v>
      </c>
      <c r="M8" s="1" t="s">
        <v>100</v>
      </c>
      <c r="N8" s="1" t="s">
        <v>101</v>
      </c>
      <c r="O8" s="1" t="s">
        <v>102</v>
      </c>
    </row>
    <row r="9">
      <c r="B9" s="1" t="s">
        <v>103</v>
      </c>
      <c r="C9" s="18">
        <v>0.7</v>
      </c>
      <c r="D9" s="18">
        <v>1.2</v>
      </c>
      <c r="E9" s="18">
        <v>1.3</v>
      </c>
      <c r="F9" s="4">
        <f>G9-SUM(C9:E9)</f>
        <v>0.09999999999999964</v>
      </c>
      <c r="G9" s="18">
        <v>3.3</v>
      </c>
      <c r="H9" s="3">
        <f>(C9+H51-H52)*(1+H61)</f>
        <v>1</v>
      </c>
      <c r="I9" s="1"/>
      <c r="J9" s="1" t="s">
        <v>104</v>
      </c>
      <c r="K9" s="34">
        <v>4</v>
      </c>
      <c r="L9" s="34">
        <v>1.3</v>
      </c>
      <c r="M9" s="34">
        <v>0.7</v>
      </c>
      <c r="N9" s="34">
        <v>1.6</v>
      </c>
      <c r="O9" s="34">
        <v>0.4</v>
      </c>
    </row>
    <row r="10">
      <c r="B10" s="35" t="s">
        <v>105</v>
      </c>
      <c r="C10" s="8"/>
      <c r="D10" s="8"/>
      <c r="E10" s="8"/>
      <c r="F10" s="8"/>
      <c r="G10" s="8">
        <f>IFERROR(G9/K9-1,0)</f>
        <v>-0.17500000000000004</v>
      </c>
      <c r="H10" s="42">
        <f>IFERROR(H9/C9-1,0)</f>
        <v>0.4285714285714286</v>
      </c>
      <c r="I10" s="1"/>
      <c r="J10" s="1"/>
      <c r="K10" s="1"/>
      <c r="L10" s="34"/>
      <c r="M10" s="34"/>
      <c r="N10" s="34"/>
      <c r="O10" s="34"/>
    </row>
    <row r="11">
      <c r="B11" s="1" t="s">
        <v>106</v>
      </c>
      <c r="C11" s="4"/>
      <c r="D11" s="4">
        <f>D9-C9</f>
        <v>0.5</v>
      </c>
      <c r="E11" s="4">
        <f>E9-D9</f>
        <v>0.10000000000000009</v>
      </c>
      <c r="F11" s="4">
        <f>F9-E9</f>
        <v>-1.2000000000000004</v>
      </c>
      <c r="G11" s="4"/>
      <c r="H11" s="3">
        <f>H9-F9</f>
        <v>0.9000000000000004</v>
      </c>
      <c r="I11" s="1"/>
      <c r="J11" s="1"/>
      <c r="K11" s="1"/>
      <c r="L11" s="34"/>
      <c r="M11" s="34"/>
      <c r="N11" s="34"/>
      <c r="O11" s="34"/>
    </row>
    <row r="12">
      <c r="B12" s="35" t="s">
        <v>107</v>
      </c>
      <c r="C12" s="47">
        <f>IFERROR(C9/C29,0)</f>
        <v>0.005227781926811053</v>
      </c>
      <c r="D12" s="47">
        <f>IFERROR(D9/D29,0)</f>
        <v>0.009716599190283401</v>
      </c>
      <c r="E12" s="47">
        <f>IFERROR(E9/E29,0)</f>
        <v>0.011333914559721011</v>
      </c>
      <c r="F12" s="47">
        <f>IFERROR(F9/F29,0)</f>
        <v>0.0007680491551459265</v>
      </c>
      <c r="G12" s="8">
        <f>IFERROR(G9/G29,0)</f>
        <v>0.006569779016523989</v>
      </c>
      <c r="H12" s="42">
        <f>IFERROR(H9/H29,0)</f>
        <v>0.007352941176470588</v>
      </c>
      <c r="I12" s="1"/>
      <c r="J12" s="1"/>
      <c r="K12" s="1"/>
      <c r="L12" s="34"/>
      <c r="M12" s="34"/>
      <c r="N12" s="34"/>
      <c r="O12" s="34"/>
    </row>
    <row r="13">
      <c r="B13" s="35" t="s">
        <v>108</v>
      </c>
      <c r="C13" s="4"/>
      <c r="D13" s="4">
        <f>(D12-C12)*10000</f>
        <v>44.88817263472348</v>
      </c>
      <c r="E13" s="4">
        <f>(E12-D12)*10000</f>
        <v>16.1731536943761</v>
      </c>
      <c r="F13" s="4">
        <f>(F12-E12)*10000</f>
        <v>-105.65865404575084</v>
      </c>
      <c r="G13" s="45">
        <f>(G12-K9/K29)*10000</f>
        <v>-15.04504390823609</v>
      </c>
      <c r="H13" s="46">
        <f>(H12-C12)*10000</f>
        <v>21.25159249659535</v>
      </c>
      <c r="I13" s="1"/>
      <c r="J13" s="1"/>
      <c r="K13" s="1"/>
      <c r="L13" s="34"/>
      <c r="M13" s="34"/>
      <c r="N13" s="34"/>
      <c r="O13" s="34"/>
    </row>
    <row r="14">
      <c r="B14" s="35" t="s">
        <v>62</v>
      </c>
      <c r="C14" s="8"/>
      <c r="D14" s="8"/>
      <c r="E14" s="8"/>
      <c r="F14" s="8"/>
      <c r="G14" s="8">
        <f>(1+G17)/((1+G15)*(1+G16))-1</f>
        <v>-0.17500000000000004</v>
      </c>
      <c r="H14" s="42">
        <f>(1+H17)/((1+H15)*(1+H16))-1</f>
        <v>0.4285714285714286</v>
      </c>
      <c r="I14" s="1"/>
      <c r="J14" s="1"/>
      <c r="K14" s="1"/>
      <c r="L14" s="34"/>
      <c r="M14" s="34"/>
      <c r="N14" s="34"/>
      <c r="O14" s="34"/>
    </row>
    <row r="15">
      <c r="B15" s="35" t="s">
        <v>63</v>
      </c>
      <c r="C15" s="8"/>
      <c r="D15" s="8"/>
      <c r="E15" s="8"/>
      <c r="F15" s="8"/>
      <c r="G15" s="48">
        <v>0</v>
      </c>
      <c r="H15" s="42">
        <f>(H51-H52)/C9</f>
        <v>0</v>
      </c>
      <c r="I15" s="1"/>
      <c r="J15" s="1"/>
      <c r="K15" s="1"/>
      <c r="L15" s="34"/>
      <c r="M15" s="34"/>
      <c r="N15" s="34"/>
      <c r="O15" s="34"/>
    </row>
    <row r="16">
      <c r="B16" s="35" t="s">
        <v>109</v>
      </c>
      <c r="C16" s="8"/>
      <c r="D16" s="8"/>
      <c r="E16" s="8"/>
      <c r="F16" s="8"/>
      <c r="G16" s="48">
        <v>0</v>
      </c>
      <c r="H16" s="44">
        <v>0</v>
      </c>
      <c r="I16" s="1"/>
      <c r="J16" s="1"/>
      <c r="K16" s="1"/>
      <c r="L16" s="34"/>
      <c r="M16" s="34"/>
      <c r="N16" s="34"/>
      <c r="O16" s="34"/>
    </row>
    <row r="17">
      <c r="B17" s="35" t="s">
        <v>84</v>
      </c>
      <c r="C17" s="8"/>
      <c r="D17" s="8"/>
      <c r="E17" s="8"/>
      <c r="F17" s="8"/>
      <c r="G17" s="8">
        <f>G10</f>
        <v>-0.17500000000000004</v>
      </c>
      <c r="H17" s="42">
        <f>H10</f>
        <v>0.4285714285714286</v>
      </c>
      <c r="I17" s="1"/>
      <c r="J17" s="1"/>
      <c r="K17" s="1"/>
      <c r="L17" s="34"/>
      <c r="M17" s="34"/>
      <c r="N17" s="34"/>
      <c r="O17" s="34"/>
    </row>
    <row r="18">
      <c r="B18" s="1"/>
      <c r="C18" s="4"/>
      <c r="D18" s="4"/>
      <c r="E18" s="4"/>
      <c r="F18" s="4"/>
      <c r="G18" s="4"/>
      <c r="H18" s="3"/>
      <c r="I18" s="1"/>
      <c r="J18" s="1"/>
      <c r="K18" s="1"/>
      <c r="L18" s="34"/>
      <c r="M18" s="34"/>
      <c r="N18" s="34"/>
      <c r="O18" s="34"/>
    </row>
    <row r="19">
      <c r="B19" s="1" t="s">
        <v>110</v>
      </c>
      <c r="C19" s="18">
        <v>133.2</v>
      </c>
      <c r="D19" s="18">
        <v>122.3</v>
      </c>
      <c r="E19" s="18">
        <v>113.4</v>
      </c>
      <c r="F19" s="4">
        <f>G19-SUM(C19:E19)</f>
        <v>130.10000000000002</v>
      </c>
      <c r="G19" s="18">
        <v>499</v>
      </c>
      <c r="H19" s="3">
        <f>(C19+H52)*(1+H62)</f>
        <v>135</v>
      </c>
      <c r="I19" s="1"/>
      <c r="J19" s="1"/>
      <c r="K19" s="34">
        <v>491.4</v>
      </c>
      <c r="L19" s="34">
        <v>120.1</v>
      </c>
      <c r="M19" s="34">
        <v>110.2</v>
      </c>
      <c r="N19" s="34">
        <v>120</v>
      </c>
      <c r="O19" s="34">
        <v>141.1</v>
      </c>
    </row>
    <row r="20">
      <c r="B20" s="35" t="s">
        <v>105</v>
      </c>
      <c r="C20" s="8"/>
      <c r="D20" s="8"/>
      <c r="E20" s="8"/>
      <c r="F20" s="8"/>
      <c r="G20" s="8">
        <f>IFERROR(G19/K19-1,0)</f>
        <v>0.015466015466015559</v>
      </c>
      <c r="H20" s="42">
        <f>IFERROR(H19/C19-1,0)</f>
        <v>0.013513513513513598</v>
      </c>
      <c r="I20" s="1"/>
      <c r="J20" s="1"/>
      <c r="K20" s="1"/>
    </row>
    <row r="21">
      <c r="B21" s="1" t="s">
        <v>106</v>
      </c>
      <c r="C21" s="4"/>
      <c r="D21" s="4">
        <f>D19-C19</f>
        <v>-10.899999999999991</v>
      </c>
      <c r="E21" s="4">
        <f>E19-D19</f>
        <v>-8.899999999999991</v>
      </c>
      <c r="F21" s="4">
        <f>F19-E19</f>
        <v>16.700000000000017</v>
      </c>
      <c r="G21" s="4"/>
      <c r="H21" s="3">
        <f>H19-F19</f>
        <v>4.899999999999977</v>
      </c>
      <c r="I21" s="1"/>
      <c r="J21" s="1"/>
      <c r="K21" s="1"/>
    </row>
    <row r="22">
      <c r="B22" s="35" t="s">
        <v>111</v>
      </c>
      <c r="C22" s="47">
        <f>IFERROR(C19/C29,0)</f>
        <v>0.994772218073189</v>
      </c>
      <c r="D22" s="47">
        <f>IFERROR(D19/D29,0)</f>
        <v>0.9902834008097166</v>
      </c>
      <c r="E22" s="47">
        <f>IFERROR(E19/E29,0)</f>
        <v>0.988666085440279</v>
      </c>
      <c r="F22" s="47">
        <f>IFERROR(F19/F29,0)</f>
        <v>0.9992319508448542</v>
      </c>
      <c r="G22" s="8">
        <f>IFERROR(G19/G29,0)</f>
        <v>0.993430220983476</v>
      </c>
      <c r="H22" s="42">
        <f>IFERROR(H19/H29,0)</f>
        <v>0.9926470588235294</v>
      </c>
      <c r="I22" s="1"/>
      <c r="J22" s="1"/>
      <c r="K22" s="1"/>
    </row>
    <row r="23">
      <c r="B23" s="35" t="s">
        <v>108</v>
      </c>
      <c r="C23" s="4"/>
      <c r="D23" s="4">
        <f>(D22-C22)*10000</f>
        <v>-44.888172634724995</v>
      </c>
      <c r="E23" s="4">
        <f>(E22-D22)*10000</f>
        <v>-16.173153694375443</v>
      </c>
      <c r="F23" s="4">
        <f>(F22-E22)*10000</f>
        <v>105.65865404575159</v>
      </c>
      <c r="G23" s="45">
        <f>(G22-K19/K29)*10000</f>
        <v>15.045043908236133</v>
      </c>
      <c r="H23" s="46">
        <f>(H22-C22)*10000</f>
        <v>-21.25159249659614</v>
      </c>
      <c r="I23" s="1"/>
      <c r="J23" s="1"/>
      <c r="K23" s="1"/>
    </row>
    <row r="24">
      <c r="B24" s="35" t="s">
        <v>62</v>
      </c>
      <c r="C24" s="8"/>
      <c r="D24" s="8"/>
      <c r="E24" s="8"/>
      <c r="F24" s="8"/>
      <c r="G24" s="8">
        <f>(1+G27)/((1+G25)*(1+G26))-1</f>
        <v>0.015466015466015559</v>
      </c>
      <c r="H24" s="42">
        <f>(1+H27)/((1+H25)*(1+H26))-1</f>
        <v>0.013513513513513598</v>
      </c>
      <c r="I24" s="1"/>
      <c r="J24" s="1"/>
      <c r="K24" s="1"/>
    </row>
    <row r="25">
      <c r="B25" s="35" t="s">
        <v>63</v>
      </c>
      <c r="C25" s="8"/>
      <c r="D25" s="8"/>
      <c r="E25" s="8"/>
      <c r="F25" s="8"/>
      <c r="G25" s="48">
        <v>0</v>
      </c>
      <c r="H25" s="42">
        <f>IFERROR(H52/C19,0)</f>
        <v>0</v>
      </c>
      <c r="I25" s="1"/>
      <c r="J25" s="1"/>
      <c r="K25" s="1"/>
    </row>
    <row r="26">
      <c r="B26" s="35" t="s">
        <v>109</v>
      </c>
      <c r="C26" s="8"/>
      <c r="D26" s="8"/>
      <c r="E26" s="8"/>
      <c r="F26" s="8"/>
      <c r="G26" s="48">
        <v>0</v>
      </c>
      <c r="H26" s="44">
        <v>0</v>
      </c>
      <c r="I26" s="1"/>
      <c r="J26" s="1"/>
      <c r="K26" s="1"/>
    </row>
    <row r="27">
      <c r="B27" s="35" t="s">
        <v>84</v>
      </c>
      <c r="C27" s="8"/>
      <c r="D27" s="8"/>
      <c r="E27" s="8"/>
      <c r="F27" s="8"/>
      <c r="G27" s="8">
        <f>G20</f>
        <v>0.015466015466015559</v>
      </c>
      <c r="H27" s="42">
        <f>H20</f>
        <v>0.013513513513513598</v>
      </c>
      <c r="I27" s="1"/>
      <c r="J27" s="1"/>
      <c r="K27" s="1"/>
    </row>
    <row r="28">
      <c r="B28" s="1"/>
      <c r="C28" s="4"/>
      <c r="D28" s="4"/>
      <c r="E28" s="4"/>
      <c r="F28" s="4"/>
      <c r="G28" s="4"/>
      <c r="H28" s="3"/>
      <c r="I28" s="1"/>
      <c r="J28" s="1"/>
      <c r="K28" s="1"/>
    </row>
    <row r="29">
      <c r="B29" s="17" t="s">
        <v>112</v>
      </c>
      <c r="C29" s="20">
        <f>SUM(C9,C19)</f>
        <v>133.89999999999998</v>
      </c>
      <c r="D29" s="20">
        <f>SUM(D9,D19)</f>
        <v>123.5</v>
      </c>
      <c r="E29" s="20">
        <f>SUM(E9,E19)</f>
        <v>114.7</v>
      </c>
      <c r="F29" s="20">
        <f>SUM(F9,F19)</f>
        <v>130.20000000000002</v>
      </c>
      <c r="G29" s="20">
        <f>SUM(G9,G19)</f>
        <v>502.3</v>
      </c>
      <c r="H29" s="21">
        <f>SUM(H9,H19)</f>
        <v>136</v>
      </c>
      <c r="I29" s="1"/>
      <c r="J29" s="1"/>
      <c r="K29" s="1">
        <f>SUM(K9,K19)</f>
        <v>495.4</v>
      </c>
    </row>
    <row r="30">
      <c r="B30" s="35" t="s">
        <v>105</v>
      </c>
      <c r="C30" s="8"/>
      <c r="D30" s="8"/>
      <c r="E30" s="8"/>
      <c r="F30" s="8"/>
      <c r="G30" s="8">
        <f>G29/K29-1</f>
        <v>0.013928138877674634</v>
      </c>
      <c r="H30" s="42">
        <f>IFERROR(H29/C29-1,0)</f>
        <v>0.01568334578043329</v>
      </c>
      <c r="I30" s="1"/>
      <c r="J30" s="1"/>
      <c r="K30" s="1"/>
    </row>
    <row r="31">
      <c r="B31" s="1" t="s">
        <v>106</v>
      </c>
      <c r="C31" s="4"/>
      <c r="D31" s="4">
        <f>D29-C29</f>
        <v>-10.399999999999977</v>
      </c>
      <c r="E31" s="4">
        <f>E29-D29</f>
        <v>-8.799999999999997</v>
      </c>
      <c r="F31" s="4">
        <f>F29-E29</f>
        <v>15.500000000000014</v>
      </c>
      <c r="G31" s="4"/>
      <c r="H31" s="3">
        <f>H29-F29</f>
        <v>5.799999999999983</v>
      </c>
      <c r="I31" s="1"/>
      <c r="J31" s="1"/>
      <c r="K31" s="1"/>
    </row>
    <row r="32">
      <c r="B32" s="35" t="s">
        <v>113</v>
      </c>
      <c r="C32" s="27">
        <f>IFERROR(C29/'Revenue summary'!C29,0)</f>
        <v>0.18104380746349374</v>
      </c>
      <c r="D32" s="27">
        <f>IFERROR(D29/'Revenue summary'!D29,0)</f>
        <v>0.15528731296366152</v>
      </c>
      <c r="E32" s="27">
        <f>IFERROR(E29/'Revenue summary'!E29,0)</f>
        <v>0.13572358300792808</v>
      </c>
      <c r="F32" s="27">
        <f>IFERROR(F29/'Revenue summary'!F29,0)</f>
        <v>0.14030172413793102</v>
      </c>
      <c r="G32" s="27">
        <f>IFERROR(G29/'Revenue summary'!G29,0)</f>
        <v>0.15184401451027812</v>
      </c>
      <c r="H32" s="49">
        <f>IFERROR(H29/'Revenue summary'!H29,0)</f>
        <v>0.15384615384615385</v>
      </c>
      <c r="I32" s="1"/>
      <c r="J32" s="1"/>
      <c r="K32" s="1"/>
    </row>
    <row r="33">
      <c r="B33" s="35" t="s">
        <v>108</v>
      </c>
      <c r="C33" s="4"/>
      <c r="D33" s="4">
        <f>(D32-C32)*10000</f>
        <v>-257.56494499832223</v>
      </c>
      <c r="E33" s="4">
        <f>(E32-D32)*10000</f>
        <v>-195.6372995573344</v>
      </c>
      <c r="F33" s="4">
        <f>(F32-E32)*10000</f>
        <v>45.781411300029326</v>
      </c>
      <c r="G33" s="4"/>
      <c r="H33" s="3">
        <f>(H32-C32)*10000</f>
        <v>-271.97653617339887</v>
      </c>
      <c r="I33" s="1"/>
      <c r="J33" s="1"/>
      <c r="K33" s="1"/>
    </row>
    <row r="34">
      <c r="B34" s="35" t="s">
        <v>62</v>
      </c>
      <c r="C34" s="8"/>
      <c r="D34" s="8"/>
      <c r="E34" s="8"/>
      <c r="F34" s="8"/>
      <c r="G34" s="8">
        <f>(1+G37)/((1+G35)*(1+G36))-1</f>
        <v>0.013928138877674634</v>
      </c>
      <c r="H34" s="42">
        <f>(1+H37)/((1+H35)*(1+H36))-1</f>
        <v>0.01568334578043329</v>
      </c>
      <c r="I34" s="1"/>
      <c r="J34" s="1"/>
      <c r="K34" s="1"/>
    </row>
    <row r="35">
      <c r="B35" s="35" t="s">
        <v>63</v>
      </c>
      <c r="C35" s="8"/>
      <c r="D35" s="8"/>
      <c r="E35" s="8"/>
      <c r="F35" s="8"/>
      <c r="G35" s="48">
        <v>0</v>
      </c>
      <c r="H35" s="42">
        <f>H51/C29</f>
        <v>0</v>
      </c>
      <c r="I35" s="1"/>
      <c r="J35" s="1"/>
      <c r="K35" s="1"/>
    </row>
    <row r="36">
      <c r="B36" s="35" t="s">
        <v>109</v>
      </c>
      <c r="C36" s="8"/>
      <c r="D36" s="8"/>
      <c r="E36" s="8"/>
      <c r="F36" s="8"/>
      <c r="G36" s="48">
        <v>0</v>
      </c>
      <c r="H36" s="44">
        <v>0</v>
      </c>
      <c r="I36" s="1"/>
      <c r="J36" s="1"/>
      <c r="K36" s="1"/>
    </row>
    <row r="37">
      <c r="B37" s="35" t="s">
        <v>84</v>
      </c>
      <c r="C37" s="8"/>
      <c r="D37" s="8"/>
      <c r="E37" s="8"/>
      <c r="F37" s="8"/>
      <c r="G37" s="8">
        <f>G30</f>
        <v>0.013928138877674634</v>
      </c>
      <c r="H37" s="42">
        <f>H30</f>
        <v>0.01568334578043329</v>
      </c>
      <c r="I37" s="1"/>
      <c r="J37" s="1"/>
      <c r="K37" s="1"/>
    </row>
    <row r="38">
      <c r="B38" s="1"/>
      <c r="C38" s="4"/>
      <c r="D38" s="4"/>
      <c r="E38" s="4"/>
      <c r="F38" s="4"/>
      <c r="G38" s="4"/>
      <c r="H38" s="3"/>
      <c r="I38" s="1"/>
      <c r="J38" s="1"/>
      <c r="K38" s="1"/>
    </row>
    <row r="39">
      <c r="B39" s="17" t="s">
        <v>114</v>
      </c>
      <c r="C39" s="5">
        <v>12.7</v>
      </c>
      <c r="D39" s="5">
        <v>12.4</v>
      </c>
      <c r="E39" s="5">
        <v>12.9</v>
      </c>
      <c r="F39" s="5">
        <v>18.7</v>
      </c>
      <c r="G39" s="5">
        <v>56.7</v>
      </c>
      <c r="H39" s="21">
        <f>H29*H42</f>
        <v>17.68</v>
      </c>
      <c r="I39" s="1"/>
      <c r="J39" s="1"/>
      <c r="K39" s="1">
        <v>35.1</v>
      </c>
    </row>
    <row r="40">
      <c r="B40" s="35" t="s">
        <v>115</v>
      </c>
      <c r="C40" s="8">
        <f>IFERROR(C39/C29,0)</f>
        <v>0.09484690067214341</v>
      </c>
      <c r="D40" s="8">
        <f>IFERROR(D39/D29,0)</f>
        <v>0.10040485829959514</v>
      </c>
      <c r="E40" s="8">
        <f>IFERROR(E39/E29,0)</f>
        <v>0.11246730601569312</v>
      </c>
      <c r="F40" s="8">
        <f>IFERROR(F39/F29,0)</f>
        <v>0.14362519201228877</v>
      </c>
      <c r="G40" s="8">
        <f>IFERROR(G39/G29,0)</f>
        <v>0.11288074855663946</v>
      </c>
      <c r="H40" s="42">
        <f>IFERROR(H39/H29,0)</f>
        <v>0.13</v>
      </c>
      <c r="I40" s="1"/>
      <c r="J40" s="1"/>
      <c r="K40" s="1"/>
    </row>
    <row r="41">
      <c r="B41" s="35" t="s">
        <v>116</v>
      </c>
      <c r="C41" s="4"/>
      <c r="D41" s="4">
        <f>(D40-C40)*10000</f>
        <v>55.579576274517315</v>
      </c>
      <c r="E41" s="4">
        <f>(E40-D40)*10000</f>
        <v>120.62447716097977</v>
      </c>
      <c r="F41" s="4">
        <f>(F40-E40)*10000</f>
        <v>311.5788599659565</v>
      </c>
      <c r="G41" s="4">
        <f>(G40-K39/K29)*10000</f>
        <v>420.2891165716428</v>
      </c>
      <c r="H41" s="3">
        <f>(H40-C40)*10000</f>
        <v>351.530993278566</v>
      </c>
      <c r="I41" s="1"/>
      <c r="J41" s="1"/>
      <c r="K41" s="1"/>
    </row>
    <row r="42">
      <c r="B42" s="35" t="s">
        <v>117</v>
      </c>
      <c r="C42" s="8"/>
      <c r="D42" s="8"/>
      <c r="E42" s="8"/>
      <c r="F42" s="8"/>
      <c r="G42" s="8"/>
      <c r="H42" s="44">
        <v>0.13</v>
      </c>
      <c r="I42" s="1"/>
      <c r="J42" s="1"/>
      <c r="K42" s="1"/>
    </row>
    <row r="43">
      <c r="B43" s="1" t="s">
        <v>118</v>
      </c>
      <c r="C43" s="4"/>
      <c r="D43" s="4"/>
      <c r="E43" s="4"/>
      <c r="F43" s="4"/>
      <c r="G43" s="4"/>
      <c r="H43" s="3"/>
      <c r="I43" s="1"/>
      <c r="J43" s="1" t="s">
        <v>167</v>
      </c>
      <c r="K43" s="1"/>
    </row>
    <row r="44">
      <c r="B44" s="1" t="s">
        <v>168</v>
      </c>
      <c r="C44" s="4" t="s">
        <v>38</v>
      </c>
      <c r="D44" s="4" t="s">
        <v>38</v>
      </c>
      <c r="E44" s="4" t="s">
        <v>38</v>
      </c>
      <c r="F44" s="4" t="s">
        <v>38</v>
      </c>
      <c r="G44" s="18">
        <v>409.2</v>
      </c>
      <c r="H44" s="32">
        <v>105</v>
      </c>
      <c r="I44" s="1"/>
      <c r="J44" s="1"/>
      <c r="K44" s="1"/>
    </row>
    <row r="45">
      <c r="B45" s="1" t="s">
        <v>169</v>
      </c>
      <c r="C45" s="4" t="s">
        <v>38</v>
      </c>
      <c r="D45" s="4" t="s">
        <v>38</v>
      </c>
      <c r="E45" s="4" t="s">
        <v>38</v>
      </c>
      <c r="F45" s="4" t="s">
        <v>38</v>
      </c>
      <c r="G45" s="18">
        <v>93.1</v>
      </c>
      <c r="H45" s="32">
        <v>31</v>
      </c>
      <c r="I45" s="1"/>
      <c r="J45" s="1"/>
      <c r="K45" s="1"/>
    </row>
    <row r="46">
      <c r="B46" s="17" t="s">
        <v>123</v>
      </c>
      <c r="C46" s="20"/>
      <c r="D46" s="20"/>
      <c r="E46" s="20"/>
      <c r="F46" s="20"/>
      <c r="G46" s="20">
        <f>SUM(G44:G45)-G29</f>
        <v>0</v>
      </c>
      <c r="H46" s="21">
        <f>SUM(H44:H45)-H29</f>
        <v>0</v>
      </c>
      <c r="I46" s="1"/>
      <c r="J46" s="1"/>
      <c r="K46" s="1"/>
    </row>
    <row r="47">
      <c r="B47" s="1"/>
      <c r="C47" s="4"/>
      <c r="D47" s="4"/>
      <c r="E47" s="4"/>
      <c r="F47" s="4"/>
      <c r="G47" s="4"/>
      <c r="H47" s="3"/>
      <c r="I47" s="1"/>
      <c r="J47" s="1"/>
      <c r="K47" s="1"/>
    </row>
    <row r="48">
      <c r="B48" s="35" t="s">
        <v>124</v>
      </c>
      <c r="C48" s="8">
        <f>IFERROR(C9/C29,0)</f>
        <v>0.005227781926811053</v>
      </c>
      <c r="D48" s="8">
        <f>IFERROR(D9/D29,0)</f>
        <v>0.009716599190283401</v>
      </c>
      <c r="E48" s="8">
        <f>IFERROR(E9/E29,0)</f>
        <v>0.011333914559721011</v>
      </c>
      <c r="F48" s="8">
        <f>IFERROR(F9/F29,0)</f>
        <v>0.0007680491551459265</v>
      </c>
      <c r="G48" s="8">
        <f>IFERROR(G9/G29,0)</f>
        <v>0.006569779016523989</v>
      </c>
      <c r="H48" s="42">
        <f>IFERROR(H9/H29,0)</f>
        <v>0.007352941176470588</v>
      </c>
      <c r="I48" s="1"/>
      <c r="J48" s="1"/>
      <c r="K48" s="1"/>
    </row>
    <row r="49">
      <c r="B49" s="35" t="s">
        <v>125</v>
      </c>
      <c r="C49" s="45"/>
      <c r="D49" s="45"/>
      <c r="E49" s="45"/>
      <c r="F49" s="45"/>
      <c r="G49" s="45"/>
      <c r="H49" s="46">
        <f>(H48-C48)*10000</f>
        <v>21.25159249659535</v>
      </c>
      <c r="I49" s="1"/>
      <c r="J49" s="1"/>
      <c r="K49" s="1"/>
    </row>
    <row r="50">
      <c r="B50" s="35" t="s">
        <v>126</v>
      </c>
      <c r="C50" s="4"/>
      <c r="D50" s="4">
        <f>(D48-C48)*10000</f>
        <v>44.88817263472348</v>
      </c>
      <c r="E50" s="4">
        <f>(E48-D48)*10000</f>
        <v>16.1731536943761</v>
      </c>
      <c r="F50" s="4">
        <f>(F48-E48)*10000</f>
        <v>-105.65865404575084</v>
      </c>
      <c r="G50" s="4"/>
      <c r="H50" s="3">
        <f>(H48-F48)*10000</f>
        <v>65.84892021324661</v>
      </c>
      <c r="I50" s="1"/>
      <c r="J50" s="1"/>
      <c r="K50" s="1"/>
    </row>
    <row r="51">
      <c r="B51" s="6" t="s">
        <v>127</v>
      </c>
      <c r="C51" s="6"/>
      <c r="D51" s="6"/>
      <c r="E51" s="6"/>
      <c r="F51" s="6"/>
      <c r="G51" s="6"/>
      <c r="H51" s="43">
        <v>0</v>
      </c>
      <c r="I51" s="6"/>
      <c r="J51" s="6" t="s">
        <v>128</v>
      </c>
      <c r="K51" s="1"/>
    </row>
    <row r="52">
      <c r="B52" s="6" t="s">
        <v>129</v>
      </c>
      <c r="C52" s="6"/>
      <c r="D52" s="6"/>
      <c r="E52" s="6"/>
      <c r="F52" s="6"/>
      <c r="G52" s="6"/>
      <c r="H52" s="43">
        <v>0</v>
      </c>
      <c r="I52" s="6"/>
      <c r="J52" s="6"/>
      <c r="K52" s="1"/>
    </row>
    <row r="53">
      <c r="B53" s="6" t="s">
        <v>130</v>
      </c>
      <c r="C53" s="6"/>
      <c r="D53" s="6"/>
      <c r="E53" s="6"/>
      <c r="F53" s="6"/>
      <c r="G53" s="6"/>
      <c r="H53" s="13"/>
      <c r="I53" s="6"/>
      <c r="J53" s="6"/>
      <c r="K53" s="1">
        <v>0</v>
      </c>
    </row>
    <row r="54">
      <c r="B54" s="6"/>
      <c r="C54" s="6"/>
      <c r="D54" s="6"/>
      <c r="E54" s="6"/>
      <c r="F54" s="6"/>
      <c r="G54" s="6"/>
      <c r="H54" s="13"/>
      <c r="I54" s="6"/>
      <c r="J54" s="6"/>
      <c r="K54" s="6"/>
    </row>
    <row r="55">
      <c r="B55" s="6"/>
      <c r="C55" s="6"/>
      <c r="D55" s="6"/>
      <c r="E55" s="6"/>
      <c r="F55" s="6"/>
      <c r="G55" s="6"/>
      <c r="H55" s="13"/>
      <c r="I55" s="6"/>
      <c r="J55" s="6"/>
      <c r="K55" s="6"/>
    </row>
    <row r="56">
      <c r="B56" s="6"/>
      <c r="C56" s="6"/>
      <c r="D56" s="6"/>
      <c r="E56" s="6"/>
      <c r="F56" s="6"/>
      <c r="G56" s="6"/>
      <c r="H56" s="13"/>
      <c r="I56" s="6"/>
      <c r="J56" s="6"/>
      <c r="K56" s="6"/>
    </row>
    <row r="57">
      <c r="B57" s="1" t="s">
        <v>131</v>
      </c>
      <c r="C57" s="1"/>
      <c r="D57" s="1"/>
      <c r="E57" s="1"/>
      <c r="F57" s="1"/>
      <c r="G57" s="1"/>
      <c r="H57" s="36"/>
      <c r="I57" s="1"/>
      <c r="J57" s="1"/>
      <c r="K57" s="1"/>
    </row>
    <row r="58">
      <c r="B58" s="1" t="s">
        <v>132</v>
      </c>
      <c r="C58" s="4">
        <f>C29</f>
        <v>133.89999999999998</v>
      </c>
      <c r="D58" s="1"/>
      <c r="E58" s="1"/>
      <c r="F58" s="1"/>
      <c r="G58" s="1"/>
      <c r="H58" s="3">
        <f>C29</f>
        <v>133.89999999999998</v>
      </c>
      <c r="I58" s="1"/>
      <c r="J58" s="1"/>
      <c r="K58" s="1"/>
    </row>
    <row r="59">
      <c r="B59" s="1" t="s">
        <v>133</v>
      </c>
      <c r="C59" s="1"/>
      <c r="D59" s="1"/>
      <c r="E59" s="1"/>
      <c r="F59" s="1"/>
      <c r="G59" s="1"/>
      <c r="H59" s="36">
        <f>SUM((C9+H51-H52)*H61,(C19+H52)*H62)</f>
        <v>2.100000000000011</v>
      </c>
      <c r="I59" s="1"/>
      <c r="J59" s="1"/>
      <c r="K59" s="1"/>
    </row>
    <row r="60">
      <c r="B60" s="1" t="s">
        <v>134</v>
      </c>
      <c r="C60" s="1"/>
      <c r="D60" s="1"/>
      <c r="E60" s="1"/>
      <c r="F60" s="1"/>
      <c r="G60" s="1"/>
      <c r="H60" s="3">
        <f>H51</f>
        <v>0</v>
      </c>
      <c r="I60" s="1"/>
      <c r="J60" s="1"/>
      <c r="K60" s="1"/>
    </row>
    <row r="61">
      <c r="B61" s="35" t="s">
        <v>135</v>
      </c>
      <c r="C61" s="8"/>
      <c r="D61" s="8"/>
      <c r="E61" s="8"/>
      <c r="F61" s="8"/>
      <c r="G61" s="8"/>
      <c r="H61" s="44">
        <v>0.4285714285714286</v>
      </c>
      <c r="I61" s="1"/>
      <c r="J61" s="1" t="s">
        <v>136</v>
      </c>
      <c r="K61" s="1"/>
    </row>
    <row r="62">
      <c r="B62" s="35" t="s">
        <v>137</v>
      </c>
      <c r="C62" s="8"/>
      <c r="D62" s="8"/>
      <c r="E62" s="8"/>
      <c r="F62" s="8"/>
      <c r="G62" s="8"/>
      <c r="H62" s="44">
        <v>0.013513513513513598</v>
      </c>
      <c r="I62" s="1"/>
      <c r="J62" s="1"/>
      <c r="K62" s="1"/>
    </row>
    <row r="63">
      <c r="B63" s="1" t="s">
        <v>138</v>
      </c>
      <c r="C63" s="1"/>
      <c r="D63" s="1"/>
      <c r="E63" s="1"/>
      <c r="F63" s="1"/>
      <c r="G63" s="1"/>
      <c r="H63" s="3">
        <f>H29-SUM(H58:H60)</f>
        <v>0</v>
      </c>
      <c r="I63" s="1"/>
      <c r="J63" s="1"/>
      <c r="K63" s="1"/>
    </row>
    <row r="64">
      <c r="B64" s="1"/>
      <c r="C64" s="1"/>
      <c r="D64" s="1"/>
      <c r="E64" s="1"/>
      <c r="F64" s="1"/>
      <c r="G64" s="1"/>
      <c r="H64" s="36"/>
      <c r="I64" s="1"/>
      <c r="J64" s="1"/>
      <c r="K64" s="1"/>
    </row>
    <row r="65">
      <c r="B65" s="1" t="s">
        <v>139</v>
      </c>
      <c r="C65" s="1"/>
      <c r="D65" s="1"/>
      <c r="E65" s="1"/>
      <c r="F65" s="1"/>
      <c r="G65" s="1"/>
      <c r="H65" s="36"/>
      <c r="I65" s="1"/>
      <c r="J65" s="1"/>
      <c r="K65" s="1"/>
    </row>
    <row r="66">
      <c r="B66" s="1"/>
      <c r="C66" s="1"/>
      <c r="D66" s="1"/>
      <c r="E66" s="1"/>
      <c r="F66" s="1"/>
      <c r="G66" s="1"/>
      <c r="H66" s="36"/>
      <c r="I66" s="1"/>
      <c r="J66" s="1"/>
      <c r="K66" s="1"/>
    </row>
    <row r="67">
      <c r="B67" s="1" t="s">
        <v>140</v>
      </c>
      <c r="C67" s="1" t="s">
        <v>38</v>
      </c>
      <c r="D67" s="1" t="s">
        <v>38</v>
      </c>
      <c r="E67" s="1" t="s">
        <v>38</v>
      </c>
      <c r="F67" s="1" t="s">
        <v>38</v>
      </c>
      <c r="G67" s="1" t="s">
        <v>38</v>
      </c>
      <c r="H67" s="36" t="s">
        <v>38</v>
      </c>
      <c r="I67" s="1"/>
      <c r="J67" s="1" t="s">
        <v>141</v>
      </c>
      <c r="K67" s="1"/>
    </row>
    <row r="68">
      <c r="B68" s="1" t="s">
        <v>142</v>
      </c>
      <c r="C68" s="1" t="s">
        <v>38</v>
      </c>
      <c r="D68" s="1" t="s">
        <v>38</v>
      </c>
      <c r="E68" s="1" t="s">
        <v>38</v>
      </c>
      <c r="F68" s="1" t="s">
        <v>38</v>
      </c>
      <c r="G68" s="1" t="s">
        <v>38</v>
      </c>
      <c r="H68" s="36" t="s">
        <v>38</v>
      </c>
      <c r="I68" s="1"/>
      <c r="J68" s="1"/>
      <c r="K68" s="1"/>
    </row>
    <row r="69">
      <c r="B69" s="1" t="s">
        <v>143</v>
      </c>
      <c r="C69" s="1" t="s">
        <v>38</v>
      </c>
      <c r="D69" s="1" t="s">
        <v>38</v>
      </c>
      <c r="E69" s="1" t="s">
        <v>38</v>
      </c>
      <c r="F69" s="1" t="s">
        <v>38</v>
      </c>
      <c r="G69" s="1" t="s">
        <v>38</v>
      </c>
      <c r="H69" s="36" t="s">
        <v>38</v>
      </c>
      <c r="I69" s="1"/>
      <c r="J69" s="1"/>
      <c r="K69" s="1"/>
    </row>
    <row r="70">
      <c r="B70" s="1" t="s">
        <v>144</v>
      </c>
      <c r="C70" s="1" t="s">
        <v>38</v>
      </c>
      <c r="D70" s="1" t="s">
        <v>38</v>
      </c>
      <c r="E70" s="1" t="s">
        <v>38</v>
      </c>
      <c r="F70" s="1" t="s">
        <v>38</v>
      </c>
      <c r="G70" s="1" t="s">
        <v>38</v>
      </c>
      <c r="H70" s="36" t="s">
        <v>38</v>
      </c>
      <c r="I70" s="1"/>
      <c r="J70" s="1"/>
      <c r="K70" s="1"/>
    </row>
    <row r="71">
      <c r="B71" s="1" t="s">
        <v>145</v>
      </c>
      <c r="C71" s="1" t="s">
        <v>38</v>
      </c>
      <c r="D71" s="1" t="s">
        <v>38</v>
      </c>
      <c r="E71" s="1" t="s">
        <v>38</v>
      </c>
      <c r="F71" s="1" t="s">
        <v>38</v>
      </c>
      <c r="G71" s="1" t="s">
        <v>38</v>
      </c>
      <c r="H71" s="36" t="s">
        <v>38</v>
      </c>
      <c r="I71" s="1"/>
      <c r="J71" s="1"/>
      <c r="K71" s="1"/>
    </row>
    <row r="72">
      <c r="B72" s="1" t="s">
        <v>146</v>
      </c>
      <c r="C72" s="1" t="s">
        <v>38</v>
      </c>
      <c r="D72" s="1" t="s">
        <v>38</v>
      </c>
      <c r="E72" s="1" t="s">
        <v>38</v>
      </c>
      <c r="F72" s="1" t="s">
        <v>38</v>
      </c>
      <c r="G72" s="1" t="s">
        <v>38</v>
      </c>
      <c r="H72" s="36" t="s">
        <v>38</v>
      </c>
      <c r="I72" s="1"/>
      <c r="J72" s="1"/>
      <c r="K72" s="1"/>
    </row>
    <row r="73">
      <c r="B73" s="6"/>
      <c r="C73" s="6"/>
      <c r="D73" s="6"/>
      <c r="E73" s="6"/>
      <c r="F73" s="6"/>
      <c r="G73" s="6"/>
      <c r="H73" s="13"/>
      <c r="I73" s="6"/>
      <c r="J73" s="6"/>
      <c r="K73" s="6"/>
    </row>
    <row r="74">
      <c r="B74" s="1" t="s">
        <v>147</v>
      </c>
      <c r="C74" s="1"/>
      <c r="D74" s="1"/>
      <c r="E74" s="1"/>
      <c r="F74" s="1"/>
      <c r="G74" s="1"/>
      <c r="H74" s="3">
        <f>H58</f>
        <v>133.89999999999998</v>
      </c>
    </row>
    <row r="75">
      <c r="B75" s="35" t="s">
        <v>148</v>
      </c>
      <c r="C75" s="1"/>
      <c r="D75" s="1"/>
      <c r="E75" s="1"/>
      <c r="F75" s="1"/>
      <c r="G75" s="1"/>
      <c r="H75" s="42">
        <f>H74/C29-1</f>
        <v>0</v>
      </c>
    </row>
    <row r="76">
      <c r="B76" s="1" t="s">
        <v>149</v>
      </c>
      <c r="C76" s="1"/>
      <c r="D76" s="1"/>
      <c r="E76" s="1"/>
      <c r="F76" s="1"/>
      <c r="G76" s="1"/>
      <c r="H76" s="3">
        <f>H74-F29</f>
        <v>3.69999999999996</v>
      </c>
    </row>
    <row r="77">
      <c r="B77" s="1" t="s">
        <v>150</v>
      </c>
      <c r="C77" s="1"/>
      <c r="D77" s="1"/>
      <c r="E77" s="1"/>
      <c r="F77" s="1"/>
      <c r="G77" s="1"/>
      <c r="H77" s="3">
        <f>H59</f>
        <v>2.100000000000011</v>
      </c>
    </row>
    <row r="78">
      <c r="B78" s="35" t="s">
        <v>151</v>
      </c>
      <c r="C78" s="1"/>
      <c r="D78" s="1"/>
      <c r="E78" s="1"/>
      <c r="F78" s="1"/>
      <c r="G78" s="1"/>
      <c r="H78" s="42">
        <f>H77/C29</f>
        <v>0.015683345780433244</v>
      </c>
    </row>
    <row r="79">
      <c r="B79" s="1" t="s">
        <v>152</v>
      </c>
      <c r="C79" s="1"/>
      <c r="D79" s="1"/>
      <c r="E79" s="1"/>
      <c r="F79" s="1"/>
      <c r="G79" s="1"/>
      <c r="H79" s="3" t="s">
        <v>38</v>
      </c>
    </row>
    <row r="80">
      <c r="B80" s="1" t="s">
        <v>153</v>
      </c>
      <c r="C80" s="1"/>
      <c r="D80" s="1"/>
      <c r="E80" s="1"/>
      <c r="F80" s="1"/>
      <c r="G80" s="1"/>
      <c r="H80" s="3">
        <f>H60</f>
        <v>0</v>
      </c>
    </row>
    <row r="81">
      <c r="B81" s="35" t="s">
        <v>151</v>
      </c>
      <c r="C81" s="1"/>
      <c r="D81" s="1"/>
      <c r="E81" s="1"/>
      <c r="F81" s="1"/>
      <c r="G81" s="1"/>
      <c r="H81" s="42">
        <f>H80/C29</f>
        <v>0</v>
      </c>
    </row>
    <row r="82">
      <c r="B82" s="1" t="s">
        <v>154</v>
      </c>
      <c r="C82" s="1"/>
      <c r="D82" s="1"/>
      <c r="E82" s="1"/>
      <c r="F82" s="1"/>
      <c r="G82" s="1"/>
      <c r="H82" s="3" t="s">
        <v>38</v>
      </c>
    </row>
    <row r="83">
      <c r="B83" s="35" t="s">
        <v>155</v>
      </c>
      <c r="C83" s="1"/>
      <c r="D83" s="1"/>
      <c r="E83" s="1"/>
      <c r="F83" s="1"/>
      <c r="G83" s="1"/>
      <c r="H83" s="42">
        <f>H61</f>
        <v>0.4285714285714286</v>
      </c>
      <c r="J83" t="s">
        <v>156</v>
      </c>
    </row>
    <row r="84">
      <c r="B84" s="1" t="s">
        <v>157</v>
      </c>
      <c r="C84" s="1"/>
      <c r="D84" s="1"/>
      <c r="E84" s="1"/>
      <c r="F84" s="1"/>
      <c r="G84" s="1"/>
      <c r="H84" s="3" t="s">
        <v>38</v>
      </c>
    </row>
    <row r="85">
      <c r="B85" s="1" t="s">
        <v>158</v>
      </c>
      <c r="C85" s="1"/>
      <c r="D85" s="1"/>
      <c r="E85" s="1"/>
      <c r="F85" s="1"/>
      <c r="G85" s="1"/>
      <c r="H85" s="3" t="s">
        <v>38</v>
      </c>
    </row>
    <row r="86">
      <c r="B86" s="35" t="s">
        <v>159</v>
      </c>
      <c r="C86" s="1"/>
      <c r="D86" s="1"/>
      <c r="E86" s="1"/>
      <c r="F86" s="1"/>
      <c r="G86" s="1"/>
      <c r="H86" s="42">
        <f>H62</f>
        <v>0.013513513513513598</v>
      </c>
    </row>
    <row r="87">
      <c r="B87" s="1" t="s">
        <v>157</v>
      </c>
      <c r="C87" s="1"/>
      <c r="D87" s="1"/>
      <c r="E87" s="1"/>
      <c r="F87" s="1"/>
      <c r="G87" s="1"/>
      <c r="H87" s="3" t="s">
        <v>38</v>
      </c>
    </row>
    <row r="88">
      <c r="B88" s="1" t="s">
        <v>158</v>
      </c>
      <c r="C88" s="1"/>
      <c r="D88" s="1"/>
      <c r="E88" s="1"/>
      <c r="F88" s="1"/>
      <c r="G88" s="1"/>
      <c r="H88" s="3" t="s">
        <v>38</v>
      </c>
    </row>
    <row r="89">
      <c r="B89" s="1" t="s">
        <v>160</v>
      </c>
      <c r="C89" s="1"/>
      <c r="D89" s="1"/>
      <c r="E89" s="1"/>
      <c r="F89" s="1"/>
      <c r="G89" s="1"/>
      <c r="H89" s="3">
        <f>SUM(H74,H77,H80)</f>
        <v>136</v>
      </c>
    </row>
    <row r="90">
      <c r="B90" s="1" t="s">
        <v>161</v>
      </c>
      <c r="C90" s="1"/>
      <c r="D90" s="1"/>
      <c r="E90" s="1"/>
      <c r="F90" s="1"/>
      <c r="G90" s="1"/>
      <c r="H90" s="3">
        <f>H89-H29</f>
        <v>0</v>
      </c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O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8" customWidth="1"/>
    <col min="11" max="11" width="25" customWidth="1"/>
    <col min="12" max="15" width="14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170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 t="s">
        <v>98</v>
      </c>
      <c r="L8" s="1" t="s">
        <v>99</v>
      </c>
      <c r="M8" s="1" t="s">
        <v>100</v>
      </c>
      <c r="N8" s="1" t="s">
        <v>101</v>
      </c>
      <c r="O8" s="1" t="s">
        <v>102</v>
      </c>
    </row>
    <row r="9">
      <c r="B9" s="1" t="s">
        <v>103</v>
      </c>
      <c r="C9" s="18">
        <v>61.5</v>
      </c>
      <c r="D9" s="18">
        <v>60.5</v>
      </c>
      <c r="E9" s="18">
        <v>55.6</v>
      </c>
      <c r="F9" s="4">
        <f>G9-SUM(C9:E9)</f>
        <v>59.599999999999994</v>
      </c>
      <c r="G9" s="18">
        <v>237.2</v>
      </c>
      <c r="H9" s="3">
        <f>(C9+H51-H52)*(1+H61)</f>
        <v>56</v>
      </c>
      <c r="I9" s="1"/>
      <c r="J9" s="1" t="s">
        <v>104</v>
      </c>
      <c r="K9" s="34">
        <v>254.5</v>
      </c>
      <c r="L9" s="34">
        <v>61.3</v>
      </c>
      <c r="M9" s="34">
        <v>61.2</v>
      </c>
      <c r="N9" s="34">
        <v>57.2</v>
      </c>
      <c r="O9" s="34">
        <v>74.8</v>
      </c>
    </row>
    <row r="10">
      <c r="B10" s="35" t="s">
        <v>105</v>
      </c>
      <c r="C10" s="8"/>
      <c r="D10" s="8"/>
      <c r="E10" s="8"/>
      <c r="F10" s="8"/>
      <c r="G10" s="8">
        <f>IFERROR(G9/K9-1,0)</f>
        <v>-0.0679764243614932</v>
      </c>
      <c r="H10" s="42">
        <f>IFERROR(H9/C9-1,0)</f>
        <v>-0.08943089430894313</v>
      </c>
      <c r="I10" s="1"/>
      <c r="J10" s="1"/>
      <c r="K10" s="1"/>
      <c r="L10" s="34"/>
      <c r="M10" s="34"/>
      <c r="N10" s="34"/>
      <c r="O10" s="34"/>
    </row>
    <row r="11">
      <c r="B11" s="1" t="s">
        <v>106</v>
      </c>
      <c r="C11" s="4"/>
      <c r="D11" s="4">
        <f>D9-C9</f>
        <v>-1</v>
      </c>
      <c r="E11" s="4">
        <f>E9-D9</f>
        <v>-4.899999999999999</v>
      </c>
      <c r="F11" s="4">
        <f>F9-E9</f>
        <v>3.999999999999993</v>
      </c>
      <c r="G11" s="4"/>
      <c r="H11" s="3">
        <f>H9-F9</f>
        <v>-3.5999999999999943</v>
      </c>
      <c r="I11" s="1"/>
      <c r="J11" s="1"/>
      <c r="K11" s="1"/>
      <c r="L11" s="34"/>
      <c r="M11" s="34"/>
      <c r="N11" s="34"/>
      <c r="O11" s="34"/>
    </row>
    <row r="12">
      <c r="B12" s="35" t="s">
        <v>107</v>
      </c>
      <c r="C12" s="47">
        <f>IFERROR(C9/C29,0)</f>
        <v>1</v>
      </c>
      <c r="D12" s="47">
        <f>IFERROR(D9/D29,0)</f>
        <v>1</v>
      </c>
      <c r="E12" s="47">
        <f>IFERROR(E9/E29,0)</f>
        <v>1</v>
      </c>
      <c r="F12" s="47">
        <f>IFERROR(F9/F29,0)</f>
        <v>1</v>
      </c>
      <c r="G12" s="8">
        <f>IFERROR(G9/G29,0)</f>
        <v>1</v>
      </c>
      <c r="H12" s="42">
        <f>IFERROR(H9/H29,0)</f>
        <v>1</v>
      </c>
      <c r="I12" s="1"/>
      <c r="J12" s="1"/>
      <c r="K12" s="1"/>
      <c r="L12" s="34"/>
      <c r="M12" s="34"/>
      <c r="N12" s="34"/>
      <c r="O12" s="34"/>
    </row>
    <row r="13">
      <c r="B13" s="35" t="s">
        <v>108</v>
      </c>
      <c r="C13" s="4"/>
      <c r="D13" s="4">
        <f>(D12-C12)*10000</f>
        <v>0</v>
      </c>
      <c r="E13" s="4">
        <f>(E12-D12)*10000</f>
        <v>0</v>
      </c>
      <c r="F13" s="4">
        <f>(F12-E12)*10000</f>
        <v>0</v>
      </c>
      <c r="G13" s="45">
        <f>(G12-K9/K29)*10000</f>
        <v>0</v>
      </c>
      <c r="H13" s="46">
        <f>(H12-C12)*10000</f>
        <v>0</v>
      </c>
      <c r="I13" s="1"/>
      <c r="J13" s="1"/>
      <c r="K13" s="1"/>
      <c r="L13" s="34"/>
      <c r="M13" s="34"/>
      <c r="N13" s="34"/>
      <c r="O13" s="34"/>
    </row>
    <row r="14">
      <c r="B14" s="35" t="s">
        <v>62</v>
      </c>
      <c r="C14" s="8"/>
      <c r="D14" s="8"/>
      <c r="E14" s="8"/>
      <c r="F14" s="8"/>
      <c r="G14" s="8">
        <f>(1+G17)/((1+G15)*(1+G16))-1</f>
        <v>-0.0679764243614932</v>
      </c>
      <c r="H14" s="42">
        <f>(1+H17)/((1+H15)*(1+H16))-1</f>
        <v>-0.08943089430894313</v>
      </c>
      <c r="I14" s="1"/>
      <c r="J14" s="1"/>
      <c r="K14" s="1"/>
      <c r="L14" s="34"/>
      <c r="M14" s="34"/>
      <c r="N14" s="34"/>
      <c r="O14" s="34"/>
    </row>
    <row r="15">
      <c r="B15" s="35" t="s">
        <v>63</v>
      </c>
      <c r="C15" s="8"/>
      <c r="D15" s="8"/>
      <c r="E15" s="8"/>
      <c r="F15" s="8"/>
      <c r="G15" s="48">
        <v>0</v>
      </c>
      <c r="H15" s="42">
        <f>(H51-H52)/C9</f>
        <v>0</v>
      </c>
      <c r="I15" s="1"/>
      <c r="J15" s="1"/>
      <c r="K15" s="1"/>
      <c r="L15" s="34"/>
      <c r="M15" s="34"/>
      <c r="N15" s="34"/>
      <c r="O15" s="34"/>
    </row>
    <row r="16">
      <c r="B16" s="35" t="s">
        <v>109</v>
      </c>
      <c r="C16" s="8"/>
      <c r="D16" s="8"/>
      <c r="E16" s="8"/>
      <c r="F16" s="8"/>
      <c r="G16" s="48">
        <v>0</v>
      </c>
      <c r="H16" s="44">
        <v>0</v>
      </c>
      <c r="I16" s="1"/>
      <c r="J16" s="1"/>
      <c r="K16" s="1"/>
      <c r="L16" s="34"/>
      <c r="M16" s="34"/>
      <c r="N16" s="34"/>
      <c r="O16" s="34"/>
    </row>
    <row r="17">
      <c r="B17" s="35" t="s">
        <v>84</v>
      </c>
      <c r="C17" s="8"/>
      <c r="D17" s="8"/>
      <c r="E17" s="8"/>
      <c r="F17" s="8"/>
      <c r="G17" s="8">
        <f>G10</f>
        <v>-0.0679764243614932</v>
      </c>
      <c r="H17" s="42">
        <f>H10</f>
        <v>-0.08943089430894313</v>
      </c>
      <c r="I17" s="1"/>
      <c r="J17" s="1"/>
      <c r="K17" s="1"/>
      <c r="L17" s="34"/>
      <c r="M17" s="34"/>
      <c r="N17" s="34"/>
      <c r="O17" s="34"/>
    </row>
    <row r="18">
      <c r="B18" s="1"/>
      <c r="C18" s="4"/>
      <c r="D18" s="4"/>
      <c r="E18" s="4"/>
      <c r="F18" s="4"/>
      <c r="G18" s="4"/>
      <c r="H18" s="3"/>
      <c r="I18" s="1"/>
      <c r="J18" s="1"/>
      <c r="K18" s="1"/>
      <c r="L18" s="34"/>
      <c r="M18" s="34"/>
      <c r="N18" s="34"/>
      <c r="O18" s="34"/>
    </row>
    <row r="19">
      <c r="B19" s="1" t="s">
        <v>110</v>
      </c>
      <c r="C19" s="18">
        <v>0</v>
      </c>
      <c r="D19" s="18">
        <v>0</v>
      </c>
      <c r="E19" s="18">
        <v>0</v>
      </c>
      <c r="F19" s="4">
        <f>G19-SUM(C19:E19)</f>
        <v>0</v>
      </c>
      <c r="G19" s="18">
        <v>0</v>
      </c>
      <c r="H19" s="3">
        <f>C19</f>
        <v>0</v>
      </c>
      <c r="I19" s="1"/>
      <c r="J19" s="1"/>
      <c r="K19" s="1">
        <v>0</v>
      </c>
      <c r="L19" s="34">
        <v>0</v>
      </c>
      <c r="M19" s="34">
        <v>0</v>
      </c>
      <c r="N19" s="34">
        <v>0</v>
      </c>
      <c r="O19" s="34">
        <v>0</v>
      </c>
    </row>
    <row r="20">
      <c r="B20" s="35" t="s">
        <v>105</v>
      </c>
      <c r="C20" s="8"/>
      <c r="D20" s="8"/>
      <c r="E20" s="8"/>
      <c r="F20" s="8"/>
      <c r="G20" s="8">
        <f>IFERROR(G19/K19-1,0)</f>
        <v>0</v>
      </c>
      <c r="H20" s="42">
        <f>IFERROR(H19/C19-1,0)</f>
        <v>0</v>
      </c>
      <c r="I20" s="1"/>
      <c r="J20" s="1"/>
      <c r="K20" s="1"/>
    </row>
    <row r="21">
      <c r="B21" s="1" t="s">
        <v>106</v>
      </c>
      <c r="C21" s="4"/>
      <c r="D21" s="4">
        <f>D19-C19</f>
        <v>0</v>
      </c>
      <c r="E21" s="4">
        <f>E19-D19</f>
        <v>0</v>
      </c>
      <c r="F21" s="4">
        <f>F19-E19</f>
        <v>0</v>
      </c>
      <c r="G21" s="4"/>
      <c r="H21" s="3">
        <f>H19-F19</f>
        <v>0</v>
      </c>
      <c r="I21" s="1"/>
      <c r="J21" s="1"/>
      <c r="K21" s="1"/>
    </row>
    <row r="22">
      <c r="B22" s="35" t="s">
        <v>111</v>
      </c>
      <c r="C22" s="47">
        <f>IFERROR(C19/C29,0)</f>
        <v>0</v>
      </c>
      <c r="D22" s="47">
        <f>IFERROR(D19/D29,0)</f>
        <v>0</v>
      </c>
      <c r="E22" s="47">
        <f>IFERROR(E19/E29,0)</f>
        <v>0</v>
      </c>
      <c r="F22" s="47">
        <f>IFERROR(F19/F29,0)</f>
        <v>0</v>
      </c>
      <c r="G22" s="8">
        <f>IFERROR(G19/G29,0)</f>
        <v>0</v>
      </c>
      <c r="H22" s="42">
        <f>IFERROR(H19/H29,0)</f>
        <v>0</v>
      </c>
      <c r="I22" s="1"/>
      <c r="J22" s="1"/>
      <c r="K22" s="1"/>
    </row>
    <row r="23">
      <c r="B23" s="35" t="s">
        <v>108</v>
      </c>
      <c r="C23" s="4"/>
      <c r="D23" s="4">
        <f>(D22-C22)*10000</f>
        <v>0</v>
      </c>
      <c r="E23" s="4">
        <f>(E22-D22)*10000</f>
        <v>0</v>
      </c>
      <c r="F23" s="4">
        <f>(F22-E22)*10000</f>
        <v>0</v>
      </c>
      <c r="G23" s="45">
        <f>(G22-K19/K29)*10000</f>
        <v>0</v>
      </c>
      <c r="H23" s="46">
        <f>(H22-C22)*10000</f>
        <v>0</v>
      </c>
      <c r="I23" s="1"/>
      <c r="J23" s="1"/>
      <c r="K23" s="1"/>
    </row>
    <row r="24">
      <c r="B24" s="35" t="s">
        <v>62</v>
      </c>
      <c r="C24" s="8"/>
      <c r="D24" s="8"/>
      <c r="E24" s="8"/>
      <c r="F24" s="8"/>
      <c r="G24" s="8">
        <f>(1+G27)/((1+G25)*(1+G26))-1</f>
        <v>0</v>
      </c>
      <c r="H24" s="42">
        <f>(1+H27)/((1+H25)*(1+H26))-1</f>
        <v>0</v>
      </c>
      <c r="I24" s="1"/>
      <c r="J24" s="1"/>
      <c r="K24" s="1"/>
    </row>
    <row r="25">
      <c r="B25" s="35" t="s">
        <v>63</v>
      </c>
      <c r="C25" s="8"/>
      <c r="D25" s="8"/>
      <c r="E25" s="8"/>
      <c r="F25" s="8"/>
      <c r="G25" s="48">
        <v>0</v>
      </c>
      <c r="H25" s="42">
        <f>IFERROR(H52/C19,0)</f>
        <v>0</v>
      </c>
      <c r="I25" s="1"/>
      <c r="J25" s="1"/>
      <c r="K25" s="1"/>
    </row>
    <row r="26">
      <c r="B26" s="35" t="s">
        <v>109</v>
      </c>
      <c r="C26" s="8"/>
      <c r="D26" s="8"/>
      <c r="E26" s="8"/>
      <c r="F26" s="8"/>
      <c r="G26" s="48">
        <v>0</v>
      </c>
      <c r="H26" s="44">
        <v>0</v>
      </c>
      <c r="I26" s="1"/>
      <c r="J26" s="1"/>
      <c r="K26" s="1"/>
    </row>
    <row r="27">
      <c r="B27" s="35" t="s">
        <v>84</v>
      </c>
      <c r="C27" s="8"/>
      <c r="D27" s="8"/>
      <c r="E27" s="8"/>
      <c r="F27" s="8"/>
      <c r="G27" s="8">
        <f>G20</f>
        <v>0</v>
      </c>
      <c r="H27" s="42">
        <f>H20</f>
        <v>0</v>
      </c>
      <c r="I27" s="1"/>
      <c r="J27" s="1"/>
      <c r="K27" s="1"/>
    </row>
    <row r="28">
      <c r="B28" s="1"/>
      <c r="C28" s="4"/>
      <c r="D28" s="4"/>
      <c r="E28" s="4"/>
      <c r="F28" s="4"/>
      <c r="G28" s="4"/>
      <c r="H28" s="3"/>
      <c r="I28" s="1"/>
      <c r="J28" s="1"/>
      <c r="K28" s="1"/>
    </row>
    <row r="29">
      <c r="B29" s="17" t="s">
        <v>112</v>
      </c>
      <c r="C29" s="20">
        <f>SUM(C9,C19)</f>
        <v>61.5</v>
      </c>
      <c r="D29" s="20">
        <f>SUM(D9,D19)</f>
        <v>60.5</v>
      </c>
      <c r="E29" s="20">
        <f>SUM(E9,E19)</f>
        <v>55.6</v>
      </c>
      <c r="F29" s="20">
        <f>SUM(F9,F19)</f>
        <v>59.599999999999994</v>
      </c>
      <c r="G29" s="20">
        <f>SUM(G9,G19)</f>
        <v>237.2</v>
      </c>
      <c r="H29" s="21">
        <f>SUM(H9,H19)</f>
        <v>56</v>
      </c>
      <c r="I29" s="1"/>
      <c r="J29" s="1"/>
      <c r="K29" s="1">
        <f>SUM(K9,K19)</f>
        <v>254.5</v>
      </c>
    </row>
    <row r="30">
      <c r="B30" s="35" t="s">
        <v>105</v>
      </c>
      <c r="C30" s="8"/>
      <c r="D30" s="8"/>
      <c r="E30" s="8"/>
      <c r="F30" s="8"/>
      <c r="G30" s="8">
        <f>G29/K29-1</f>
        <v>-0.0679764243614932</v>
      </c>
      <c r="H30" s="42">
        <f>IFERROR(H29/C29-1,0)</f>
        <v>-0.08943089430894313</v>
      </c>
      <c r="I30" s="1"/>
      <c r="J30" s="1"/>
      <c r="K30" s="1"/>
    </row>
    <row r="31">
      <c r="B31" s="1" t="s">
        <v>106</v>
      </c>
      <c r="C31" s="4"/>
      <c r="D31" s="4">
        <f>D29-C29</f>
        <v>-1</v>
      </c>
      <c r="E31" s="4">
        <f>E29-D29</f>
        <v>-4.899999999999999</v>
      </c>
      <c r="F31" s="4">
        <f>F29-E29</f>
        <v>3.999999999999993</v>
      </c>
      <c r="G31" s="4"/>
      <c r="H31" s="3">
        <f>H29-F29</f>
        <v>-3.5999999999999943</v>
      </c>
      <c r="I31" s="1"/>
      <c r="J31" s="1"/>
      <c r="K31" s="1"/>
    </row>
    <row r="32">
      <c r="B32" s="35" t="s">
        <v>113</v>
      </c>
      <c r="C32" s="27">
        <f>IFERROR(C29/'Revenue summary'!C29,0)</f>
        <v>0.0831530557057869</v>
      </c>
      <c r="D32" s="27">
        <f>IFERROR(D29/'Revenue summary'!D29,0)</f>
        <v>0.0760719225449516</v>
      </c>
      <c r="E32" s="27">
        <f>IFERROR(E29/'Revenue summary'!E29,0)</f>
        <v>0.06579103064726069</v>
      </c>
      <c r="F32" s="27">
        <f>IFERROR(F29/'Revenue summary'!F29,0)</f>
        <v>0.06422413793103446</v>
      </c>
      <c r="G32" s="27">
        <f>IFERROR(G29/'Revenue summary'!G29,0)</f>
        <v>0.0717049576783555</v>
      </c>
      <c r="H32" s="49">
        <f>IFERROR(H29/'Revenue summary'!H29,0)</f>
        <v>0.06334841628959276</v>
      </c>
      <c r="I32" s="1"/>
      <c r="J32" s="1"/>
      <c r="K32" s="1"/>
    </row>
    <row r="33">
      <c r="B33" s="35" t="s">
        <v>108</v>
      </c>
      <c r="C33" s="4"/>
      <c r="D33" s="4">
        <f>(D32-C32)*10000</f>
        <v>-70.81133160835307</v>
      </c>
      <c r="E33" s="4">
        <f>(E32-D32)*10000</f>
        <v>-102.80891897690908</v>
      </c>
      <c r="F33" s="4">
        <f>(F32-E32)*10000</f>
        <v>-15.668927162262314</v>
      </c>
      <c r="G33" s="4"/>
      <c r="H33" s="3">
        <f>(H32-C32)*10000</f>
        <v>-198.04639416194146</v>
      </c>
      <c r="I33" s="1"/>
      <c r="J33" s="1"/>
      <c r="K33" s="1"/>
    </row>
    <row r="34">
      <c r="B34" s="35" t="s">
        <v>62</v>
      </c>
      <c r="C34" s="8"/>
      <c r="D34" s="8"/>
      <c r="E34" s="8"/>
      <c r="F34" s="8"/>
      <c r="G34" s="8">
        <f>(1+G37)/((1+G35)*(1+G36))-1</f>
        <v>-0.0679764243614932</v>
      </c>
      <c r="H34" s="42">
        <f>(1+H37)/((1+H35)*(1+H36))-1</f>
        <v>-0.08943089430894313</v>
      </c>
      <c r="I34" s="1"/>
      <c r="J34" s="1"/>
      <c r="K34" s="1"/>
    </row>
    <row r="35">
      <c r="B35" s="35" t="s">
        <v>63</v>
      </c>
      <c r="C35" s="8"/>
      <c r="D35" s="8"/>
      <c r="E35" s="8"/>
      <c r="F35" s="8"/>
      <c r="G35" s="48">
        <v>0</v>
      </c>
      <c r="H35" s="42">
        <f>H51/C29</f>
        <v>0</v>
      </c>
      <c r="I35" s="1"/>
      <c r="J35" s="1"/>
      <c r="K35" s="1"/>
    </row>
    <row r="36">
      <c r="B36" s="35" t="s">
        <v>109</v>
      </c>
      <c r="C36" s="8"/>
      <c r="D36" s="8"/>
      <c r="E36" s="8"/>
      <c r="F36" s="8"/>
      <c r="G36" s="48">
        <v>0</v>
      </c>
      <c r="H36" s="44">
        <v>0</v>
      </c>
      <c r="I36" s="1"/>
      <c r="J36" s="1"/>
      <c r="K36" s="1"/>
    </row>
    <row r="37">
      <c r="B37" s="35" t="s">
        <v>84</v>
      </c>
      <c r="C37" s="8"/>
      <c r="D37" s="8"/>
      <c r="E37" s="8"/>
      <c r="F37" s="8"/>
      <c r="G37" s="8">
        <f>G30</f>
        <v>-0.0679764243614932</v>
      </c>
      <c r="H37" s="42">
        <f>H30</f>
        <v>-0.08943089430894313</v>
      </c>
      <c r="I37" s="1"/>
      <c r="J37" s="1"/>
      <c r="K37" s="1"/>
    </row>
    <row r="38">
      <c r="B38" s="1"/>
      <c r="C38" s="4"/>
      <c r="D38" s="4"/>
      <c r="E38" s="4"/>
      <c r="F38" s="4"/>
      <c r="G38" s="4"/>
      <c r="H38" s="3"/>
      <c r="I38" s="1"/>
      <c r="J38" s="1"/>
      <c r="K38" s="1"/>
    </row>
    <row r="39">
      <c r="B39" s="17" t="s">
        <v>114</v>
      </c>
      <c r="C39" s="5">
        <v>0.4</v>
      </c>
      <c r="D39" s="5">
        <v>3.3</v>
      </c>
      <c r="E39" s="5">
        <v>-5.2</v>
      </c>
      <c r="F39" s="5">
        <v>1.5</v>
      </c>
      <c r="G39" s="5">
        <v>0</v>
      </c>
      <c r="H39" s="21">
        <f>H29*H42</f>
        <v>2.24</v>
      </c>
      <c r="I39" s="1"/>
      <c r="J39" s="1"/>
      <c r="K39" s="1">
        <v>8.6</v>
      </c>
    </row>
    <row r="40">
      <c r="B40" s="35" t="s">
        <v>115</v>
      </c>
      <c r="C40" s="8">
        <f>IFERROR(C39/C29,0)</f>
        <v>0.0065040650406504065</v>
      </c>
      <c r="D40" s="8">
        <f>IFERROR(D39/D29,0)</f>
        <v>0.05454545454545454</v>
      </c>
      <c r="E40" s="8">
        <f>IFERROR(E39/E29,0)</f>
        <v>-0.09352517985611511</v>
      </c>
      <c r="F40" s="8">
        <f>IFERROR(F39/F29,0)</f>
        <v>0.02516778523489933</v>
      </c>
      <c r="G40" s="8">
        <f>IFERROR(G39/G29,0)</f>
        <v>0</v>
      </c>
      <c r="H40" s="42">
        <f>IFERROR(H39/H29,0)</f>
        <v>0.04</v>
      </c>
      <c r="I40" s="1"/>
      <c r="J40" s="1"/>
      <c r="K40" s="1"/>
    </row>
    <row r="41">
      <c r="B41" s="35" t="s">
        <v>116</v>
      </c>
      <c r="C41" s="4"/>
      <c r="D41" s="4">
        <f>(D40-C40)*10000</f>
        <v>480.41389504804135</v>
      </c>
      <c r="E41" s="4">
        <f>(E40-D40)*10000</f>
        <v>-1480.7063440156965</v>
      </c>
      <c r="F41" s="4">
        <f>(F40-E40)*10000</f>
        <v>1186.9296509101443</v>
      </c>
      <c r="G41" s="4">
        <f>(G40-K39/K29)*10000</f>
        <v>-337.91748526522593</v>
      </c>
      <c r="H41" s="3">
        <f>(H40-C40)*10000</f>
        <v>334.9593495934959</v>
      </c>
      <c r="I41" s="1"/>
      <c r="J41" s="1"/>
      <c r="K41" s="1"/>
    </row>
    <row r="42">
      <c r="B42" s="35" t="s">
        <v>117</v>
      </c>
      <c r="C42" s="8"/>
      <c r="D42" s="8"/>
      <c r="E42" s="8"/>
      <c r="F42" s="8"/>
      <c r="G42" s="8"/>
      <c r="H42" s="44">
        <v>0.04</v>
      </c>
      <c r="I42" s="1"/>
      <c r="J42" s="1"/>
      <c r="K42" s="1"/>
    </row>
    <row r="43">
      <c r="B43" s="1" t="s">
        <v>118</v>
      </c>
      <c r="C43" s="4"/>
      <c r="D43" s="4"/>
      <c r="E43" s="4"/>
      <c r="F43" s="4"/>
      <c r="G43" s="4"/>
      <c r="H43" s="3"/>
      <c r="I43" s="1"/>
      <c r="J43" s="1" t="s">
        <v>167</v>
      </c>
      <c r="K43" s="1"/>
    </row>
    <row r="44">
      <c r="B44" s="1" t="s">
        <v>171</v>
      </c>
      <c r="C44" s="4" t="s">
        <v>38</v>
      </c>
      <c r="D44" s="4" t="s">
        <v>38</v>
      </c>
      <c r="E44" s="4" t="s">
        <v>38</v>
      </c>
      <c r="F44" s="4" t="s">
        <v>38</v>
      </c>
      <c r="G44" s="18">
        <v>210.4</v>
      </c>
      <c r="H44" s="32">
        <v>49.7</v>
      </c>
      <c r="I44" s="1"/>
      <c r="J44" s="1"/>
      <c r="K44" s="1"/>
    </row>
    <row r="45">
      <c r="B45" s="1" t="s">
        <v>172</v>
      </c>
      <c r="C45" s="4" t="s">
        <v>38</v>
      </c>
      <c r="D45" s="4" t="s">
        <v>38</v>
      </c>
      <c r="E45" s="4" t="s">
        <v>38</v>
      </c>
      <c r="F45" s="4" t="s">
        <v>38</v>
      </c>
      <c r="G45" s="18">
        <v>26.8</v>
      </c>
      <c r="H45" s="32">
        <v>6.3</v>
      </c>
      <c r="I45" s="1"/>
      <c r="J45" s="1"/>
      <c r="K45" s="1"/>
    </row>
    <row r="46">
      <c r="B46" s="17" t="s">
        <v>123</v>
      </c>
      <c r="C46" s="20"/>
      <c r="D46" s="20"/>
      <c r="E46" s="20"/>
      <c r="F46" s="20"/>
      <c r="G46" s="20">
        <f>SUM(G44:G45)-G29</f>
        <v>0</v>
      </c>
      <c r="H46" s="21">
        <f>SUM(H44:H45)-H29</f>
        <v>0</v>
      </c>
      <c r="I46" s="1"/>
      <c r="J46" s="1"/>
      <c r="K46" s="1"/>
    </row>
    <row r="47">
      <c r="B47" s="1"/>
      <c r="C47" s="4"/>
      <c r="D47" s="4"/>
      <c r="E47" s="4"/>
      <c r="F47" s="4"/>
      <c r="G47" s="4"/>
      <c r="H47" s="3"/>
      <c r="I47" s="1"/>
      <c r="J47" s="1"/>
      <c r="K47" s="1"/>
    </row>
    <row r="48">
      <c r="B48" s="35" t="s">
        <v>124</v>
      </c>
      <c r="C48" s="8">
        <f>IFERROR(C9/C29,0)</f>
        <v>1</v>
      </c>
      <c r="D48" s="8">
        <f>IFERROR(D9/D29,0)</f>
        <v>1</v>
      </c>
      <c r="E48" s="8">
        <f>IFERROR(E9/E29,0)</f>
        <v>1</v>
      </c>
      <c r="F48" s="8">
        <f>IFERROR(F9/F29,0)</f>
        <v>1</v>
      </c>
      <c r="G48" s="8">
        <f>IFERROR(G9/G29,0)</f>
        <v>1</v>
      </c>
      <c r="H48" s="42">
        <f>IFERROR(H9/H29,0)</f>
        <v>1</v>
      </c>
      <c r="I48" s="1"/>
      <c r="J48" s="1"/>
      <c r="K48" s="1"/>
    </row>
    <row r="49">
      <c r="B49" s="35" t="s">
        <v>125</v>
      </c>
      <c r="C49" s="45"/>
      <c r="D49" s="45"/>
      <c r="E49" s="45"/>
      <c r="F49" s="45"/>
      <c r="G49" s="45"/>
      <c r="H49" s="46">
        <f>(H48-C48)*10000</f>
        <v>0</v>
      </c>
      <c r="I49" s="1"/>
      <c r="J49" s="1"/>
      <c r="K49" s="1"/>
    </row>
    <row r="50">
      <c r="B50" s="35" t="s">
        <v>126</v>
      </c>
      <c r="C50" s="4"/>
      <c r="D50" s="4">
        <f>(D48-C48)*10000</f>
        <v>0</v>
      </c>
      <c r="E50" s="4">
        <f>(E48-D48)*10000</f>
        <v>0</v>
      </c>
      <c r="F50" s="4">
        <f>(F48-E48)*10000</f>
        <v>0</v>
      </c>
      <c r="G50" s="4"/>
      <c r="H50" s="3">
        <f>(H48-F48)*10000</f>
        <v>0</v>
      </c>
      <c r="I50" s="1"/>
      <c r="J50" s="1"/>
      <c r="K50" s="1"/>
    </row>
    <row r="51">
      <c r="B51" s="6" t="s">
        <v>127</v>
      </c>
      <c r="C51" s="6"/>
      <c r="D51" s="6"/>
      <c r="E51" s="6"/>
      <c r="F51" s="6"/>
      <c r="G51" s="6"/>
      <c r="H51" s="43">
        <v>0</v>
      </c>
      <c r="I51" s="6"/>
      <c r="J51" s="6" t="s">
        <v>128</v>
      </c>
      <c r="K51" s="1"/>
    </row>
    <row r="52">
      <c r="B52" s="6" t="s">
        <v>129</v>
      </c>
      <c r="C52" s="6"/>
      <c r="D52" s="6"/>
      <c r="E52" s="6"/>
      <c r="F52" s="6"/>
      <c r="G52" s="6"/>
      <c r="H52" s="43">
        <v>0</v>
      </c>
      <c r="I52" s="6"/>
      <c r="J52" s="6"/>
      <c r="K52" s="1"/>
    </row>
    <row r="53">
      <c r="B53" s="6" t="s">
        <v>130</v>
      </c>
      <c r="C53" s="6"/>
      <c r="D53" s="6"/>
      <c r="E53" s="6"/>
      <c r="F53" s="6"/>
      <c r="G53" s="6"/>
      <c r="H53" s="13"/>
      <c r="I53" s="6"/>
      <c r="J53" s="6"/>
      <c r="K53" s="1">
        <v>0</v>
      </c>
    </row>
    <row r="54">
      <c r="B54" s="6"/>
      <c r="C54" s="6"/>
      <c r="D54" s="6"/>
      <c r="E54" s="6"/>
      <c r="F54" s="6"/>
      <c r="G54" s="6"/>
      <c r="H54" s="13"/>
      <c r="I54" s="6"/>
      <c r="J54" s="6"/>
      <c r="K54" s="6"/>
    </row>
    <row r="55">
      <c r="B55" s="6"/>
      <c r="C55" s="6"/>
      <c r="D55" s="6"/>
      <c r="E55" s="6"/>
      <c r="F55" s="6"/>
      <c r="G55" s="6"/>
      <c r="H55" s="13"/>
      <c r="I55" s="6"/>
      <c r="J55" s="6"/>
      <c r="K55" s="6"/>
    </row>
    <row r="56">
      <c r="B56" s="6"/>
      <c r="C56" s="6"/>
      <c r="D56" s="6"/>
      <c r="E56" s="6"/>
      <c r="F56" s="6"/>
      <c r="G56" s="6"/>
      <c r="H56" s="13"/>
      <c r="I56" s="6"/>
      <c r="J56" s="6"/>
      <c r="K56" s="6"/>
    </row>
    <row r="57">
      <c r="B57" s="1" t="s">
        <v>131</v>
      </c>
      <c r="C57" s="1"/>
      <c r="D57" s="1"/>
      <c r="E57" s="1"/>
      <c r="F57" s="1"/>
      <c r="G57" s="1"/>
      <c r="H57" s="36"/>
      <c r="I57" s="1"/>
      <c r="J57" s="1"/>
      <c r="K57" s="1"/>
    </row>
    <row r="58">
      <c r="B58" s="1" t="s">
        <v>132</v>
      </c>
      <c r="C58" s="4">
        <f>C29</f>
        <v>61.5</v>
      </c>
      <c r="D58" s="1"/>
      <c r="E58" s="1"/>
      <c r="F58" s="1"/>
      <c r="G58" s="1"/>
      <c r="H58" s="3">
        <f>C29</f>
        <v>61.5</v>
      </c>
      <c r="I58" s="1"/>
      <c r="J58" s="1"/>
      <c r="K58" s="1"/>
    </row>
    <row r="59">
      <c r="B59" s="1" t="s">
        <v>133</v>
      </c>
      <c r="C59" s="1"/>
      <c r="D59" s="1"/>
      <c r="E59" s="1"/>
      <c r="F59" s="1"/>
      <c r="G59" s="1"/>
      <c r="H59" s="36">
        <f>SUM((C9+H51-H52)*H61,(C19+H52)*H62)</f>
        <v>-5.500000000000003</v>
      </c>
      <c r="I59" s="1"/>
      <c r="J59" s="1"/>
      <c r="K59" s="1"/>
    </row>
    <row r="60">
      <c r="B60" s="1" t="s">
        <v>134</v>
      </c>
      <c r="C60" s="1"/>
      <c r="D60" s="1"/>
      <c r="E60" s="1"/>
      <c r="F60" s="1"/>
      <c r="G60" s="1"/>
      <c r="H60" s="3">
        <f>H51</f>
        <v>0</v>
      </c>
      <c r="I60" s="1"/>
      <c r="J60" s="1"/>
      <c r="K60" s="1"/>
    </row>
    <row r="61">
      <c r="B61" s="35" t="s">
        <v>135</v>
      </c>
      <c r="C61" s="8"/>
      <c r="D61" s="8"/>
      <c r="E61" s="8"/>
      <c r="F61" s="8"/>
      <c r="G61" s="8"/>
      <c r="H61" s="44">
        <v>-0.08943089430894313</v>
      </c>
      <c r="I61" s="1"/>
      <c r="J61" s="1" t="s">
        <v>136</v>
      </c>
      <c r="K61" s="1"/>
    </row>
    <row r="62">
      <c r="B62" s="35" t="s">
        <v>137</v>
      </c>
      <c r="C62" s="8"/>
      <c r="D62" s="8"/>
      <c r="E62" s="8"/>
      <c r="F62" s="8"/>
      <c r="G62" s="8"/>
      <c r="H62" s="44">
        <v>0</v>
      </c>
      <c r="I62" s="1"/>
      <c r="J62" s="1"/>
      <c r="K62" s="1"/>
    </row>
    <row r="63">
      <c r="B63" s="1" t="s">
        <v>138</v>
      </c>
      <c r="C63" s="1"/>
      <c r="D63" s="1"/>
      <c r="E63" s="1"/>
      <c r="F63" s="1"/>
      <c r="G63" s="1"/>
      <c r="H63" s="3">
        <f>H29-SUM(H58:H60)</f>
        <v>0</v>
      </c>
      <c r="I63" s="1"/>
      <c r="J63" s="1"/>
      <c r="K63" s="1"/>
    </row>
    <row r="64">
      <c r="B64" s="1"/>
      <c r="C64" s="1"/>
      <c r="D64" s="1"/>
      <c r="E64" s="1"/>
      <c r="F64" s="1"/>
      <c r="G64" s="1"/>
      <c r="H64" s="36"/>
      <c r="I64" s="1"/>
      <c r="J64" s="1"/>
      <c r="K64" s="1"/>
    </row>
    <row r="65">
      <c r="B65" s="1" t="s">
        <v>139</v>
      </c>
      <c r="C65" s="1"/>
      <c r="D65" s="1"/>
      <c r="E65" s="1"/>
      <c r="F65" s="1"/>
      <c r="G65" s="1"/>
      <c r="H65" s="36"/>
      <c r="I65" s="1"/>
      <c r="J65" s="1"/>
      <c r="K65" s="1"/>
    </row>
    <row r="66">
      <c r="B66" s="1"/>
      <c r="C66" s="1"/>
      <c r="D66" s="1"/>
      <c r="E66" s="1"/>
      <c r="F66" s="1"/>
      <c r="G66" s="1"/>
      <c r="H66" s="36"/>
      <c r="I66" s="1"/>
      <c r="J66" s="1"/>
      <c r="K66" s="1"/>
    </row>
    <row r="67">
      <c r="B67" s="1" t="s">
        <v>140</v>
      </c>
      <c r="C67" s="1" t="s">
        <v>38</v>
      </c>
      <c r="D67" s="1" t="s">
        <v>38</v>
      </c>
      <c r="E67" s="1" t="s">
        <v>38</v>
      </c>
      <c r="F67" s="1" t="s">
        <v>38</v>
      </c>
      <c r="G67" s="1" t="s">
        <v>38</v>
      </c>
      <c r="H67" s="36" t="s">
        <v>38</v>
      </c>
      <c r="I67" s="1"/>
      <c r="J67" s="1" t="s">
        <v>141</v>
      </c>
      <c r="K67" s="1"/>
    </row>
    <row r="68">
      <c r="B68" s="1" t="s">
        <v>142</v>
      </c>
      <c r="C68" s="1" t="s">
        <v>38</v>
      </c>
      <c r="D68" s="1" t="s">
        <v>38</v>
      </c>
      <c r="E68" s="1" t="s">
        <v>38</v>
      </c>
      <c r="F68" s="1" t="s">
        <v>38</v>
      </c>
      <c r="G68" s="1" t="s">
        <v>38</v>
      </c>
      <c r="H68" s="36" t="s">
        <v>38</v>
      </c>
      <c r="I68" s="1"/>
      <c r="J68" s="1"/>
      <c r="K68" s="1"/>
    </row>
    <row r="69">
      <c r="B69" s="1" t="s">
        <v>143</v>
      </c>
      <c r="C69" s="1" t="s">
        <v>38</v>
      </c>
      <c r="D69" s="1" t="s">
        <v>38</v>
      </c>
      <c r="E69" s="1" t="s">
        <v>38</v>
      </c>
      <c r="F69" s="1" t="s">
        <v>38</v>
      </c>
      <c r="G69" s="1" t="s">
        <v>38</v>
      </c>
      <c r="H69" s="36" t="s">
        <v>38</v>
      </c>
      <c r="I69" s="1"/>
      <c r="J69" s="1"/>
      <c r="K69" s="1"/>
    </row>
    <row r="70">
      <c r="B70" s="1" t="s">
        <v>144</v>
      </c>
      <c r="C70" s="1" t="s">
        <v>38</v>
      </c>
      <c r="D70" s="1" t="s">
        <v>38</v>
      </c>
      <c r="E70" s="1" t="s">
        <v>38</v>
      </c>
      <c r="F70" s="1" t="s">
        <v>38</v>
      </c>
      <c r="G70" s="1" t="s">
        <v>38</v>
      </c>
      <c r="H70" s="36" t="s">
        <v>38</v>
      </c>
      <c r="I70" s="1"/>
      <c r="J70" s="1"/>
      <c r="K70" s="1"/>
    </row>
    <row r="71">
      <c r="B71" s="1" t="s">
        <v>145</v>
      </c>
      <c r="C71" s="1" t="s">
        <v>38</v>
      </c>
      <c r="D71" s="1" t="s">
        <v>38</v>
      </c>
      <c r="E71" s="1" t="s">
        <v>38</v>
      </c>
      <c r="F71" s="1" t="s">
        <v>38</v>
      </c>
      <c r="G71" s="1" t="s">
        <v>38</v>
      </c>
      <c r="H71" s="36" t="s">
        <v>38</v>
      </c>
      <c r="I71" s="1"/>
      <c r="J71" s="1"/>
      <c r="K71" s="1"/>
    </row>
    <row r="72">
      <c r="B72" s="1" t="s">
        <v>146</v>
      </c>
      <c r="C72" s="1" t="s">
        <v>38</v>
      </c>
      <c r="D72" s="1" t="s">
        <v>38</v>
      </c>
      <c r="E72" s="1" t="s">
        <v>38</v>
      </c>
      <c r="F72" s="1" t="s">
        <v>38</v>
      </c>
      <c r="G72" s="1" t="s">
        <v>38</v>
      </c>
      <c r="H72" s="36" t="s">
        <v>38</v>
      </c>
      <c r="I72" s="1"/>
      <c r="J72" s="1"/>
      <c r="K72" s="1"/>
    </row>
    <row r="73">
      <c r="B73" s="6"/>
      <c r="C73" s="6"/>
      <c r="D73" s="6"/>
      <c r="E73" s="6"/>
      <c r="F73" s="6"/>
      <c r="G73" s="6"/>
      <c r="H73" s="13"/>
      <c r="I73" s="6"/>
      <c r="J73" s="6"/>
      <c r="K73" s="6"/>
    </row>
    <row r="74">
      <c r="B74" s="1" t="s">
        <v>147</v>
      </c>
      <c r="C74" s="1"/>
      <c r="D74" s="1"/>
      <c r="E74" s="1"/>
      <c r="F74" s="1"/>
      <c r="G74" s="1"/>
      <c r="H74" s="3">
        <f>H58</f>
        <v>61.5</v>
      </c>
    </row>
    <row r="75">
      <c r="B75" s="35" t="s">
        <v>148</v>
      </c>
      <c r="C75" s="1"/>
      <c r="D75" s="1"/>
      <c r="E75" s="1"/>
      <c r="F75" s="1"/>
      <c r="G75" s="1"/>
      <c r="H75" s="42">
        <f>H74/C29-1</f>
        <v>0</v>
      </c>
    </row>
    <row r="76">
      <c r="B76" s="1" t="s">
        <v>149</v>
      </c>
      <c r="C76" s="1"/>
      <c r="D76" s="1"/>
      <c r="E76" s="1"/>
      <c r="F76" s="1"/>
      <c r="G76" s="1"/>
      <c r="H76" s="3">
        <f>H74-F29</f>
        <v>1.9000000000000057</v>
      </c>
    </row>
    <row r="77">
      <c r="B77" s="1" t="s">
        <v>150</v>
      </c>
      <c r="C77" s="1"/>
      <c r="D77" s="1"/>
      <c r="E77" s="1"/>
      <c r="F77" s="1"/>
      <c r="G77" s="1"/>
      <c r="H77" s="3">
        <f>H59</f>
        <v>-5.500000000000003</v>
      </c>
    </row>
    <row r="78">
      <c r="B78" s="35" t="s">
        <v>151</v>
      </c>
      <c r="C78" s="1"/>
      <c r="D78" s="1"/>
      <c r="E78" s="1"/>
      <c r="F78" s="1"/>
      <c r="G78" s="1"/>
      <c r="H78" s="42">
        <f>H77/C29</f>
        <v>-0.08943089430894313</v>
      </c>
    </row>
    <row r="79">
      <c r="B79" s="1" t="s">
        <v>152</v>
      </c>
      <c r="C79" s="1"/>
      <c r="D79" s="1"/>
      <c r="E79" s="1"/>
      <c r="F79" s="1"/>
      <c r="G79" s="1"/>
      <c r="H79" s="3" t="s">
        <v>38</v>
      </c>
    </row>
    <row r="80">
      <c r="B80" s="1" t="s">
        <v>153</v>
      </c>
      <c r="C80" s="1"/>
      <c r="D80" s="1"/>
      <c r="E80" s="1"/>
      <c r="F80" s="1"/>
      <c r="G80" s="1"/>
      <c r="H80" s="3">
        <f>H60</f>
        <v>0</v>
      </c>
    </row>
    <row r="81">
      <c r="B81" s="35" t="s">
        <v>151</v>
      </c>
      <c r="C81" s="1"/>
      <c r="D81" s="1"/>
      <c r="E81" s="1"/>
      <c r="F81" s="1"/>
      <c r="G81" s="1"/>
      <c r="H81" s="42">
        <f>H80/C29</f>
        <v>0</v>
      </c>
    </row>
    <row r="82">
      <c r="B82" s="1" t="s">
        <v>154</v>
      </c>
      <c r="C82" s="1"/>
      <c r="D82" s="1"/>
      <c r="E82" s="1"/>
      <c r="F82" s="1"/>
      <c r="G82" s="1"/>
      <c r="H82" s="3" t="s">
        <v>38</v>
      </c>
    </row>
    <row r="83">
      <c r="B83" s="35" t="s">
        <v>155</v>
      </c>
      <c r="C83" s="1"/>
      <c r="D83" s="1"/>
      <c r="E83" s="1"/>
      <c r="F83" s="1"/>
      <c r="G83" s="1"/>
      <c r="H83" s="42">
        <f>H61</f>
        <v>-0.08943089430894313</v>
      </c>
      <c r="J83" t="s">
        <v>156</v>
      </c>
    </row>
    <row r="84">
      <c r="B84" s="1" t="s">
        <v>157</v>
      </c>
      <c r="C84" s="1"/>
      <c r="D84" s="1"/>
      <c r="E84" s="1"/>
      <c r="F84" s="1"/>
      <c r="G84" s="1"/>
      <c r="H84" s="3" t="s">
        <v>38</v>
      </c>
    </row>
    <row r="85">
      <c r="B85" s="1" t="s">
        <v>158</v>
      </c>
      <c r="C85" s="1"/>
      <c r="D85" s="1"/>
      <c r="E85" s="1"/>
      <c r="F85" s="1"/>
      <c r="G85" s="1"/>
      <c r="H85" s="3" t="s">
        <v>38</v>
      </c>
    </row>
    <row r="86">
      <c r="B86" s="35" t="s">
        <v>159</v>
      </c>
      <c r="C86" s="1"/>
      <c r="D86" s="1"/>
      <c r="E86" s="1"/>
      <c r="F86" s="1"/>
      <c r="G86" s="1"/>
      <c r="H86" s="42">
        <f>H62</f>
        <v>0</v>
      </c>
    </row>
    <row r="87">
      <c r="B87" s="1" t="s">
        <v>157</v>
      </c>
      <c r="C87" s="1"/>
      <c r="D87" s="1"/>
      <c r="E87" s="1"/>
      <c r="F87" s="1"/>
      <c r="G87" s="1"/>
      <c r="H87" s="3" t="s">
        <v>38</v>
      </c>
    </row>
    <row r="88">
      <c r="B88" s="1" t="s">
        <v>158</v>
      </c>
      <c r="C88" s="1"/>
      <c r="D88" s="1"/>
      <c r="E88" s="1"/>
      <c r="F88" s="1"/>
      <c r="G88" s="1"/>
      <c r="H88" s="3" t="s">
        <v>38</v>
      </c>
    </row>
    <row r="89">
      <c r="B89" s="1" t="s">
        <v>160</v>
      </c>
      <c r="C89" s="1"/>
      <c r="D89" s="1"/>
      <c r="E89" s="1"/>
      <c r="F89" s="1"/>
      <c r="G89" s="1"/>
      <c r="H89" s="3">
        <f>SUM(H74,H77,H80)</f>
        <v>56</v>
      </c>
    </row>
    <row r="90">
      <c r="B90" s="1" t="s">
        <v>161</v>
      </c>
      <c r="C90" s="1"/>
      <c r="D90" s="1"/>
      <c r="E90" s="1"/>
      <c r="F90" s="1"/>
      <c r="G90" s="1"/>
      <c r="H90" s="3">
        <f>H89-H29</f>
        <v>0</v>
      </c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B1:O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9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173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 t="s">
        <v>174</v>
      </c>
    </row>
    <row r="9">
      <c r="B9" s="1" t="s">
        <v>175</v>
      </c>
      <c r="C9" s="18">
        <v>487.8</v>
      </c>
      <c r="D9" s="18">
        <v>509.3</v>
      </c>
      <c r="E9" s="18">
        <v>539.5</v>
      </c>
      <c r="F9" s="18">
        <v>601.8</v>
      </c>
      <c r="G9" s="18">
        <v>2138.4</v>
      </c>
      <c r="H9" s="3">
        <f>H11*H49</f>
        <v>565.76</v>
      </c>
      <c r="I9" s="1"/>
      <c r="J9" s="1"/>
      <c r="K9" s="6">
        <v>1712.3</v>
      </c>
      <c r="L9">
        <v>396.9</v>
      </c>
      <c r="M9">
        <v>422.1</v>
      </c>
      <c r="N9">
        <v>416.6</v>
      </c>
      <c r="O9">
        <f>K9-SUM(L9:N9)</f>
        <v>476.70000000000005</v>
      </c>
    </row>
    <row r="10">
      <c r="B10" s="1" t="s">
        <v>176</v>
      </c>
      <c r="C10" s="18">
        <v>251.8</v>
      </c>
      <c r="D10" s="18">
        <v>286</v>
      </c>
      <c r="E10" s="18">
        <v>305.6</v>
      </c>
      <c r="F10" s="18">
        <v>326.2</v>
      </c>
      <c r="G10" s="18">
        <v>1169.6</v>
      </c>
      <c r="H10" s="3">
        <f>H11-H9</f>
        <v>318.24</v>
      </c>
      <c r="I10" s="1"/>
      <c r="J10" s="1"/>
      <c r="K10" s="6">
        <v>1068.2</v>
      </c>
      <c r="L10">
        <v>264.8</v>
      </c>
      <c r="M10">
        <v>264</v>
      </c>
      <c r="N10">
        <v>261.6</v>
      </c>
      <c r="O10">
        <f>K10-SUM(L10:N10)</f>
        <v>277.79999999999995</v>
      </c>
    </row>
    <row r="11">
      <c r="B11" s="17" t="s">
        <v>177</v>
      </c>
      <c r="C11" s="50">
        <f>'Revenue summary'!C29</f>
        <v>739.6</v>
      </c>
      <c r="D11" s="50">
        <f>'Revenue summary'!D29</f>
        <v>795.3</v>
      </c>
      <c r="E11" s="50">
        <f>'Revenue summary'!E29</f>
        <v>845.0999999999999</v>
      </c>
      <c r="F11" s="50">
        <f>'Revenue summary'!F29</f>
        <v>928.0000000000002</v>
      </c>
      <c r="G11" s="50">
        <f>'Revenue summary'!G29</f>
        <v>3308</v>
      </c>
      <c r="H11" s="37">
        <f>'Revenue summary'!H29</f>
        <v>884</v>
      </c>
      <c r="I11" s="1"/>
      <c r="J11" s="1"/>
      <c r="K11" s="6"/>
    </row>
    <row r="12">
      <c r="B12" s="35" t="s">
        <v>178</v>
      </c>
      <c r="C12" s="8"/>
      <c r="D12" s="8"/>
      <c r="E12" s="8"/>
      <c r="F12" s="8"/>
      <c r="G12" s="8"/>
      <c r="H12" s="42">
        <f>H11/C11-1</f>
        <v>0.1952406706327745</v>
      </c>
      <c r="I12" s="1"/>
      <c r="J12" s="1"/>
      <c r="K12" s="6"/>
    </row>
    <row r="13">
      <c r="B13" s="1" t="s">
        <v>179</v>
      </c>
      <c r="C13" s="18">
        <v>400.7</v>
      </c>
      <c r="D13" s="18">
        <v>413.2</v>
      </c>
      <c r="E13" s="18">
        <v>440.2</v>
      </c>
      <c r="F13" s="18">
        <v>488.1</v>
      </c>
      <c r="G13" s="18">
        <v>1742.2</v>
      </c>
      <c r="H13" s="3">
        <f>H9*(1-H50)</f>
        <v>458.2656</v>
      </c>
      <c r="I13" s="1"/>
      <c r="J13" s="1"/>
      <c r="K13" s="6"/>
    </row>
    <row r="14">
      <c r="B14" s="1" t="s">
        <v>180</v>
      </c>
      <c r="C14" s="18">
        <v>205.2</v>
      </c>
      <c r="D14" s="18">
        <v>225.2</v>
      </c>
      <c r="E14" s="18">
        <v>250.2</v>
      </c>
      <c r="F14" s="18">
        <v>263.2</v>
      </c>
      <c r="G14" s="18">
        <v>943.8</v>
      </c>
      <c r="H14" s="3">
        <f>H10*(1-H51)</f>
        <v>260.95680000000004</v>
      </c>
      <c r="I14" s="1"/>
      <c r="J14" s="1"/>
      <c r="K14" s="6"/>
    </row>
    <row r="15">
      <c r="B15" s="17" t="s">
        <v>181</v>
      </c>
      <c r="C15" s="20">
        <f>C11-SUM(C13:C14)</f>
        <v>133.70000000000005</v>
      </c>
      <c r="D15" s="20">
        <f>D11-SUM(D13:D14)</f>
        <v>156.89999999999998</v>
      </c>
      <c r="E15" s="20">
        <f>E11-SUM(E13:E14)</f>
        <v>154.69999999999993</v>
      </c>
      <c r="F15" s="20">
        <f>F11-SUM(F13:F14)</f>
        <v>176.70000000000027</v>
      </c>
      <c r="G15" s="20">
        <f>G11-SUM(G13:G14)</f>
        <v>622</v>
      </c>
      <c r="H15" s="21">
        <f>H11-SUM(H13:H14)</f>
        <v>164.7775999999999</v>
      </c>
      <c r="I15" s="1"/>
      <c r="J15" s="1"/>
      <c r="K15" s="6"/>
    </row>
    <row r="16">
      <c r="B16" s="35" t="s">
        <v>182</v>
      </c>
      <c r="C16" s="8">
        <f>C15/C11</f>
        <v>0.1807733910221742</v>
      </c>
      <c r="D16" s="8">
        <f>D15/D11</f>
        <v>0.19728404375707279</v>
      </c>
      <c r="E16" s="8">
        <f>E15/E11</f>
        <v>0.18305525973257597</v>
      </c>
      <c r="F16" s="8">
        <f>F15/F11</f>
        <v>0.19040948275862093</v>
      </c>
      <c r="G16" s="8">
        <f>G15/G11</f>
        <v>0.18802902055622733</v>
      </c>
      <c r="H16" s="42">
        <f>H15/H11</f>
        <v>0.18639999999999987</v>
      </c>
      <c r="I16" s="1"/>
      <c r="J16" s="1"/>
      <c r="K16" s="6"/>
    </row>
    <row r="17">
      <c r="B17" s="1" t="s">
        <v>183</v>
      </c>
      <c r="C17" s="4"/>
      <c r="D17" s="4"/>
      <c r="E17" s="4"/>
      <c r="F17" s="4"/>
      <c r="G17" s="4"/>
      <c r="H17" s="3">
        <f>(H16-C16)*10000</f>
        <v>56.26608977825659</v>
      </c>
      <c r="I17" s="1"/>
      <c r="J17" s="1"/>
      <c r="K17" s="6"/>
    </row>
    <row r="18">
      <c r="B18" s="1" t="s">
        <v>184</v>
      </c>
      <c r="C18" s="18">
        <v>0.6</v>
      </c>
      <c r="D18" s="18">
        <v>1.1</v>
      </c>
      <c r="E18" s="18">
        <v>0.5</v>
      </c>
      <c r="F18" s="18">
        <v>-0.1</v>
      </c>
      <c r="G18" s="18">
        <v>2.1</v>
      </c>
      <c r="H18" s="3">
        <f>H52</f>
        <v>0.5</v>
      </c>
      <c r="I18" s="1"/>
      <c r="J18" s="1"/>
      <c r="K18" s="6"/>
    </row>
    <row r="19">
      <c r="B19" s="1" t="s">
        <v>185</v>
      </c>
      <c r="C19" s="18">
        <v>71.2</v>
      </c>
      <c r="D19" s="18">
        <v>88.7</v>
      </c>
      <c r="E19" s="18">
        <v>89.8</v>
      </c>
      <c r="F19" s="18">
        <v>99.6</v>
      </c>
      <c r="G19" s="18">
        <v>349.3</v>
      </c>
      <c r="H19" s="3">
        <f>H53</f>
        <v>91</v>
      </c>
      <c r="I19" s="1"/>
      <c r="J19" s="1"/>
      <c r="K19" s="6"/>
    </row>
    <row r="20">
      <c r="B20" s="1" t="s">
        <v>186</v>
      </c>
      <c r="C20" s="18">
        <v>3</v>
      </c>
      <c r="D20" s="18">
        <v>-0.1</v>
      </c>
      <c r="E20" s="18">
        <v>1.4</v>
      </c>
      <c r="F20" s="18">
        <v>2.9</v>
      </c>
      <c r="G20" s="18">
        <v>7.2</v>
      </c>
      <c r="H20" s="3">
        <f>H54</f>
        <v>1.5</v>
      </c>
      <c r="I20" s="1"/>
      <c r="J20" s="1"/>
      <c r="K20" s="6"/>
    </row>
    <row r="21">
      <c r="B21" s="17" t="s">
        <v>187</v>
      </c>
      <c r="C21" s="20">
        <f>C15-C18-C19+C20</f>
        <v>64.90000000000005</v>
      </c>
      <c r="D21" s="20">
        <f>D15-D18-D19+D20</f>
        <v>66.99999999999999</v>
      </c>
      <c r="E21" s="20">
        <f>E15-E18-E19+E20</f>
        <v>65.79999999999994</v>
      </c>
      <c r="F21" s="20">
        <f>F15-F18-F19+F20</f>
        <v>80.10000000000028</v>
      </c>
      <c r="G21" s="20">
        <f>G15-G18-G19+G20</f>
        <v>277.79999999999995</v>
      </c>
      <c r="H21" s="21">
        <f>H15-H18-H19+H20</f>
        <v>74.7775999999999</v>
      </c>
      <c r="I21" s="1"/>
      <c r="J21" s="1"/>
      <c r="K21" s="6"/>
    </row>
    <row r="22">
      <c r="B22" s="35" t="s">
        <v>188</v>
      </c>
      <c r="C22" s="8">
        <f>C21/C11</f>
        <v>0.08775013520822073</v>
      </c>
      <c r="D22" s="8">
        <f>D21/D11</f>
        <v>0.08424493901672324</v>
      </c>
      <c r="E22" s="8">
        <f>E21/E11</f>
        <v>0.07786060821204585</v>
      </c>
      <c r="F22" s="8">
        <f>F21/F11</f>
        <v>0.08631465517241407</v>
      </c>
      <c r="G22" s="8">
        <f>G21/G11</f>
        <v>0.08397823458282949</v>
      </c>
      <c r="H22" s="42">
        <f>H21/H11</f>
        <v>0.08459004524886865</v>
      </c>
      <c r="I22" s="1"/>
      <c r="J22" s="1"/>
      <c r="K22" s="6"/>
    </row>
    <row r="23">
      <c r="B23" s="1" t="s">
        <v>116</v>
      </c>
      <c r="C23" s="4"/>
      <c r="D23" s="4"/>
      <c r="E23" s="4"/>
      <c r="F23" s="4"/>
      <c r="G23" s="4"/>
      <c r="H23" s="3">
        <f>(H22-C22)*10000</f>
        <v>-31.600899593520747</v>
      </c>
      <c r="I23" s="1"/>
      <c r="J23" s="1"/>
      <c r="K23" s="6"/>
    </row>
    <row r="24">
      <c r="B24" s="1" t="s">
        <v>189</v>
      </c>
      <c r="C24" s="18">
        <v>-18.8</v>
      </c>
      <c r="D24" s="18">
        <v>-19.1</v>
      </c>
      <c r="E24" s="18">
        <v>-17.5</v>
      </c>
      <c r="F24" s="18">
        <v>-16.3</v>
      </c>
      <c r="G24" s="18">
        <v>-72.1</v>
      </c>
      <c r="H24" s="32">
        <v>-17</v>
      </c>
      <c r="I24" s="1"/>
      <c r="J24" s="1"/>
      <c r="K24" s="6"/>
    </row>
    <row r="25">
      <c r="B25" s="1" t="s">
        <v>190</v>
      </c>
      <c r="C25" s="18">
        <v>0.3</v>
      </c>
      <c r="D25" s="18">
        <v>1</v>
      </c>
      <c r="E25" s="18">
        <v>0.4</v>
      </c>
      <c r="F25" s="18">
        <v>0</v>
      </c>
      <c r="G25" s="18">
        <v>1.6</v>
      </c>
      <c r="H25" s="32">
        <v>0.4</v>
      </c>
      <c r="I25" s="1"/>
      <c r="J25" s="1"/>
      <c r="K25" s="6"/>
    </row>
    <row r="26">
      <c r="B26" s="1" t="s">
        <v>191</v>
      </c>
      <c r="C26" s="18">
        <v>0.6</v>
      </c>
      <c r="D26" s="18">
        <v>-0.8</v>
      </c>
      <c r="E26" s="18">
        <v>44.4</v>
      </c>
      <c r="F26" s="18">
        <v>-6.1</v>
      </c>
      <c r="G26" s="18">
        <v>38.6</v>
      </c>
      <c r="H26" s="32">
        <v>0</v>
      </c>
      <c r="I26" s="1"/>
      <c r="J26" s="1"/>
      <c r="K26" s="6"/>
    </row>
    <row r="27">
      <c r="B27" s="17" t="s">
        <v>192</v>
      </c>
      <c r="C27" s="20">
        <f>SUM(C21,C24:C26)</f>
        <v>47.00000000000005</v>
      </c>
      <c r="D27" s="20">
        <f>SUM(D21,D24:D26)</f>
        <v>48.09999999999999</v>
      </c>
      <c r="E27" s="20">
        <f>SUM(E21,E24:E26)</f>
        <v>93.09999999999994</v>
      </c>
      <c r="F27" s="20">
        <f>SUM(F21,F24:F26)</f>
        <v>57.70000000000028</v>
      </c>
      <c r="G27" s="20">
        <f>SUM(G21,G24:G26)</f>
        <v>245.89999999999998</v>
      </c>
      <c r="H27" s="21">
        <f>SUM(H21,H24:H26)</f>
        <v>58.17759999999989</v>
      </c>
      <c r="I27" s="1"/>
      <c r="J27" s="1"/>
      <c r="K27" s="6"/>
    </row>
    <row r="28">
      <c r="B28" s="1" t="s">
        <v>193</v>
      </c>
      <c r="C28" s="18">
        <v>12.6</v>
      </c>
      <c r="D28" s="18">
        <v>13.5</v>
      </c>
      <c r="E28" s="18">
        <v>25.1</v>
      </c>
      <c r="F28" s="18">
        <v>7</v>
      </c>
      <c r="G28" s="18">
        <v>58.2</v>
      </c>
      <c r="H28" s="3">
        <f>H27*H55</f>
        <v>13.962623999999973</v>
      </c>
      <c r="I28" s="1"/>
      <c r="J28" s="1"/>
      <c r="K28" s="6"/>
    </row>
    <row r="29">
      <c r="B29" s="35" t="s">
        <v>194</v>
      </c>
      <c r="C29" s="8">
        <f>C28/C27</f>
        <v>0.26808510638297844</v>
      </c>
      <c r="D29" s="8">
        <f>D28/D27</f>
        <v>0.28066528066528074</v>
      </c>
      <c r="E29" s="8">
        <f>E28/E27</f>
        <v>0.26960257787325476</v>
      </c>
      <c r="F29" s="8">
        <f>F28/F27</f>
        <v>0.12131715771230443</v>
      </c>
      <c r="G29" s="8">
        <f>G28/G27</f>
        <v>0.23668157787718588</v>
      </c>
      <c r="H29" s="42">
        <f>H28/H27</f>
        <v>0.24</v>
      </c>
      <c r="I29" s="1"/>
      <c r="J29" s="1"/>
      <c r="K29" s="6"/>
    </row>
    <row r="30">
      <c r="B30" s="17" t="s">
        <v>42</v>
      </c>
      <c r="C30" s="20">
        <f>C27-C28</f>
        <v>34.40000000000005</v>
      </c>
      <c r="D30" s="20">
        <f>D27-D28</f>
        <v>34.59999999999999</v>
      </c>
      <c r="E30" s="20">
        <f>E27-E28</f>
        <v>67.99999999999994</v>
      </c>
      <c r="F30" s="20">
        <f>F27-F28</f>
        <v>50.70000000000028</v>
      </c>
      <c r="G30" s="20">
        <f>G27-G28</f>
        <v>187.7</v>
      </c>
      <c r="H30" s="21">
        <f>H27-H28</f>
        <v>44.21497599999992</v>
      </c>
      <c r="I30" s="1"/>
      <c r="J30" s="1"/>
      <c r="K30" s="6"/>
    </row>
    <row r="31">
      <c r="B31" s="1" t="s">
        <v>195</v>
      </c>
      <c r="C31" s="41">
        <f>'Share Count'!C13</f>
        <v>35.9</v>
      </c>
      <c r="D31" s="41">
        <f>'Share Count'!D13</f>
        <v>38.1</v>
      </c>
      <c r="E31" s="41">
        <f>'Share Count'!E13</f>
        <v>39.5</v>
      </c>
      <c r="F31" s="41">
        <f>'Share Count'!F13</f>
        <v>39.6</v>
      </c>
      <c r="G31" s="41">
        <f>'Share Count'!G13</f>
        <v>38.4</v>
      </c>
      <c r="H31" s="39">
        <f>'Share Count'!H13</f>
        <v>40.15</v>
      </c>
      <c r="I31" s="1"/>
      <c r="J31" s="1"/>
      <c r="K31" s="6"/>
    </row>
    <row r="32">
      <c r="B32" s="1" t="s">
        <v>196</v>
      </c>
      <c r="C32" s="58">
        <f>C30/C31</f>
        <v>0.9582172701949875</v>
      </c>
      <c r="D32" s="58">
        <f>D30/D31</f>
        <v>0.9081364829396322</v>
      </c>
      <c r="E32" s="58">
        <f>E30/E31</f>
        <v>1.7215189873417707</v>
      </c>
      <c r="F32" s="58">
        <f>F30/F31</f>
        <v>1.2803030303030374</v>
      </c>
      <c r="G32" s="58">
        <f>G30/G31</f>
        <v>4.888020833333333</v>
      </c>
      <c r="H32" s="56">
        <f>H30/H31</f>
        <v>1.1012447322540455</v>
      </c>
      <c r="I32" s="1"/>
      <c r="J32" s="1"/>
      <c r="K32" s="6"/>
    </row>
    <row r="33">
      <c r="B33" s="1" t="s">
        <v>197</v>
      </c>
      <c r="C33" s="60">
        <f>Inputs!F12</f>
        <v>0.95</v>
      </c>
      <c r="D33" s="60">
        <f>Inputs!F13</f>
        <v>0.9</v>
      </c>
      <c r="E33" s="60">
        <f>Inputs!F14</f>
        <v>1.71</v>
      </c>
      <c r="F33" s="60">
        <f>Inputs!F15</f>
        <v>1.27</v>
      </c>
      <c r="G33" s="57">
        <v>4.86</v>
      </c>
      <c r="H33" s="56"/>
      <c r="I33" s="1"/>
      <c r="J33" s="1"/>
      <c r="K33" s="6"/>
    </row>
    <row r="34">
      <c r="B34" s="1" t="s">
        <v>198</v>
      </c>
      <c r="C34" s="18">
        <v>6.4</v>
      </c>
      <c r="D34" s="18">
        <v>14.2</v>
      </c>
      <c r="E34" s="18">
        <v>15.5</v>
      </c>
      <c r="F34" s="18">
        <v>17.9</v>
      </c>
      <c r="G34" s="18">
        <v>54</v>
      </c>
      <c r="H34" s="32">
        <v>14</v>
      </c>
      <c r="I34" s="1"/>
      <c r="J34" s="1" t="s">
        <v>199</v>
      </c>
      <c r="K34" s="6"/>
    </row>
    <row r="35">
      <c r="B35" s="1" t="s">
        <v>200</v>
      </c>
      <c r="C35" s="18">
        <v>0</v>
      </c>
      <c r="D35" s="18">
        <v>0</v>
      </c>
      <c r="E35" s="18">
        <v>-35.7</v>
      </c>
      <c r="F35" s="18">
        <v>6.2</v>
      </c>
      <c r="G35" s="18">
        <v>-29.5</v>
      </c>
      <c r="H35" s="32">
        <v>0</v>
      </c>
      <c r="I35" s="1"/>
      <c r="J35" s="1"/>
      <c r="K35" s="6"/>
    </row>
    <row r="36">
      <c r="B36" s="1" t="s">
        <v>201</v>
      </c>
      <c r="C36" s="18">
        <v>-0.7</v>
      </c>
      <c r="D36" s="18">
        <v>0.1</v>
      </c>
      <c r="E36" s="18">
        <v>0.4</v>
      </c>
      <c r="F36" s="18">
        <v>-1.2</v>
      </c>
      <c r="G36" s="18">
        <v>-1.4</v>
      </c>
      <c r="H36" s="32">
        <v>0</v>
      </c>
      <c r="I36" s="1"/>
      <c r="J36" s="1"/>
      <c r="K36" s="6"/>
    </row>
    <row r="37">
      <c r="B37" s="1" t="s">
        <v>202</v>
      </c>
      <c r="C37" s="18">
        <v>0.3</v>
      </c>
      <c r="D37" s="18">
        <v>0</v>
      </c>
      <c r="E37" s="18">
        <v>-4.6</v>
      </c>
      <c r="F37" s="18">
        <v>0.7</v>
      </c>
      <c r="G37" s="18">
        <v>-3.6</v>
      </c>
      <c r="H37" s="32">
        <v>0</v>
      </c>
      <c r="I37" s="1"/>
      <c r="J37" s="1"/>
      <c r="K37" s="6"/>
    </row>
    <row r="38">
      <c r="B38" s="1" t="s">
        <v>203</v>
      </c>
      <c r="C38" s="18">
        <v>-1.4</v>
      </c>
      <c r="D38" s="18">
        <v>-3.5</v>
      </c>
      <c r="E38" s="18">
        <v>6</v>
      </c>
      <c r="F38" s="18">
        <v>-13.3</v>
      </c>
      <c r="G38" s="18">
        <v>-12.2</v>
      </c>
      <c r="H38" s="3">
        <f>-H34*H56</f>
        <v>-3.36</v>
      </c>
      <c r="I38" s="1"/>
      <c r="J38" s="1"/>
      <c r="K38" s="6"/>
    </row>
    <row r="39">
      <c r="B39" s="17" t="s">
        <v>37</v>
      </c>
      <c r="C39" s="20">
        <f>SUM(C30,C34:C38)</f>
        <v>39.00000000000005</v>
      </c>
      <c r="D39" s="20">
        <f>SUM(D30,D34:D38)</f>
        <v>45.399999999999984</v>
      </c>
      <c r="E39" s="20">
        <f>SUM(E30,E34:E38)</f>
        <v>49.59999999999994</v>
      </c>
      <c r="F39" s="20">
        <f>SUM(F30,F34:F38)</f>
        <v>61.00000000000028</v>
      </c>
      <c r="G39" s="20">
        <f>SUM(G30,G34:G38)</f>
        <v>195</v>
      </c>
      <c r="H39" s="21">
        <f>SUM(H30,H34:H38)</f>
        <v>54.85497599999992</v>
      </c>
      <c r="I39" s="1"/>
      <c r="J39" s="1"/>
      <c r="K39" s="6"/>
    </row>
    <row r="40">
      <c r="B40" s="17" t="s">
        <v>204</v>
      </c>
      <c r="C40" s="61">
        <f>C72</f>
        <v>1.0799999999999998</v>
      </c>
      <c r="D40" s="61">
        <f>D72</f>
        <v>1.18</v>
      </c>
      <c r="E40" s="61">
        <f>E72</f>
        <v>1.25</v>
      </c>
      <c r="F40" s="61">
        <f>F72</f>
        <v>1.53</v>
      </c>
      <c r="G40" s="61">
        <f>G72</f>
        <v>5.05</v>
      </c>
      <c r="H40" s="63">
        <f>H39/H31</f>
        <v>1.3662509589041076</v>
      </c>
      <c r="I40" s="1"/>
      <c r="J40" s="1"/>
      <c r="K40" s="6"/>
    </row>
    <row r="41">
      <c r="B41" s="1" t="s">
        <v>205</v>
      </c>
      <c r="C41" s="60">
        <f>Inputs!D12</f>
        <v>1.08</v>
      </c>
      <c r="D41" s="60">
        <f>Inputs!D13</f>
        <v>1.18</v>
      </c>
      <c r="E41" s="60">
        <f>Inputs!D14</f>
        <v>1.25</v>
      </c>
      <c r="F41" s="60">
        <f>Inputs!D15</f>
        <v>1.53</v>
      </c>
      <c r="G41" s="57">
        <v>5.05</v>
      </c>
      <c r="H41" s="56"/>
      <c r="I41" s="1"/>
      <c r="J41" s="1" t="s">
        <v>206</v>
      </c>
      <c r="K41" s="6"/>
    </row>
    <row r="42">
      <c r="B42" s="1" t="s">
        <v>207</v>
      </c>
      <c r="C42" s="4">
        <f>C40-C41</f>
        <v>0</v>
      </c>
      <c r="D42" s="4">
        <f>D40-D41</f>
        <v>0</v>
      </c>
      <c r="E42" s="4">
        <f>E40-E41</f>
        <v>0</v>
      </c>
      <c r="F42" s="4">
        <f>F40-F41</f>
        <v>0</v>
      </c>
      <c r="G42" s="4">
        <f>G40-G41</f>
        <v>0</v>
      </c>
      <c r="H42" s="3"/>
      <c r="I42" s="1"/>
      <c r="J42" s="1"/>
      <c r="K42" s="6"/>
    </row>
    <row r="43">
      <c r="B43" s="35" t="s">
        <v>208</v>
      </c>
      <c r="C43" s="8"/>
      <c r="D43" s="8"/>
      <c r="E43" s="8"/>
      <c r="F43" s="8"/>
      <c r="G43" s="8"/>
      <c r="H43" s="42">
        <f>H30/C30-1</f>
        <v>0.2853190697674377</v>
      </c>
      <c r="I43" s="1"/>
      <c r="J43" s="1"/>
      <c r="K43" s="6"/>
    </row>
    <row r="44">
      <c r="B44" s="1" t="s">
        <v>209</v>
      </c>
      <c r="C44" s="41">
        <f>'Share Count'!C9</f>
        <v>35.7</v>
      </c>
      <c r="D44" s="41">
        <f>'Share Count'!D9</f>
        <v>37.8</v>
      </c>
      <c r="E44" s="41">
        <f>'Share Count'!E9</f>
        <v>39.3</v>
      </c>
      <c r="F44" s="41">
        <f>'Share Count'!F9</f>
        <v>39.4</v>
      </c>
      <c r="G44" s="41">
        <f>'Share Count'!G9</f>
        <v>38.3</v>
      </c>
      <c r="H44" s="39">
        <f>'Share Count'!H9</f>
        <v>39.95</v>
      </c>
      <c r="I44" s="1"/>
      <c r="J44" s="1"/>
      <c r="K44" s="6"/>
    </row>
    <row r="45">
      <c r="B45" s="1"/>
      <c r="C45" s="4"/>
      <c r="D45" s="4"/>
      <c r="E45" s="4"/>
      <c r="F45" s="4"/>
      <c r="G45" s="4"/>
      <c r="H45" s="3"/>
      <c r="I45" s="1"/>
      <c r="J45" s="1"/>
      <c r="K45" s="6"/>
    </row>
    <row r="46">
      <c r="B46" s="1"/>
      <c r="C46" s="4"/>
      <c r="D46" s="4"/>
      <c r="E46" s="4"/>
      <c r="F46" s="4"/>
      <c r="G46" s="4"/>
      <c r="H46" s="3"/>
      <c r="I46" s="1"/>
      <c r="J46" s="1"/>
      <c r="K46" s="6"/>
    </row>
    <row r="47">
      <c r="B47" s="1"/>
      <c r="C47" s="4"/>
      <c r="D47" s="4"/>
      <c r="E47" s="4"/>
      <c r="F47" s="4"/>
      <c r="G47" s="4"/>
      <c r="H47" s="3"/>
      <c r="I47" s="1"/>
      <c r="J47" s="1"/>
      <c r="K47" s="6"/>
    </row>
    <row r="48">
      <c r="B48" s="1" t="s">
        <v>210</v>
      </c>
      <c r="C48" s="4"/>
      <c r="D48" s="4"/>
      <c r="E48" s="4"/>
      <c r="F48" s="4"/>
      <c r="G48" s="4"/>
      <c r="H48" s="3"/>
      <c r="I48" s="1"/>
      <c r="J48" s="1"/>
      <c r="K48" s="6"/>
    </row>
    <row r="49">
      <c r="B49" s="35" t="s">
        <v>211</v>
      </c>
      <c r="C49" s="8"/>
      <c r="D49" s="8"/>
      <c r="E49" s="8"/>
      <c r="F49" s="8"/>
      <c r="G49" s="8"/>
      <c r="H49" s="44">
        <v>0.64</v>
      </c>
      <c r="I49" s="1"/>
      <c r="J49" s="1"/>
      <c r="K49" s="6"/>
    </row>
    <row r="50">
      <c r="B50" s="35" t="s">
        <v>212</v>
      </c>
      <c r="C50" s="8"/>
      <c r="D50" s="8"/>
      <c r="E50" s="8"/>
      <c r="F50" s="8"/>
      <c r="G50" s="8"/>
      <c r="H50" s="44">
        <v>0.19</v>
      </c>
      <c r="I50" s="1"/>
      <c r="J50" s="1"/>
      <c r="K50" s="6"/>
    </row>
    <row r="51">
      <c r="B51" s="35" t="s">
        <v>213</v>
      </c>
      <c r="C51" s="8"/>
      <c r="D51" s="8"/>
      <c r="E51" s="8"/>
      <c r="F51" s="8"/>
      <c r="G51" s="8"/>
      <c r="H51" s="44">
        <v>0.18</v>
      </c>
      <c r="I51" s="1"/>
      <c r="J51" s="1"/>
      <c r="K51" s="6"/>
    </row>
    <row r="52">
      <c r="B52" s="1" t="s">
        <v>214</v>
      </c>
      <c r="C52" s="4"/>
      <c r="D52" s="4"/>
      <c r="E52" s="4"/>
      <c r="F52" s="4"/>
      <c r="G52" s="4"/>
      <c r="H52" s="32">
        <v>0.5</v>
      </c>
      <c r="I52" s="1"/>
      <c r="J52" s="1"/>
      <c r="K52" s="6"/>
    </row>
    <row r="53">
      <c r="B53" s="1" t="s">
        <v>215</v>
      </c>
      <c r="C53" s="4"/>
      <c r="D53" s="4"/>
      <c r="E53" s="4"/>
      <c r="F53" s="4"/>
      <c r="G53" s="4"/>
      <c r="H53" s="32">
        <v>91</v>
      </c>
      <c r="I53" s="1"/>
      <c r="J53" s="1"/>
      <c r="K53" s="6"/>
    </row>
    <row r="54">
      <c r="B54" s="1" t="s">
        <v>216</v>
      </c>
      <c r="C54" s="4"/>
      <c r="D54" s="4"/>
      <c r="E54" s="4"/>
      <c r="F54" s="4"/>
      <c r="G54" s="4"/>
      <c r="H54" s="32">
        <v>1.5</v>
      </c>
      <c r="I54" s="1"/>
      <c r="J54" s="1"/>
      <c r="K54" s="6"/>
    </row>
    <row r="55">
      <c r="B55" s="35" t="s">
        <v>217</v>
      </c>
      <c r="C55" s="8"/>
      <c r="D55" s="8"/>
      <c r="E55" s="8"/>
      <c r="F55" s="8"/>
      <c r="G55" s="8"/>
      <c r="H55" s="44">
        <v>0.24</v>
      </c>
      <c r="I55" s="1"/>
      <c r="J55" s="1"/>
      <c r="K55" s="6"/>
    </row>
    <row r="56">
      <c r="B56" s="35" t="s">
        <v>218</v>
      </c>
      <c r="C56" s="8"/>
      <c r="D56" s="8"/>
      <c r="E56" s="8"/>
      <c r="F56" s="8"/>
      <c r="G56" s="8"/>
      <c r="H56" s="44">
        <v>0.24</v>
      </c>
      <c r="I56" s="1"/>
      <c r="J56" s="1"/>
      <c r="K56" s="6"/>
    </row>
    <row r="57">
      <c r="B57" s="6"/>
      <c r="C57" s="6"/>
      <c r="D57" s="6"/>
      <c r="E57" s="6"/>
      <c r="F57" s="6"/>
      <c r="G57" s="6"/>
      <c r="H57" s="13"/>
      <c r="I57" s="6"/>
      <c r="J57" s="6"/>
      <c r="K57" s="6"/>
    </row>
    <row r="58">
      <c r="B58" s="6"/>
      <c r="C58" s="6"/>
      <c r="D58" s="6"/>
      <c r="E58" s="6"/>
      <c r="F58" s="6"/>
      <c r="G58" s="6"/>
      <c r="H58" s="13"/>
      <c r="I58" s="6"/>
      <c r="J58" s="6"/>
      <c r="K58" s="6"/>
    </row>
    <row r="59">
      <c r="B59" s="1" t="s">
        <v>219</v>
      </c>
      <c r="C59" s="1"/>
      <c r="D59" s="1"/>
      <c r="E59" s="1"/>
      <c r="F59" s="1"/>
      <c r="G59" s="1"/>
      <c r="H59" s="36"/>
      <c r="I59" s="6"/>
      <c r="J59" s="6"/>
      <c r="K59" s="6"/>
    </row>
    <row r="60">
      <c r="B60" s="1" t="s">
        <v>220</v>
      </c>
      <c r="C60" s="58">
        <f>C33</f>
        <v>0.95</v>
      </c>
      <c r="D60" s="58">
        <f>D33</f>
        <v>0.9</v>
      </c>
      <c r="E60" s="58">
        <f>E33</f>
        <v>1.71</v>
      </c>
      <c r="F60" s="58">
        <f>F33</f>
        <v>1.27</v>
      </c>
      <c r="G60" s="58">
        <f>G33</f>
        <v>4.86</v>
      </c>
      <c r="H60" s="56">
        <f>H32</f>
        <v>1.1012447322540455</v>
      </c>
      <c r="I60" s="6"/>
      <c r="J60" s="6"/>
      <c r="K60" s="6"/>
    </row>
    <row r="61">
      <c r="B61" s="1" t="s">
        <v>221</v>
      </c>
      <c r="C61" s="57">
        <v>0.18</v>
      </c>
      <c r="D61" s="57">
        <v>0.37</v>
      </c>
      <c r="E61" s="57">
        <v>0.39</v>
      </c>
      <c r="F61" s="57">
        <v>0.45</v>
      </c>
      <c r="G61" s="57">
        <v>1.4</v>
      </c>
      <c r="H61" s="56">
        <f>H34/H31</f>
        <v>0.34869240348692404</v>
      </c>
      <c r="I61" s="6"/>
      <c r="J61" s="6"/>
      <c r="K61" s="6"/>
    </row>
    <row r="62">
      <c r="B62" s="1" t="s">
        <v>222</v>
      </c>
      <c r="C62" s="57">
        <v>0</v>
      </c>
      <c r="D62" s="57">
        <v>0</v>
      </c>
      <c r="E62" s="57">
        <v>-0.9</v>
      </c>
      <c r="F62" s="57">
        <v>0.16</v>
      </c>
      <c r="G62" s="57">
        <v>-0.77</v>
      </c>
      <c r="H62" s="59">
        <v>0</v>
      </c>
      <c r="I62" s="6"/>
      <c r="J62" s="6"/>
      <c r="K62" s="6"/>
    </row>
    <row r="63">
      <c r="B63" s="1" t="s">
        <v>223</v>
      </c>
      <c r="C63" s="57">
        <v>-0.02</v>
      </c>
      <c r="D63" s="57">
        <v>0</v>
      </c>
      <c r="E63" s="57">
        <v>0.01</v>
      </c>
      <c r="F63" s="57">
        <v>-0.04</v>
      </c>
      <c r="G63" s="57">
        <v>-0.02</v>
      </c>
      <c r="H63" s="59">
        <v>0</v>
      </c>
      <c r="I63" s="6"/>
      <c r="J63" s="6"/>
      <c r="K63" s="6"/>
    </row>
    <row r="64">
      <c r="B64" s="1" t="s">
        <v>224</v>
      </c>
      <c r="C64" s="57">
        <v>0</v>
      </c>
      <c r="D64" s="57">
        <v>0</v>
      </c>
      <c r="E64" s="57">
        <v>-0.25</v>
      </c>
      <c r="F64" s="57">
        <v>0</v>
      </c>
      <c r="G64" s="57">
        <v>-0.26</v>
      </c>
      <c r="H64" s="59">
        <v>0</v>
      </c>
      <c r="I64" s="6"/>
      <c r="J64" s="6"/>
      <c r="K64" s="6"/>
    </row>
    <row r="65">
      <c r="B65" s="1" t="s">
        <v>225</v>
      </c>
      <c r="C65" s="57">
        <v>0</v>
      </c>
      <c r="D65" s="57">
        <v>0</v>
      </c>
      <c r="E65" s="57">
        <v>0.12</v>
      </c>
      <c r="F65" s="57">
        <v>0</v>
      </c>
      <c r="G65" s="57">
        <v>0.13</v>
      </c>
      <c r="H65" s="59">
        <v>0</v>
      </c>
      <c r="I65" s="6"/>
      <c r="J65" s="6"/>
      <c r="K65" s="6"/>
    </row>
    <row r="66">
      <c r="B66" s="1" t="s">
        <v>226</v>
      </c>
      <c r="C66" s="57">
        <v>0</v>
      </c>
      <c r="D66" s="57">
        <v>0</v>
      </c>
      <c r="E66" s="57">
        <v>0.01</v>
      </c>
      <c r="F66" s="57">
        <v>0.02</v>
      </c>
      <c r="G66" s="57">
        <v>0.02</v>
      </c>
      <c r="H66" s="59">
        <v>0</v>
      </c>
      <c r="I66" s="6"/>
      <c r="J66" s="6"/>
      <c r="K66" s="6"/>
    </row>
    <row r="67">
      <c r="B67" s="1" t="s">
        <v>227</v>
      </c>
      <c r="C67" s="57">
        <v>0.03</v>
      </c>
      <c r="D67" s="57">
        <v>0</v>
      </c>
      <c r="E67" s="57">
        <v>0</v>
      </c>
      <c r="F67" s="57">
        <v>0</v>
      </c>
      <c r="G67" s="57">
        <v>0.03</v>
      </c>
      <c r="H67" s="59">
        <v>0</v>
      </c>
      <c r="I67" s="6"/>
      <c r="J67" s="6"/>
      <c r="K67" s="6"/>
    </row>
    <row r="68">
      <c r="B68" s="1" t="s">
        <v>228</v>
      </c>
      <c r="C68" s="57">
        <v>-0.02</v>
      </c>
      <c r="D68" s="57">
        <v>0</v>
      </c>
      <c r="E68" s="57">
        <v>0</v>
      </c>
      <c r="F68" s="57">
        <v>0</v>
      </c>
      <c r="G68" s="57">
        <v>-0.02</v>
      </c>
      <c r="H68" s="59">
        <v>0</v>
      </c>
      <c r="I68" s="6"/>
      <c r="J68" s="6"/>
      <c r="K68" s="6"/>
    </row>
    <row r="69">
      <c r="B69" s="1" t="s">
        <v>229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59">
        <v>0</v>
      </c>
      <c r="I69" s="6"/>
      <c r="J69" s="6"/>
      <c r="K69" s="6"/>
    </row>
    <row r="70">
      <c r="B70" s="1" t="s">
        <v>230</v>
      </c>
      <c r="C70" s="57">
        <v>0</v>
      </c>
      <c r="D70" s="57">
        <v>0</v>
      </c>
      <c r="E70" s="57">
        <v>0</v>
      </c>
      <c r="F70" s="57">
        <v>0</v>
      </c>
      <c r="G70" s="57">
        <v>0</v>
      </c>
      <c r="H70" s="59">
        <v>0</v>
      </c>
      <c r="I70" s="6"/>
      <c r="J70" s="6"/>
      <c r="K70" s="6"/>
    </row>
    <row r="71">
      <c r="B71" s="1" t="s">
        <v>231</v>
      </c>
      <c r="C71" s="57">
        <v>-0.04</v>
      </c>
      <c r="D71" s="57">
        <v>-0.09</v>
      </c>
      <c r="E71" s="57">
        <v>0.16</v>
      </c>
      <c r="F71" s="57">
        <v>-0.33</v>
      </c>
      <c r="G71" s="57">
        <v>-0.32</v>
      </c>
      <c r="H71" s="56">
        <f>H38/H31</f>
        <v>-0.08368617683686176</v>
      </c>
      <c r="I71" s="6"/>
      <c r="J71" s="6"/>
      <c r="K71" s="6"/>
    </row>
    <row r="72">
      <c r="B72" s="17" t="s">
        <v>232</v>
      </c>
      <c r="C72" s="61">
        <f>SUM(C60:C71)</f>
        <v>1.0799999999999998</v>
      </c>
      <c r="D72" s="61">
        <f>SUM(D60:D71)</f>
        <v>1.18</v>
      </c>
      <c r="E72" s="61">
        <f>SUM(E60:E71)</f>
        <v>1.25</v>
      </c>
      <c r="F72" s="61">
        <f>SUM(F60:F71)</f>
        <v>1.53</v>
      </c>
      <c r="G72" s="61">
        <f>SUM(G60:G71)</f>
        <v>5.05</v>
      </c>
      <c r="H72" s="63">
        <f>H32+H34/H31+H38/H31</f>
        <v>1.3662509589041079</v>
      </c>
      <c r="I72" s="6"/>
      <c r="J72" s="6"/>
      <c r="K72" s="6"/>
    </row>
    <row r="73">
      <c r="B73" s="1"/>
      <c r="C73" s="58"/>
      <c r="D73" s="58"/>
      <c r="E73" s="58"/>
      <c r="F73" s="58"/>
      <c r="G73" s="58"/>
      <c r="H73" s="56"/>
      <c r="I73" s="6"/>
      <c r="J73" s="6"/>
      <c r="K73" s="6"/>
    </row>
    <row r="74">
      <c r="B74" s="1" t="s">
        <v>233</v>
      </c>
      <c r="C74" s="58"/>
      <c r="D74" s="58"/>
      <c r="E74" s="58"/>
      <c r="F74" s="58"/>
      <c r="G74" s="58"/>
      <c r="H74" s="56">
        <f>H72-H39/H31</f>
        <v>0</v>
      </c>
      <c r="I74" s="6"/>
      <c r="J74" s="6"/>
      <c r="K74" s="6"/>
    </row>
    <row r="75">
      <c r="H75" s="2"/>
    </row>
    <row r="76">
      <c r="H76" s="2"/>
    </row>
    <row r="77">
      <c r="H77" s="2"/>
    </row>
    <row r="78">
      <c r="H78" s="2"/>
    </row>
    <row r="79">
      <c r="H79" s="2"/>
    </row>
    <row r="80">
      <c r="B80" s="1" t="s">
        <v>234</v>
      </c>
      <c r="C80" s="1"/>
      <c r="D80" s="1"/>
      <c r="E80" s="1"/>
      <c r="F80" s="1"/>
      <c r="G80" s="1"/>
      <c r="H80" s="36"/>
    </row>
    <row r="81">
      <c r="B81" s="35" t="s">
        <v>81</v>
      </c>
      <c r="C81" s="8" t="s">
        <v>38</v>
      </c>
      <c r="D81" s="8" t="s">
        <v>38</v>
      </c>
      <c r="E81" s="8" t="s">
        <v>38</v>
      </c>
      <c r="F81" s="8" t="s">
        <v>38</v>
      </c>
      <c r="G81" s="8">
        <f>(1+G84)/((1+G82)*(1+G83))-1</f>
        <v>0.17005909389363105</v>
      </c>
      <c r="H81" s="42">
        <f>(1+H84)/((1+H82)*(1+H83))-1</f>
        <v>0.08217291507268576</v>
      </c>
      <c r="J81" t="s">
        <v>235</v>
      </c>
    </row>
    <row r="82">
      <c r="B82" s="35" t="s">
        <v>236</v>
      </c>
      <c r="C82" s="8" t="s">
        <v>38</v>
      </c>
      <c r="D82" s="8" t="s">
        <v>38</v>
      </c>
      <c r="E82" s="8" t="s">
        <v>38</v>
      </c>
      <c r="F82" s="8" t="s">
        <v>38</v>
      </c>
      <c r="G82" s="48">
        <f>'Segment - Parts Supply'!K53/K9</f>
        <v>0.067336331250365</v>
      </c>
      <c r="H82" s="44">
        <f>'Segment - Parts Supply'!H51/C9</f>
        <v>0.07175071750717507</v>
      </c>
    </row>
    <row r="83">
      <c r="B83" s="35" t="s">
        <v>92</v>
      </c>
      <c r="C83" s="8" t="s">
        <v>38</v>
      </c>
      <c r="D83" s="8" t="s">
        <v>38</v>
      </c>
      <c r="E83" s="8" t="s">
        <v>38</v>
      </c>
      <c r="F83" s="8" t="s">
        <v>38</v>
      </c>
      <c r="G83" s="48">
        <v>0</v>
      </c>
      <c r="H83" s="44">
        <v>0</v>
      </c>
    </row>
    <row r="84">
      <c r="B84" s="35" t="s">
        <v>84</v>
      </c>
      <c r="C84" s="8">
        <f>C9/L9-1</f>
        <v>0.2290249433106577</v>
      </c>
      <c r="D84" s="8">
        <f>D9/M9-1</f>
        <v>0.20658611703387808</v>
      </c>
      <c r="E84" s="8">
        <f>E9/N9-1</f>
        <v>0.29500720115218426</v>
      </c>
      <c r="F84" s="8">
        <f>F9/O9-1</f>
        <v>0.2624292007551918</v>
      </c>
      <c r="G84" s="48">
        <f>G9/K9-1</f>
        <v>0.2488465806225546</v>
      </c>
      <c r="H84" s="44">
        <f>H9/C9-1</f>
        <v>0.15981959819598202</v>
      </c>
    </row>
    <row r="85">
      <c r="B85" s="35" t="s">
        <v>55</v>
      </c>
      <c r="C85" s="8"/>
      <c r="D85" s="8">
        <f>D9/C9-1</f>
        <v>0.0440754407544075</v>
      </c>
      <c r="E85" s="8">
        <f>E9/D9-1</f>
        <v>0.05929707441586496</v>
      </c>
      <c r="F85" s="8">
        <f>F9/E9-1</f>
        <v>0.11547729379054661</v>
      </c>
      <c r="G85" s="8"/>
      <c r="H85" s="42">
        <f>H9/F9-1</f>
        <v>-0.059887005649717495</v>
      </c>
    </row>
    <row r="86">
      <c r="B86" s="1"/>
      <c r="C86" s="1"/>
      <c r="D86" s="1"/>
      <c r="E86" s="1"/>
      <c r="F86" s="1"/>
      <c r="G86" s="1"/>
      <c r="H86" s="36"/>
    </row>
    <row r="87">
      <c r="B87" s="1"/>
      <c r="C87" s="1"/>
      <c r="D87" s="1"/>
      <c r="E87" s="1"/>
      <c r="F87" s="1"/>
      <c r="G87" s="1"/>
      <c r="H87" s="36"/>
    </row>
    <row r="88">
      <c r="B88" s="1" t="s">
        <v>237</v>
      </c>
      <c r="C88" s="1"/>
      <c r="D88" s="1"/>
      <c r="E88" s="1"/>
      <c r="F88" s="1"/>
      <c r="G88" s="1"/>
      <c r="H88" s="36"/>
    </row>
    <row r="89">
      <c r="B89" s="35" t="s">
        <v>81</v>
      </c>
      <c r="C89" s="8" t="s">
        <v>38</v>
      </c>
      <c r="D89" s="8" t="s">
        <v>38</v>
      </c>
      <c r="E89" s="8" t="s">
        <v>38</v>
      </c>
      <c r="F89" s="8" t="s">
        <v>38</v>
      </c>
      <c r="G89" s="8">
        <f>(1+G92)/((1+G90)*(1+G91))-1</f>
        <v>-0.024764445926790724</v>
      </c>
      <c r="H89" s="42">
        <f>(1+H92)/((1+H90)*(1+H91))-1</f>
        <v>0.09061000685400966</v>
      </c>
    </row>
    <row r="90">
      <c r="B90" s="35" t="s">
        <v>236</v>
      </c>
      <c r="C90" s="8" t="s">
        <v>38</v>
      </c>
      <c r="D90" s="8" t="s">
        <v>38</v>
      </c>
      <c r="E90" s="8" t="s">
        <v>38</v>
      </c>
      <c r="F90" s="8" t="s">
        <v>38</v>
      </c>
      <c r="G90" s="48">
        <f>'Segment - RE&amp;S'!K53/K10</f>
        <v>0.12272982587530425</v>
      </c>
      <c r="H90" s="44">
        <f>'Segment - RE&amp;S'!H51/C10</f>
        <v>0.15885623510722796</v>
      </c>
    </row>
    <row r="91">
      <c r="B91" s="35" t="s">
        <v>92</v>
      </c>
      <c r="C91" s="8" t="s">
        <v>38</v>
      </c>
      <c r="D91" s="8" t="s">
        <v>38</v>
      </c>
      <c r="E91" s="8" t="s">
        <v>38</v>
      </c>
      <c r="F91" s="8" t="s">
        <v>38</v>
      </c>
      <c r="G91" s="48">
        <v>0</v>
      </c>
      <c r="H91" s="44">
        <v>0</v>
      </c>
    </row>
    <row r="92">
      <c r="B92" s="35" t="s">
        <v>84</v>
      </c>
      <c r="C92" s="8">
        <f>C10/L10-1</f>
        <v>-0.04909365558912382</v>
      </c>
      <c r="D92" s="8">
        <f>D10/M10-1</f>
        <v>0.08333333333333326</v>
      </c>
      <c r="E92" s="8">
        <f>E10/N10-1</f>
        <v>0.16819571865443428</v>
      </c>
      <c r="F92" s="8">
        <f>F10/O10-1</f>
        <v>0.17422606191504686</v>
      </c>
      <c r="G92" s="48">
        <f>G10/K10-1</f>
        <v>0.09492604381202008</v>
      </c>
      <c r="H92" s="44">
        <f>H10/C10-1</f>
        <v>0.2638602065131057</v>
      </c>
    </row>
    <row r="93">
      <c r="B93" s="35" t="s">
        <v>55</v>
      </c>
      <c r="C93" s="8"/>
      <c r="D93" s="8">
        <f>D10/C10-1</f>
        <v>0.13582208101667992</v>
      </c>
      <c r="E93" s="8">
        <f>E10/D10-1</f>
        <v>0.06853146853146863</v>
      </c>
      <c r="F93" s="8">
        <f>F10/E10-1</f>
        <v>0.06740837696335067</v>
      </c>
      <c r="G93" s="8"/>
      <c r="H93" s="42">
        <f>H10/F10-1</f>
        <v>-0.024402207234825224</v>
      </c>
    </row>
    <row r="94">
      <c r="B94" s="1"/>
      <c r="C94" s="1"/>
      <c r="D94" s="1"/>
      <c r="E94" s="1"/>
      <c r="F94" s="1"/>
      <c r="G94" s="1"/>
      <c r="H94" s="36"/>
    </row>
    <row r="95">
      <c r="B95" s="1" t="s">
        <v>238</v>
      </c>
      <c r="C95" s="4">
        <f>C11-SUM(C9:C10)</f>
        <v>0</v>
      </c>
      <c r="D95" s="4">
        <f>D11-SUM(D9:D10)</f>
        <v>0</v>
      </c>
      <c r="E95" s="4">
        <f>E11-SUM(E9:E10)</f>
        <v>0</v>
      </c>
      <c r="F95" s="4">
        <f>F11-SUM(F9:F10)</f>
        <v>0</v>
      </c>
      <c r="G95" s="4">
        <f>G11-SUM(G9:G10)</f>
        <v>0</v>
      </c>
      <c r="H95" s="3">
        <f>H11-SUM(H9:H10)</f>
        <v>0</v>
      </c>
    </row>
    <row r="96">
      <c r="B96" s="1"/>
      <c r="C96" s="1"/>
      <c r="D96" s="1"/>
      <c r="E96" s="1"/>
      <c r="F96" s="1"/>
      <c r="G96" s="1"/>
      <c r="H96" s="36"/>
    </row>
    <row r="97">
      <c r="B97" s="1"/>
      <c r="C97" s="1"/>
      <c r="D97" s="1"/>
      <c r="E97" s="1"/>
      <c r="F97" s="1"/>
      <c r="G97" s="1"/>
      <c r="H97" s="36"/>
    </row>
    <row r="98">
      <c r="B98" s="1"/>
      <c r="C98" s="1"/>
      <c r="D98" s="1"/>
      <c r="E98" s="1"/>
      <c r="F98" s="1"/>
      <c r="G98" s="1"/>
      <c r="H98" s="36"/>
    </row>
    <row r="99">
      <c r="B99" s="1"/>
      <c r="C99" s="1"/>
      <c r="D99" s="1"/>
      <c r="E99" s="1"/>
      <c r="F99" s="1"/>
      <c r="G99" s="1"/>
      <c r="H99" s="36"/>
    </row>
    <row r="100">
      <c r="B100" s="1"/>
      <c r="C100" s="1"/>
      <c r="D100" s="1"/>
      <c r="E100" s="1"/>
      <c r="F100" s="1"/>
      <c r="G100" s="1"/>
      <c r="H100" s="36"/>
    </row>
    <row r="101">
      <c r="B101" s="1"/>
      <c r="C101" s="1"/>
      <c r="D101" s="1"/>
      <c r="E101" s="1"/>
      <c r="F101" s="1"/>
      <c r="G101" s="1"/>
      <c r="H101" s="36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B1:K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8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239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/>
    </row>
    <row r="9">
      <c r="B9" s="1" t="s">
        <v>240</v>
      </c>
      <c r="C9" s="18">
        <v>80</v>
      </c>
      <c r="D9" s="18">
        <v>75.6</v>
      </c>
      <c r="E9" s="18">
        <v>78.5</v>
      </c>
      <c r="F9" s="18">
        <v>84</v>
      </c>
      <c r="G9" s="4">
        <f>F9</f>
        <v>84</v>
      </c>
      <c r="H9" s="39">
        <f>'Cash Flow Statement'!H26+'Cash Flow Statement'!H25-H10</f>
        <v>117.21497599999994</v>
      </c>
      <c r="I9" s="1"/>
      <c r="J9" s="1"/>
      <c r="K9" s="6"/>
    </row>
    <row r="10">
      <c r="B10" s="1" t="s">
        <v>241</v>
      </c>
      <c r="C10" s="18">
        <v>11.6</v>
      </c>
      <c r="D10" s="18">
        <v>20.6</v>
      </c>
      <c r="E10" s="18">
        <v>21.6</v>
      </c>
      <c r="F10" s="18">
        <v>23.8</v>
      </c>
      <c r="G10" s="4">
        <f>F10</f>
        <v>23.8</v>
      </c>
      <c r="H10" s="3">
        <f>F10</f>
        <v>23.8</v>
      </c>
      <c r="I10" s="1"/>
      <c r="J10" s="1"/>
      <c r="K10" s="6"/>
    </row>
    <row r="11">
      <c r="B11" s="1" t="s">
        <v>242</v>
      </c>
      <c r="C11" s="18">
        <v>363.5</v>
      </c>
      <c r="D11" s="18">
        <v>401.9</v>
      </c>
      <c r="E11" s="18">
        <v>426.2</v>
      </c>
      <c r="F11" s="18">
        <v>386.8</v>
      </c>
      <c r="G11" s="4">
        <f>F11</f>
        <v>386.8</v>
      </c>
      <c r="H11" s="3">
        <f>F11+H38</f>
        <v>396.8</v>
      </c>
      <c r="I11" s="1"/>
      <c r="J11" s="1"/>
      <c r="K11" s="6"/>
    </row>
    <row r="12">
      <c r="B12" s="1" t="s">
        <v>243</v>
      </c>
      <c r="C12" s="18">
        <v>146.7</v>
      </c>
      <c r="D12" s="18">
        <v>152.6</v>
      </c>
      <c r="E12" s="18">
        <v>142.3</v>
      </c>
      <c r="F12" s="18">
        <v>148.4</v>
      </c>
      <c r="G12" s="4">
        <f>F12</f>
        <v>148.4</v>
      </c>
      <c r="H12" s="3">
        <f>F12</f>
        <v>148.4</v>
      </c>
      <c r="I12" s="1"/>
      <c r="J12" s="1"/>
      <c r="K12" s="6"/>
    </row>
    <row r="13">
      <c r="B13" s="1" t="s">
        <v>244</v>
      </c>
      <c r="C13" s="18">
        <v>861.5</v>
      </c>
      <c r="D13" s="18">
        <v>910.8</v>
      </c>
      <c r="E13" s="18">
        <v>958.2</v>
      </c>
      <c r="F13" s="18">
        <v>979</v>
      </c>
      <c r="G13" s="4">
        <f>F13</f>
        <v>979</v>
      </c>
      <c r="H13" s="3">
        <f>F13+H39</f>
        <v>989</v>
      </c>
      <c r="I13" s="1"/>
      <c r="J13" s="1"/>
      <c r="K13" s="6"/>
    </row>
    <row r="14">
      <c r="B14" s="1" t="s">
        <v>245</v>
      </c>
      <c r="C14" s="18">
        <v>103.6</v>
      </c>
      <c r="D14" s="18">
        <v>128.8</v>
      </c>
      <c r="E14" s="18">
        <v>136.9</v>
      </c>
      <c r="F14" s="18">
        <v>120.1</v>
      </c>
      <c r="G14" s="4">
        <f>F14</f>
        <v>120.1</v>
      </c>
      <c r="H14" s="3">
        <f>F14</f>
        <v>120.1</v>
      </c>
      <c r="I14" s="1"/>
      <c r="J14" s="1"/>
      <c r="K14" s="6"/>
    </row>
    <row r="15">
      <c r="B15" s="17" t="s">
        <v>246</v>
      </c>
      <c r="C15" s="20">
        <f>SUM(C9:C14)</f>
        <v>1566.8999999999999</v>
      </c>
      <c r="D15" s="20">
        <f>SUM(D9:D14)</f>
        <v>1690.3</v>
      </c>
      <c r="E15" s="20">
        <f>SUM(E9:E14)</f>
        <v>1763.7</v>
      </c>
      <c r="F15" s="20">
        <f>SUM(F9:F14)</f>
        <v>1742.1</v>
      </c>
      <c r="G15" s="20">
        <f>SUM(G9:G14)</f>
        <v>1742.1</v>
      </c>
      <c r="H15" s="21">
        <f>SUM(H9:H14)</f>
        <v>1795.314976</v>
      </c>
      <c r="I15" s="1"/>
      <c r="J15" s="1"/>
      <c r="K15" s="6"/>
    </row>
    <row r="16">
      <c r="B16" s="1" t="s">
        <v>247</v>
      </c>
      <c r="C16" s="18">
        <v>161.9</v>
      </c>
      <c r="D16" s="18">
        <v>216.8</v>
      </c>
      <c r="E16" s="18">
        <v>163.2</v>
      </c>
      <c r="F16" s="18">
        <v>166.9</v>
      </c>
      <c r="G16" s="4">
        <f>F16</f>
        <v>166.9</v>
      </c>
      <c r="H16" s="39">
        <f>F16+'Cash Flow Statement'!H20-'Cash Flow Statement'!H12</f>
        <v>162.9</v>
      </c>
      <c r="I16" s="1"/>
      <c r="J16" s="1"/>
      <c r="K16" s="6"/>
    </row>
    <row r="17">
      <c r="B17" s="1" t="s">
        <v>248</v>
      </c>
      <c r="C17" s="18">
        <v>543.1</v>
      </c>
      <c r="D17" s="18">
        <v>552.2</v>
      </c>
      <c r="E17" s="18">
        <v>552.3</v>
      </c>
      <c r="F17" s="18">
        <v>580.3</v>
      </c>
      <c r="G17" s="4">
        <f>F17</f>
        <v>580.3</v>
      </c>
      <c r="H17" s="3">
        <f>F17</f>
        <v>580.3</v>
      </c>
      <c r="I17" s="1"/>
      <c r="J17" s="1"/>
      <c r="K17" s="6"/>
    </row>
    <row r="18">
      <c r="B18" s="1" t="s">
        <v>249</v>
      </c>
      <c r="C18" s="18">
        <v>225.9</v>
      </c>
      <c r="D18" s="18">
        <v>295.5</v>
      </c>
      <c r="E18" s="18">
        <v>288.6</v>
      </c>
      <c r="F18" s="18">
        <v>281.6</v>
      </c>
      <c r="G18" s="4">
        <f>F18</f>
        <v>281.6</v>
      </c>
      <c r="H18" s="3">
        <f>F18</f>
        <v>281.6</v>
      </c>
      <c r="I18" s="1"/>
      <c r="J18" s="1"/>
      <c r="K18" s="6"/>
    </row>
    <row r="19">
      <c r="B19" s="1" t="s">
        <v>250</v>
      </c>
      <c r="C19" s="18">
        <v>91</v>
      </c>
      <c r="D19" s="18">
        <v>105.1</v>
      </c>
      <c r="E19" s="18">
        <v>192.8</v>
      </c>
      <c r="F19" s="18">
        <v>210.8</v>
      </c>
      <c r="G19" s="4">
        <f>F19</f>
        <v>210.8</v>
      </c>
      <c r="H19" s="3">
        <f>F19</f>
        <v>210.8</v>
      </c>
      <c r="I19" s="1"/>
      <c r="J19" s="1"/>
      <c r="K19" s="6"/>
    </row>
    <row r="20">
      <c r="B20" s="1" t="s">
        <v>251</v>
      </c>
      <c r="C20" s="18">
        <v>173.4</v>
      </c>
      <c r="D20" s="18">
        <v>211.3</v>
      </c>
      <c r="E20" s="18">
        <v>188</v>
      </c>
      <c r="F20" s="18">
        <v>180.3</v>
      </c>
      <c r="G20" s="4">
        <f>F20</f>
        <v>180.3</v>
      </c>
      <c r="H20" s="3">
        <f>F20</f>
        <v>180.3</v>
      </c>
      <c r="I20" s="1"/>
      <c r="J20" s="1"/>
      <c r="K20" s="6"/>
    </row>
    <row r="21">
      <c r="B21" s="1" t="s">
        <v>252</v>
      </c>
      <c r="C21" s="18">
        <v>167.5</v>
      </c>
      <c r="D21" s="18">
        <v>171.3</v>
      </c>
      <c r="E21" s="18">
        <v>183.9</v>
      </c>
      <c r="F21" s="18">
        <v>193.9</v>
      </c>
      <c r="G21" s="4">
        <f>F21</f>
        <v>193.9</v>
      </c>
      <c r="H21" s="3">
        <f>F21</f>
        <v>193.9</v>
      </c>
      <c r="I21" s="1"/>
      <c r="J21" s="1"/>
      <c r="K21" s="6"/>
    </row>
    <row r="22">
      <c r="B22" s="17" t="s">
        <v>253</v>
      </c>
      <c r="C22" s="20">
        <f>SUM(C15:C21)</f>
        <v>2929.7</v>
      </c>
      <c r="D22" s="20">
        <f>SUM(D15:D21)</f>
        <v>3242.5</v>
      </c>
      <c r="E22" s="20">
        <f>SUM(E15:E21)</f>
        <v>3332.5</v>
      </c>
      <c r="F22" s="20">
        <f>SUM(F15:F21)</f>
        <v>3355.9</v>
      </c>
      <c r="G22" s="20">
        <f>SUM(G15:G21)</f>
        <v>3355.9</v>
      </c>
      <c r="H22" s="21">
        <f>SUM(H15:H21)</f>
        <v>3405.114976</v>
      </c>
      <c r="I22" s="1"/>
      <c r="J22" s="1"/>
      <c r="K22" s="6"/>
    </row>
    <row r="23">
      <c r="B23" s="1"/>
      <c r="C23" s="4"/>
      <c r="D23" s="4"/>
      <c r="E23" s="4"/>
      <c r="F23" s="4"/>
      <c r="G23" s="4"/>
      <c r="H23" s="3"/>
      <c r="I23" s="1"/>
      <c r="J23" s="1"/>
      <c r="K23" s="6"/>
    </row>
    <row r="24">
      <c r="B24" s="1" t="s">
        <v>254</v>
      </c>
      <c r="C24" s="18">
        <v>313.5</v>
      </c>
      <c r="D24" s="18">
        <v>341.8</v>
      </c>
      <c r="E24" s="18">
        <v>324</v>
      </c>
      <c r="F24" s="18">
        <v>295.6</v>
      </c>
      <c r="G24" s="4">
        <f>F24</f>
        <v>295.6</v>
      </c>
      <c r="H24" s="3">
        <f>F24+H40</f>
        <v>305.6</v>
      </c>
      <c r="I24" s="1"/>
      <c r="J24" s="1"/>
      <c r="K24" s="6"/>
    </row>
    <row r="25">
      <c r="B25" s="1" t="s">
        <v>255</v>
      </c>
      <c r="C25" s="18">
        <v>225</v>
      </c>
      <c r="D25" s="18">
        <v>252.4</v>
      </c>
      <c r="E25" s="18">
        <v>329</v>
      </c>
      <c r="F25" s="18">
        <v>317.6</v>
      </c>
      <c r="G25" s="4">
        <f>F25</f>
        <v>317.6</v>
      </c>
      <c r="H25" s="3">
        <f>F25</f>
        <v>317.6</v>
      </c>
      <c r="I25" s="1"/>
      <c r="J25" s="1"/>
      <c r="K25" s="6"/>
    </row>
    <row r="26">
      <c r="B26" s="17" t="s">
        <v>256</v>
      </c>
      <c r="C26" s="20">
        <f>SUM(C24:C25)</f>
        <v>538.5</v>
      </c>
      <c r="D26" s="20">
        <f>SUM(D24:D25)</f>
        <v>594.2</v>
      </c>
      <c r="E26" s="20">
        <f>SUM(E24:E25)</f>
        <v>653</v>
      </c>
      <c r="F26" s="20">
        <f>SUM(F24:F25)</f>
        <v>613.2</v>
      </c>
      <c r="G26" s="20">
        <f>SUM(G24:G25)</f>
        <v>613.2</v>
      </c>
      <c r="H26" s="21">
        <f>SUM(H24:H25)</f>
        <v>623.2</v>
      </c>
      <c r="I26" s="1"/>
      <c r="J26" s="1"/>
      <c r="K26" s="6"/>
    </row>
    <row r="27">
      <c r="B27" s="1" t="s">
        <v>257</v>
      </c>
      <c r="C27" s="18">
        <v>1022.1</v>
      </c>
      <c r="D27" s="18">
        <v>952.7</v>
      </c>
      <c r="E27" s="18">
        <v>888.3</v>
      </c>
      <c r="F27" s="18">
        <v>893.9</v>
      </c>
      <c r="G27" s="4">
        <f>F27</f>
        <v>893.9</v>
      </c>
      <c r="H27" s="39">
        <f>F27-'Cash Flow Statement'!H21</f>
        <v>888.9</v>
      </c>
      <c r="I27" s="1"/>
      <c r="J27" s="1"/>
      <c r="K27" s="6"/>
    </row>
    <row r="28">
      <c r="B28" s="1" t="s">
        <v>258</v>
      </c>
      <c r="C28" s="18">
        <v>77.9</v>
      </c>
      <c r="D28" s="18">
        <v>91.6</v>
      </c>
      <c r="E28" s="18">
        <v>91.4</v>
      </c>
      <c r="F28" s="18">
        <v>101.1</v>
      </c>
      <c r="G28" s="4">
        <f>F28</f>
        <v>101.1</v>
      </c>
      <c r="H28" s="3">
        <f>F28</f>
        <v>101.1</v>
      </c>
      <c r="I28" s="1"/>
      <c r="J28" s="1"/>
      <c r="K28" s="6"/>
    </row>
    <row r="29">
      <c r="B29" s="1" t="s">
        <v>259</v>
      </c>
      <c r="C29" s="18">
        <v>21.5</v>
      </c>
      <c r="D29" s="18">
        <v>21.2</v>
      </c>
      <c r="E29" s="18">
        <v>18</v>
      </c>
      <c r="F29" s="18">
        <v>23.1</v>
      </c>
      <c r="G29" s="4">
        <f>F29</f>
        <v>23.1</v>
      </c>
      <c r="H29" s="3">
        <f>F29</f>
        <v>23.1</v>
      </c>
      <c r="I29" s="1"/>
      <c r="J29" s="1"/>
      <c r="K29" s="6"/>
    </row>
    <row r="30">
      <c r="B30" s="1" t="s">
        <v>260</v>
      </c>
      <c r="C30" s="18">
        <v>20.4</v>
      </c>
      <c r="D30" s="18">
        <v>21.6</v>
      </c>
      <c r="E30" s="18">
        <v>38.4</v>
      </c>
      <c r="F30" s="18">
        <v>20.8</v>
      </c>
      <c r="G30" s="4">
        <f>F30</f>
        <v>20.8</v>
      </c>
      <c r="H30" s="3">
        <f>F30</f>
        <v>20.8</v>
      </c>
      <c r="I30" s="1"/>
      <c r="J30" s="1"/>
      <c r="K30" s="6"/>
    </row>
    <row r="31">
      <c r="B31" s="17" t="s">
        <v>261</v>
      </c>
      <c r="C31" s="20">
        <f>SUM(C26:C30)</f>
        <v>1680.4</v>
      </c>
      <c r="D31" s="20">
        <f>SUM(D26:D30)</f>
        <v>1681.3000000000002</v>
      </c>
      <c r="E31" s="20">
        <f>SUM(E26:E30)</f>
        <v>1689.1</v>
      </c>
      <c r="F31" s="20">
        <f>SUM(F26:F30)</f>
        <v>1652.1</v>
      </c>
      <c r="G31" s="20">
        <f>SUM(G26:G30)</f>
        <v>1652.1</v>
      </c>
      <c r="H31" s="21">
        <f>SUM(H26:H30)</f>
        <v>1657.1</v>
      </c>
      <c r="I31" s="1"/>
      <c r="J31" s="1"/>
      <c r="K31" s="6"/>
    </row>
    <row r="32">
      <c r="B32" s="17" t="s">
        <v>262</v>
      </c>
      <c r="C32" s="5">
        <v>1249.3</v>
      </c>
      <c r="D32" s="5">
        <v>1561.2</v>
      </c>
      <c r="E32" s="5">
        <v>1643.4</v>
      </c>
      <c r="F32" s="5">
        <v>1703.8</v>
      </c>
      <c r="G32" s="20">
        <f>F32</f>
        <v>1703.8</v>
      </c>
      <c r="H32" s="37">
        <f>F32+'Income Statement'!H30</f>
        <v>1748.014976</v>
      </c>
      <c r="I32" s="1"/>
      <c r="J32" s="1"/>
      <c r="K32" s="6"/>
    </row>
    <row r="33">
      <c r="B33" s="17" t="s">
        <v>263</v>
      </c>
      <c r="C33" s="20">
        <f>SUM(C31:C32)</f>
        <v>2929.7</v>
      </c>
      <c r="D33" s="20">
        <f>SUM(D31:D32)</f>
        <v>3242.5</v>
      </c>
      <c r="E33" s="20">
        <f>SUM(E31:E32)</f>
        <v>3332.5</v>
      </c>
      <c r="F33" s="20">
        <f>SUM(F31:F32)</f>
        <v>3355.8999999999996</v>
      </c>
      <c r="G33" s="20">
        <f>SUM(G31:G32)</f>
        <v>3355.8999999999996</v>
      </c>
      <c r="H33" s="21">
        <f>SUM(H31:H32)</f>
        <v>3405.114976</v>
      </c>
      <c r="I33" s="1"/>
      <c r="J33" s="1"/>
      <c r="K33" s="6"/>
    </row>
    <row r="34">
      <c r="B34" s="17" t="s">
        <v>264</v>
      </c>
      <c r="C34" s="20">
        <f>C22-C33</f>
        <v>0</v>
      </c>
      <c r="D34" s="20">
        <f>D22-D33</f>
        <v>0</v>
      </c>
      <c r="E34" s="20">
        <f>E22-E33</f>
        <v>0</v>
      </c>
      <c r="F34" s="20">
        <f>F22-F33</f>
        <v>0</v>
      </c>
      <c r="G34" s="20">
        <f>G22-G33</f>
        <v>0</v>
      </c>
      <c r="H34" s="21">
        <f>H22-H33</f>
        <v>0</v>
      </c>
      <c r="I34" s="1"/>
      <c r="J34" s="1" t="s">
        <v>265</v>
      </c>
      <c r="K34" s="6"/>
    </row>
    <row r="35">
      <c r="B35" s="1"/>
      <c r="C35" s="4"/>
      <c r="D35" s="4"/>
      <c r="E35" s="4"/>
      <c r="F35" s="4"/>
      <c r="G35" s="4"/>
      <c r="H35" s="3"/>
      <c r="I35" s="1"/>
      <c r="J35" s="1"/>
      <c r="K35" s="6"/>
    </row>
    <row r="36">
      <c r="B36" s="1"/>
      <c r="C36" s="4"/>
      <c r="D36" s="4"/>
      <c r="E36" s="4"/>
      <c r="F36" s="4"/>
      <c r="G36" s="4"/>
      <c r="H36" s="3"/>
      <c r="I36" s="1"/>
      <c r="J36" s="1"/>
      <c r="K36" s="6"/>
    </row>
    <row r="37">
      <c r="B37" s="1" t="s">
        <v>266</v>
      </c>
      <c r="C37" s="4"/>
      <c r="D37" s="4"/>
      <c r="E37" s="4"/>
      <c r="F37" s="4"/>
      <c r="G37" s="4"/>
      <c r="H37" s="3"/>
      <c r="I37" s="1"/>
      <c r="J37" s="1"/>
      <c r="K37" s="6"/>
    </row>
    <row r="38">
      <c r="B38" s="1" t="s">
        <v>267</v>
      </c>
      <c r="C38" s="4"/>
      <c r="D38" s="4"/>
      <c r="E38" s="4"/>
      <c r="F38" s="4"/>
      <c r="G38" s="4"/>
      <c r="H38" s="32">
        <v>10</v>
      </c>
      <c r="I38" s="1"/>
      <c r="J38" s="1"/>
      <c r="K38" s="6"/>
    </row>
    <row r="39">
      <c r="B39" s="1" t="s">
        <v>268</v>
      </c>
      <c r="C39" s="4"/>
      <c r="D39" s="4"/>
      <c r="E39" s="4"/>
      <c r="F39" s="4"/>
      <c r="G39" s="4"/>
      <c r="H39" s="32">
        <v>10</v>
      </c>
      <c r="I39" s="1"/>
      <c r="J39" s="1"/>
      <c r="K39" s="6"/>
    </row>
    <row r="40">
      <c r="B40" s="1" t="s">
        <v>269</v>
      </c>
      <c r="C40" s="4"/>
      <c r="D40" s="4"/>
      <c r="E40" s="4"/>
      <c r="F40" s="4"/>
      <c r="G40" s="4"/>
      <c r="H40" s="32">
        <v>10</v>
      </c>
      <c r="I40" s="1"/>
      <c r="J40" s="1"/>
      <c r="K40" s="6"/>
    </row>
    <row r="41">
      <c r="H41" s="2"/>
    </row>
    <row r="42">
      <c r="H42" s="2"/>
    </row>
    <row r="43">
      <c r="H43" s="2"/>
    </row>
    <row r="44">
      <c r="H44" s="2"/>
    </row>
    <row r="45">
      <c r="H45" s="2"/>
    </row>
    <row r="46">
      <c r="H46" s="2"/>
    </row>
    <row r="47">
      <c r="H47" s="2"/>
    </row>
    <row r="48">
      <c r="H48" s="2"/>
    </row>
    <row r="49">
      <c r="H49" s="2"/>
    </row>
    <row r="50">
      <c r="H50" s="2"/>
    </row>
    <row r="51">
      <c r="H51" s="2"/>
    </row>
    <row r="52">
      <c r="H52" s="2"/>
    </row>
    <row r="53">
      <c r="H53" s="2"/>
    </row>
    <row r="54">
      <c r="H54" s="2"/>
    </row>
    <row r="55">
      <c r="H55" s="2"/>
    </row>
    <row r="56">
      <c r="H56" s="2"/>
    </row>
    <row r="57">
      <c r="H57" s="2"/>
    </row>
    <row r="58">
      <c r="H58" s="2"/>
    </row>
    <row r="59">
      <c r="H59" s="2"/>
    </row>
    <row r="60">
      <c r="H60" s="2"/>
    </row>
    <row r="61">
      <c r="H61" s="2"/>
    </row>
    <row r="62">
      <c r="H62" s="2"/>
    </row>
    <row r="63">
      <c r="H63" s="2"/>
    </row>
    <row r="64">
      <c r="H64" s="2"/>
    </row>
    <row r="65">
      <c r="H65" s="2"/>
    </row>
    <row r="66">
      <c r="H66" s="2"/>
    </row>
    <row r="67">
      <c r="H67" s="2"/>
    </row>
    <row r="68">
      <c r="H68" s="2"/>
    </row>
    <row r="69">
      <c r="H69" s="2"/>
    </row>
    <row r="70">
      <c r="H70" s="2"/>
    </row>
    <row r="71">
      <c r="H71" s="2"/>
    </row>
    <row r="72">
      <c r="H72" s="2"/>
    </row>
    <row r="73">
      <c r="H73" s="2"/>
    </row>
    <row r="74">
      <c r="H74" s="2"/>
    </row>
    <row r="75">
      <c r="H75" s="2"/>
    </row>
    <row r="76">
      <c r="H76" s="2"/>
    </row>
    <row r="77">
      <c r="H77" s="2"/>
    </row>
    <row r="78">
      <c r="H78" s="2"/>
    </row>
    <row r="79">
      <c r="H79" s="2"/>
    </row>
    <row r="80">
      <c r="H80" s="2"/>
    </row>
    <row r="81">
      <c r="H81" s="2"/>
    </row>
    <row r="82">
      <c r="H82" s="2"/>
    </row>
    <row r="83">
      <c r="H83" s="2"/>
    </row>
    <row r="84">
      <c r="H84" s="2"/>
    </row>
    <row r="85">
      <c r="H85" s="2"/>
    </row>
    <row r="86">
      <c r="H86" s="2"/>
    </row>
    <row r="87">
      <c r="H87" s="2"/>
    </row>
    <row r="88">
      <c r="H88" s="2"/>
    </row>
    <row r="89">
      <c r="H89" s="2"/>
    </row>
    <row r="90">
      <c r="H90" s="2"/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1:K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270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/>
    </row>
    <row r="9">
      <c r="B9" s="1" t="s">
        <v>42</v>
      </c>
      <c r="C9" s="41">
        <f>'Income Statement'!C30</f>
        <v>34.40000000000005</v>
      </c>
      <c r="D9" s="41">
        <f>'Income Statement'!D30</f>
        <v>34.59999999999999</v>
      </c>
      <c r="E9" s="41">
        <f>'Income Statement'!E30</f>
        <v>67.99999999999994</v>
      </c>
      <c r="F9" s="41">
        <f>'Income Statement'!F30</f>
        <v>50.70000000000028</v>
      </c>
      <c r="G9" s="41">
        <f>'Income Statement'!G30</f>
        <v>187.7</v>
      </c>
      <c r="H9" s="39">
        <f>'Income Statement'!H30</f>
        <v>44.21497599999992</v>
      </c>
      <c r="I9" s="1"/>
      <c r="J9" s="1"/>
      <c r="K9" s="6"/>
    </row>
    <row r="10">
      <c r="B10" s="1" t="s">
        <v>271</v>
      </c>
      <c r="C10" s="4">
        <f>C43</f>
        <v>5.3</v>
      </c>
      <c r="D10" s="4">
        <f>D43</f>
        <v>4.3</v>
      </c>
      <c r="E10" s="4">
        <f>E43</f>
        <v>3.7</v>
      </c>
      <c r="F10" s="4">
        <f>F43</f>
        <v>4.5</v>
      </c>
      <c r="G10" s="4">
        <f>G43</f>
        <v>17.8</v>
      </c>
      <c r="H10" s="3"/>
      <c r="I10" s="1"/>
      <c r="J10" s="1"/>
      <c r="K10" s="6"/>
    </row>
    <row r="11">
      <c r="B11" s="1" t="s">
        <v>272</v>
      </c>
      <c r="C11" s="4">
        <f>SUM(C42,C44:C50)</f>
        <v>-2.7</v>
      </c>
      <c r="D11" s="4">
        <f>SUM(D42,D44:D50)</f>
        <v>2.1</v>
      </c>
      <c r="E11" s="4">
        <f>SUM(E42,E44:E50)</f>
        <v>-45.60000000000001</v>
      </c>
      <c r="F11" s="4">
        <f>SUM(F42,F44:F50)</f>
        <v>2.7999999999999994</v>
      </c>
      <c r="G11" s="4">
        <f>SUM(G42,G44:G50)</f>
        <v>-43.400000000000006</v>
      </c>
      <c r="H11" s="3"/>
      <c r="I11" s="1"/>
      <c r="J11" s="1"/>
      <c r="K11" s="6"/>
    </row>
    <row r="12">
      <c r="B12" s="1" t="s">
        <v>273</v>
      </c>
      <c r="C12" s="4">
        <f>C41</f>
        <v>13.8</v>
      </c>
      <c r="D12" s="4">
        <f>D41</f>
        <v>17.1</v>
      </c>
      <c r="E12" s="4">
        <f>E41</f>
        <v>20.2</v>
      </c>
      <c r="F12" s="4">
        <f>F41</f>
        <v>21</v>
      </c>
      <c r="G12" s="4">
        <f>G41</f>
        <v>72.1</v>
      </c>
      <c r="H12" s="32">
        <v>14</v>
      </c>
      <c r="I12" s="1"/>
      <c r="J12" s="1"/>
      <c r="K12" s="6"/>
    </row>
    <row r="13">
      <c r="B13" s="1" t="s">
        <v>267</v>
      </c>
      <c r="C13" s="4">
        <f>C51</f>
        <v>-8.5</v>
      </c>
      <c r="D13" s="4">
        <f>D51</f>
        <v>-2.1</v>
      </c>
      <c r="E13" s="4">
        <f>E51</f>
        <v>-24.5</v>
      </c>
      <c r="F13" s="4">
        <f>F51</f>
        <v>42.8</v>
      </c>
      <c r="G13" s="4">
        <f>G51</f>
        <v>7.7</v>
      </c>
      <c r="H13" s="39">
        <f>'Balance Sheet'!F11-'Balance Sheet'!H11</f>
        <v>-10</v>
      </c>
      <c r="I13" s="1"/>
      <c r="J13" s="1"/>
      <c r="K13" s="6"/>
    </row>
    <row r="14">
      <c r="B14" s="1" t="s">
        <v>268</v>
      </c>
      <c r="C14" s="4">
        <f>C53</f>
        <v>-51.8</v>
      </c>
      <c r="D14" s="4">
        <f>D53</f>
        <v>33.5</v>
      </c>
      <c r="E14" s="4">
        <f>E53</f>
        <v>-47.2</v>
      </c>
      <c r="F14" s="4">
        <f>F53</f>
        <v>-3.5</v>
      </c>
      <c r="G14" s="4">
        <f>G53</f>
        <v>-69</v>
      </c>
      <c r="H14" s="39">
        <f>'Balance Sheet'!F13-'Balance Sheet'!H13</f>
        <v>-10</v>
      </c>
      <c r="I14" s="1"/>
      <c r="J14" s="1"/>
      <c r="K14" s="6"/>
    </row>
    <row r="15">
      <c r="B15" s="1" t="s">
        <v>269</v>
      </c>
      <c r="C15" s="4">
        <f>C56</f>
        <v>10</v>
      </c>
      <c r="D15" s="4">
        <f>D56</f>
        <v>-9.6</v>
      </c>
      <c r="E15" s="4">
        <f>E56</f>
        <v>-17.9</v>
      </c>
      <c r="F15" s="4">
        <f>F56</f>
        <v>-32.4</v>
      </c>
      <c r="G15" s="4">
        <f>G56</f>
        <v>-49.9</v>
      </c>
      <c r="H15" s="39">
        <f>'Balance Sheet'!H24-'Balance Sheet'!F24</f>
        <v>10</v>
      </c>
      <c r="I15" s="1"/>
      <c r="J15" s="1"/>
      <c r="K15" s="6"/>
    </row>
    <row r="16">
      <c r="B16" s="1" t="s">
        <v>274</v>
      </c>
      <c r="C16" s="4">
        <f>SUM(C52,C54:C55,C57:C58)</f>
        <v>-45.4</v>
      </c>
      <c r="D16" s="4">
        <f>SUM(D52,D54:D55,D57:D58)</f>
        <v>-66.3</v>
      </c>
      <c r="E16" s="4">
        <f>SUM(E52,E54:E55,E57:E58)</f>
        <v>118</v>
      </c>
      <c r="F16" s="4">
        <f>SUM(F52,F54:F55,F57:F58)</f>
        <v>-30.6</v>
      </c>
      <c r="G16" s="4">
        <f>SUM(G52,G54:G55,G57:G58)</f>
        <v>-24.3</v>
      </c>
      <c r="H16" s="32">
        <v>0</v>
      </c>
      <c r="I16" s="1"/>
      <c r="J16" s="1"/>
      <c r="K16" s="6"/>
    </row>
    <row r="17">
      <c r="B17" s="17" t="s">
        <v>275</v>
      </c>
      <c r="C17" s="20">
        <f>SUM(C9:C16)</f>
        <v>-44.89999999999995</v>
      </c>
      <c r="D17" s="20">
        <f>SUM(D9:D16)</f>
        <v>13.599999999999994</v>
      </c>
      <c r="E17" s="20">
        <f>SUM(E9:E16)</f>
        <v>74.69999999999993</v>
      </c>
      <c r="F17" s="20">
        <f>SUM(F9:F16)</f>
        <v>55.30000000000028</v>
      </c>
      <c r="G17" s="20">
        <f>SUM(G9:G16)</f>
        <v>98.69999999999997</v>
      </c>
      <c r="H17" s="21">
        <f>SUM(H9,H12:H16)</f>
        <v>48.21497599999992</v>
      </c>
      <c r="I17" s="1"/>
      <c r="J17" s="1"/>
      <c r="K17" s="6"/>
    </row>
    <row r="18">
      <c r="B18" s="1" t="s">
        <v>276</v>
      </c>
      <c r="C18" s="4">
        <f>C65</f>
        <v>-8.7</v>
      </c>
      <c r="D18" s="4">
        <f>D65</f>
        <v>-7.4</v>
      </c>
      <c r="E18" s="4">
        <f>E65</f>
        <v>-8.5</v>
      </c>
      <c r="F18" s="4">
        <f>F65</f>
        <v>-12</v>
      </c>
      <c r="G18" s="4">
        <f>G65</f>
        <v>-36.6</v>
      </c>
      <c r="H18" s="3">
        <f>-H20</f>
        <v>-10</v>
      </c>
      <c r="I18" s="1"/>
      <c r="J18" s="1"/>
      <c r="K18" s="6"/>
    </row>
    <row r="19">
      <c r="B19" s="1" t="s">
        <v>277</v>
      </c>
      <c r="C19" s="4">
        <f>SUM(C66:C70)</f>
        <v>-15.100000000000001</v>
      </c>
      <c r="D19" s="4">
        <f>SUM(D66:D70)</f>
        <v>-205.89999999999998</v>
      </c>
      <c r="E19" s="4">
        <f>SUM(E66:E70)</f>
        <v>-6.1999999999999975</v>
      </c>
      <c r="F19" s="4">
        <f>SUM(F66:F70)</f>
        <v>-44.9</v>
      </c>
      <c r="G19" s="4">
        <f>SUM(G66:G70)</f>
        <v>-272.09999999999997</v>
      </c>
      <c r="H19" s="32">
        <v>0</v>
      </c>
      <c r="I19" s="1"/>
      <c r="J19" s="1"/>
      <c r="K19" s="6"/>
    </row>
    <row r="20">
      <c r="B20" s="1" t="s">
        <v>278</v>
      </c>
      <c r="C20" s="4"/>
      <c r="D20" s="4"/>
      <c r="E20" s="4"/>
      <c r="F20" s="4"/>
      <c r="G20" s="4"/>
      <c r="H20" s="32">
        <v>10</v>
      </c>
      <c r="I20" s="1"/>
      <c r="J20" s="1"/>
      <c r="K20" s="6"/>
    </row>
    <row r="21">
      <c r="B21" s="1" t="s">
        <v>279</v>
      </c>
      <c r="C21" s="4"/>
      <c r="D21" s="4"/>
      <c r="E21" s="4"/>
      <c r="F21" s="4"/>
      <c r="G21" s="4"/>
      <c r="H21" s="32">
        <v>5</v>
      </c>
      <c r="I21" s="1"/>
      <c r="J21" s="1"/>
      <c r="K21" s="6"/>
    </row>
    <row r="22">
      <c r="B22" s="17" t="s">
        <v>280</v>
      </c>
      <c r="C22" s="20">
        <f>SUM(C18:C19)</f>
        <v>-23.8</v>
      </c>
      <c r="D22" s="20">
        <f>SUM(D18:D19)</f>
        <v>-213.29999999999998</v>
      </c>
      <c r="E22" s="20">
        <f>SUM(E18:E19)</f>
        <v>-14.699999999999998</v>
      </c>
      <c r="F22" s="20">
        <f>SUM(F18:F19)</f>
        <v>-56.9</v>
      </c>
      <c r="G22" s="20">
        <f>SUM(G18:G19)</f>
        <v>-308.7</v>
      </c>
      <c r="H22" s="21">
        <f>SUM(H18:H19)</f>
        <v>-10</v>
      </c>
      <c r="I22" s="1"/>
      <c r="J22" s="1"/>
      <c r="K22" s="6"/>
    </row>
    <row r="23">
      <c r="B23" s="1" t="s">
        <v>281</v>
      </c>
      <c r="C23" s="4">
        <f>SUM(C72:C78)</f>
        <v>51.1</v>
      </c>
      <c r="D23" s="4">
        <f>SUM(D72:D78)</f>
        <v>204.29999999999998</v>
      </c>
      <c r="E23" s="4">
        <f>SUM(E72:E78)</f>
        <v>-56.1</v>
      </c>
      <c r="F23" s="4">
        <f>SUM(F72:F78)</f>
        <v>9.3</v>
      </c>
      <c r="G23" s="4">
        <f>SUM(G72:G78)</f>
        <v>208.59999999999997</v>
      </c>
      <c r="H23" s="3">
        <f>-H21</f>
        <v>-5</v>
      </c>
      <c r="I23" s="1"/>
      <c r="J23" s="1"/>
      <c r="K23" s="6"/>
    </row>
    <row r="24">
      <c r="B24" s="17" t="s">
        <v>282</v>
      </c>
      <c r="C24" s="20">
        <f>C23</f>
        <v>51.1</v>
      </c>
      <c r="D24" s="20">
        <f>D23</f>
        <v>204.29999999999998</v>
      </c>
      <c r="E24" s="20">
        <f>E23</f>
        <v>-56.1</v>
      </c>
      <c r="F24" s="20">
        <f>F23</f>
        <v>9.3</v>
      </c>
      <c r="G24" s="20">
        <f>G23</f>
        <v>208.59999999999997</v>
      </c>
      <c r="H24" s="21">
        <f>H23</f>
        <v>-5</v>
      </c>
      <c r="I24" s="1"/>
      <c r="J24" s="1"/>
      <c r="K24" s="6"/>
    </row>
    <row r="25">
      <c r="B25" s="17" t="s">
        <v>283</v>
      </c>
      <c r="C25" s="20">
        <f>SUM(C17,C22,C24)</f>
        <v>-17.59999999999995</v>
      </c>
      <c r="D25" s="20">
        <f>SUM(D17,D22,D24)</f>
        <v>4.599999999999994</v>
      </c>
      <c r="E25" s="20">
        <f>SUM(E17,E22,E24)</f>
        <v>3.8999999999999346</v>
      </c>
      <c r="F25" s="20">
        <f>SUM(F17,F22,F24)</f>
        <v>7.7000000000002835</v>
      </c>
      <c r="G25" s="20">
        <f>SUM(G17,G22,G24)</f>
        <v>-1.400000000000034</v>
      </c>
      <c r="H25" s="21">
        <f>SUM(H17,H22,H24)</f>
        <v>33.21497599999992</v>
      </c>
      <c r="I25" s="1"/>
      <c r="J25" s="1"/>
      <c r="K25" s="6"/>
    </row>
    <row r="26">
      <c r="B26" s="1" t="s">
        <v>284</v>
      </c>
      <c r="C26" s="18">
        <v>109.2</v>
      </c>
      <c r="D26" s="18">
        <v>91.6</v>
      </c>
      <c r="E26" s="18">
        <v>96.2</v>
      </c>
      <c r="F26" s="18">
        <v>100.1</v>
      </c>
      <c r="G26" s="18">
        <v>109.2</v>
      </c>
      <c r="H26" s="39">
        <f>'Balance Sheet'!F9+'Balance Sheet'!F10</f>
        <v>107.8</v>
      </c>
      <c r="I26" s="1"/>
      <c r="J26" s="1" t="s">
        <v>285</v>
      </c>
      <c r="K26" s="6"/>
    </row>
    <row r="27">
      <c r="B27" s="17" t="s">
        <v>286</v>
      </c>
      <c r="C27" s="50">
        <f>'Balance Sheet'!C9+'Balance Sheet'!C10</f>
        <v>91.6</v>
      </c>
      <c r="D27" s="50">
        <f>'Balance Sheet'!D9+'Balance Sheet'!D10</f>
        <v>96.19999999999999</v>
      </c>
      <c r="E27" s="50">
        <f>'Balance Sheet'!E9+'Balance Sheet'!E10</f>
        <v>100.1</v>
      </c>
      <c r="F27" s="50">
        <f>'Balance Sheet'!F9+'Balance Sheet'!F10</f>
        <v>107.8</v>
      </c>
      <c r="G27" s="50">
        <f>'Balance Sheet'!G9+'Balance Sheet'!G10</f>
        <v>107.8</v>
      </c>
      <c r="H27" s="37">
        <f>'Balance Sheet'!H9+'Balance Sheet'!H10</f>
        <v>141.01497599999993</v>
      </c>
      <c r="I27" s="1"/>
      <c r="J27" s="1"/>
      <c r="K27" s="6"/>
    </row>
    <row r="28">
      <c r="B28" s="17" t="s">
        <v>287</v>
      </c>
      <c r="C28" s="20">
        <f>C25-(C27-C26)</f>
        <v>0</v>
      </c>
      <c r="D28" s="20">
        <f>D25-(D27-D26)</f>
        <v>0</v>
      </c>
      <c r="E28" s="20">
        <f>E25-(E27-E26)</f>
        <v>0</v>
      </c>
      <c r="F28" s="20">
        <f>F25-(F27-F26)</f>
        <v>0</v>
      </c>
      <c r="G28" s="20">
        <f>G25-(G27-G26)</f>
        <v>0</v>
      </c>
      <c r="H28" s="21">
        <f>H25-(H27-H26)</f>
        <v>0</v>
      </c>
      <c r="I28" s="1"/>
      <c r="J28" s="1"/>
      <c r="K28" s="6"/>
    </row>
    <row r="29">
      <c r="B29" s="1"/>
      <c r="C29" s="4"/>
      <c r="D29" s="4"/>
      <c r="E29" s="4"/>
      <c r="F29" s="4"/>
      <c r="G29" s="4"/>
      <c r="H29" s="3"/>
      <c r="I29" s="1"/>
      <c r="J29" s="1"/>
      <c r="K29" s="6"/>
    </row>
    <row r="30">
      <c r="B30" s="1" t="s">
        <v>288</v>
      </c>
      <c r="C30" s="27">
        <f>C17/'Revenue summary'!C29</f>
        <v>-0.060708491076257365</v>
      </c>
      <c r="D30" s="27">
        <f>D17/'Revenue summary'!D29</f>
        <v>0.01710046523324531</v>
      </c>
      <c r="E30" s="27">
        <f>E17/'Revenue summary'!E29</f>
        <v>0.08839190628328002</v>
      </c>
      <c r="F30" s="27">
        <f>F17/'Revenue summary'!F29</f>
        <v>0.0595905172413796</v>
      </c>
      <c r="G30" s="27">
        <f>G17/'Revenue summary'!G29</f>
        <v>0.029836759371221273</v>
      </c>
      <c r="H30" s="49">
        <f>H17/'Revenue summary'!H29</f>
        <v>0.05454182805429855</v>
      </c>
      <c r="I30" s="1"/>
      <c r="J30" s="1"/>
      <c r="K30" s="6"/>
    </row>
    <row r="31">
      <c r="B31" s="17" t="s">
        <v>289</v>
      </c>
      <c r="C31" s="20">
        <f>SUM(C17,C18)</f>
        <v>-53.59999999999995</v>
      </c>
      <c r="D31" s="20">
        <f>SUM(D17,D18)</f>
        <v>6.199999999999994</v>
      </c>
      <c r="E31" s="20">
        <f>SUM(E17,E18)</f>
        <v>66.19999999999993</v>
      </c>
      <c r="F31" s="20">
        <f>SUM(F17,F18)</f>
        <v>43.30000000000028</v>
      </c>
      <c r="G31" s="20">
        <f>SUM(G17,G18)</f>
        <v>62.09999999999997</v>
      </c>
      <c r="H31" s="21">
        <f>SUM(H17,H18)</f>
        <v>38.21497599999992</v>
      </c>
      <c r="I31" s="1"/>
      <c r="J31" s="1"/>
      <c r="K31" s="6"/>
    </row>
    <row r="32">
      <c r="B32" s="6"/>
      <c r="C32" s="6"/>
      <c r="D32" s="6"/>
      <c r="E32" s="6"/>
      <c r="F32" s="6"/>
      <c r="G32" s="6"/>
      <c r="H32" s="13"/>
      <c r="I32" s="6"/>
      <c r="J32" s="6"/>
      <c r="K32" s="6"/>
    </row>
    <row r="33">
      <c r="B33" s="6"/>
      <c r="C33" s="6"/>
      <c r="D33" s="6"/>
      <c r="E33" s="6"/>
      <c r="F33" s="6"/>
      <c r="G33" s="6"/>
      <c r="H33" s="13"/>
      <c r="I33" s="6"/>
      <c r="J33" s="6"/>
      <c r="K33" s="6"/>
    </row>
    <row r="34">
      <c r="B34" s="6"/>
      <c r="C34" s="6"/>
      <c r="D34" s="6"/>
      <c r="E34" s="6"/>
      <c r="F34" s="6"/>
      <c r="G34" s="6"/>
      <c r="H34" s="13"/>
      <c r="I34" s="6"/>
      <c r="J34" s="6"/>
      <c r="K34" s="6"/>
    </row>
    <row r="35">
      <c r="B35" s="6"/>
      <c r="C35" s="6"/>
      <c r="D35" s="6"/>
      <c r="E35" s="6"/>
      <c r="F35" s="6"/>
      <c r="G35" s="6"/>
      <c r="H35" s="13"/>
      <c r="I35" s="6"/>
      <c r="J35" s="6"/>
      <c r="K35" s="6"/>
    </row>
    <row r="36">
      <c r="B36" s="6"/>
      <c r="C36" s="6"/>
      <c r="D36" s="6"/>
      <c r="E36" s="6"/>
      <c r="F36" s="6"/>
      <c r="G36" s="6"/>
      <c r="H36" s="13"/>
      <c r="I36" s="6"/>
      <c r="J36" s="6"/>
      <c r="K36" s="6"/>
    </row>
    <row r="37">
      <c r="B37" s="6"/>
      <c r="C37" s="6"/>
      <c r="D37" s="6"/>
      <c r="E37" s="6"/>
      <c r="F37" s="6"/>
      <c r="G37" s="6"/>
      <c r="H37" s="13"/>
      <c r="I37" s="6"/>
      <c r="J37" s="6"/>
      <c r="K37" s="6"/>
    </row>
    <row r="38">
      <c r="B38" s="6"/>
      <c r="C38" s="6"/>
      <c r="D38" s="6"/>
      <c r="E38" s="6"/>
      <c r="F38" s="6"/>
      <c r="G38" s="6"/>
      <c r="H38" s="13"/>
      <c r="I38" s="6"/>
      <c r="J38" s="6"/>
      <c r="K38" s="6"/>
    </row>
    <row r="39">
      <c r="B39" s="1" t="s">
        <v>290</v>
      </c>
      <c r="C39" s="1"/>
      <c r="D39" s="1"/>
      <c r="E39" s="1"/>
      <c r="F39" s="1"/>
      <c r="G39" s="1"/>
      <c r="H39" s="36"/>
      <c r="I39" s="6"/>
      <c r="J39" s="6"/>
      <c r="K39" s="6"/>
    </row>
    <row r="40">
      <c r="B40" s="1" t="s">
        <v>291</v>
      </c>
      <c r="C40" s="41">
        <f>'Income Statement'!C30</f>
        <v>34.40000000000005</v>
      </c>
      <c r="D40" s="41">
        <f>'Income Statement'!D30</f>
        <v>34.59999999999999</v>
      </c>
      <c r="E40" s="41">
        <f>'Income Statement'!E30</f>
        <v>67.99999999999994</v>
      </c>
      <c r="F40" s="41">
        <f>'Income Statement'!F30</f>
        <v>50.70000000000028</v>
      </c>
      <c r="G40" s="41">
        <f>'Income Statement'!G30</f>
        <v>187.7</v>
      </c>
      <c r="H40" s="3"/>
      <c r="I40" s="6"/>
      <c r="J40" s="6"/>
      <c r="K40" s="6"/>
    </row>
    <row r="41">
      <c r="B41" s="1" t="s">
        <v>292</v>
      </c>
      <c r="C41" s="18">
        <v>13.8</v>
      </c>
      <c r="D41" s="18">
        <v>17.1</v>
      </c>
      <c r="E41" s="18">
        <v>20.2</v>
      </c>
      <c r="F41" s="18">
        <v>21</v>
      </c>
      <c r="G41" s="18">
        <v>72.1</v>
      </c>
      <c r="H41" s="3"/>
      <c r="I41" s="6"/>
      <c r="J41" s="6"/>
      <c r="K41" s="6"/>
    </row>
    <row r="42">
      <c r="B42" s="1" t="s">
        <v>293</v>
      </c>
      <c r="C42" s="18">
        <v>0.7</v>
      </c>
      <c r="D42" s="18">
        <v>0.9</v>
      </c>
      <c r="E42" s="18">
        <v>0.8</v>
      </c>
      <c r="F42" s="18">
        <v>0.8</v>
      </c>
      <c r="G42" s="18">
        <v>3.2</v>
      </c>
      <c r="H42" s="3"/>
      <c r="I42" s="6"/>
      <c r="J42" s="6"/>
      <c r="K42" s="6"/>
    </row>
    <row r="43">
      <c r="B43" s="1" t="s">
        <v>294</v>
      </c>
      <c r="C43" s="18">
        <v>5.3</v>
      </c>
      <c r="D43" s="18">
        <v>4.3</v>
      </c>
      <c r="E43" s="18">
        <v>3.7</v>
      </c>
      <c r="F43" s="18">
        <v>4.5</v>
      </c>
      <c r="G43" s="18">
        <v>17.8</v>
      </c>
      <c r="H43" s="3"/>
      <c r="I43" s="6"/>
      <c r="J43" s="6"/>
      <c r="K43" s="6"/>
    </row>
    <row r="44">
      <c r="B44" s="1" t="s">
        <v>222</v>
      </c>
      <c r="C44" s="18">
        <v>0</v>
      </c>
      <c r="D44" s="18">
        <v>0</v>
      </c>
      <c r="E44" s="18">
        <v>-35.7</v>
      </c>
      <c r="F44" s="18">
        <v>6.2</v>
      </c>
      <c r="G44" s="18">
        <v>-29.5</v>
      </c>
      <c r="H44" s="3"/>
      <c r="I44" s="6"/>
      <c r="J44" s="6"/>
      <c r="K44" s="6"/>
    </row>
    <row r="45">
      <c r="B45" s="1" t="s">
        <v>295</v>
      </c>
      <c r="C45" s="18">
        <v>0</v>
      </c>
      <c r="D45" s="18">
        <v>0</v>
      </c>
      <c r="E45" s="18">
        <v>-9.8</v>
      </c>
      <c r="F45" s="18">
        <v>0</v>
      </c>
      <c r="G45" s="18">
        <v>-9.8</v>
      </c>
      <c r="H45" s="3"/>
      <c r="I45" s="6"/>
      <c r="J45" s="6"/>
      <c r="K45" s="6"/>
    </row>
    <row r="46">
      <c r="B46" s="1" t="s">
        <v>184</v>
      </c>
      <c r="C46" s="18">
        <v>0.6</v>
      </c>
      <c r="D46" s="18">
        <v>1.1</v>
      </c>
      <c r="E46" s="18">
        <v>0.5</v>
      </c>
      <c r="F46" s="18">
        <v>-0.1</v>
      </c>
      <c r="G46" s="18">
        <v>2.1</v>
      </c>
      <c r="H46" s="3"/>
      <c r="I46" s="6"/>
      <c r="J46" s="6"/>
      <c r="K46" s="6"/>
    </row>
    <row r="47">
      <c r="B47" s="1" t="s">
        <v>296</v>
      </c>
      <c r="C47" s="18">
        <v>0</v>
      </c>
      <c r="D47" s="18">
        <v>0</v>
      </c>
      <c r="E47" s="18">
        <v>0</v>
      </c>
      <c r="F47" s="18">
        <v>-3.2</v>
      </c>
      <c r="G47" s="18">
        <v>-3.2</v>
      </c>
      <c r="H47" s="3"/>
      <c r="I47" s="6"/>
      <c r="J47" s="6"/>
      <c r="K47" s="6"/>
    </row>
    <row r="48">
      <c r="B48" s="1" t="s">
        <v>297</v>
      </c>
      <c r="C48" s="18">
        <v>-3</v>
      </c>
      <c r="D48" s="18">
        <v>0.1</v>
      </c>
      <c r="E48" s="18">
        <v>-1.4</v>
      </c>
      <c r="F48" s="4">
        <f>G48-SUM(C48:E48)</f>
        <v>-2.9000000000000004</v>
      </c>
      <c r="G48" s="18">
        <v>-7.2</v>
      </c>
      <c r="H48" s="3"/>
      <c r="I48" s="6"/>
      <c r="J48" s="6"/>
      <c r="K48" s="6"/>
    </row>
    <row r="49">
      <c r="B49" s="1" t="s">
        <v>298</v>
      </c>
      <c r="C49" s="18">
        <v>-1</v>
      </c>
      <c r="D49" s="18">
        <v>0</v>
      </c>
      <c r="E49" s="18">
        <v>0</v>
      </c>
      <c r="F49" s="18">
        <v>1</v>
      </c>
      <c r="G49" s="18">
        <v>0</v>
      </c>
      <c r="H49" s="3"/>
      <c r="I49" s="6"/>
      <c r="J49" s="6"/>
      <c r="K49" s="6"/>
    </row>
    <row r="50">
      <c r="B50" s="1" t="s">
        <v>299</v>
      </c>
      <c r="C50" s="18">
        <v>0</v>
      </c>
      <c r="D50" s="18">
        <v>0</v>
      </c>
      <c r="E50" s="18">
        <v>0</v>
      </c>
      <c r="F50" s="18">
        <v>1</v>
      </c>
      <c r="G50" s="18">
        <v>1</v>
      </c>
      <c r="H50" s="3"/>
      <c r="I50" s="6"/>
      <c r="J50" s="6"/>
      <c r="K50" s="6"/>
    </row>
    <row r="51">
      <c r="B51" s="1" t="s">
        <v>300</v>
      </c>
      <c r="C51" s="18">
        <v>-8.5</v>
      </c>
      <c r="D51" s="18">
        <v>-2.1</v>
      </c>
      <c r="E51" s="18">
        <v>-24.5</v>
      </c>
      <c r="F51" s="18">
        <v>42.8</v>
      </c>
      <c r="G51" s="18">
        <v>7.7</v>
      </c>
      <c r="H51" s="3"/>
      <c r="I51" s="6"/>
      <c r="J51" s="6"/>
      <c r="K51" s="6"/>
    </row>
    <row r="52">
      <c r="B52" s="1" t="s">
        <v>301</v>
      </c>
      <c r="C52" s="18">
        <v>-6.4</v>
      </c>
      <c r="D52" s="18">
        <v>10.1</v>
      </c>
      <c r="E52" s="18">
        <v>10.5</v>
      </c>
      <c r="F52" s="18">
        <v>-6.1</v>
      </c>
      <c r="G52" s="18">
        <v>8.1</v>
      </c>
      <c r="H52" s="3"/>
      <c r="I52" s="6"/>
      <c r="J52" s="6"/>
      <c r="K52" s="6"/>
    </row>
    <row r="53">
      <c r="B53" s="1" t="s">
        <v>302</v>
      </c>
      <c r="C53" s="18">
        <v>-51.8</v>
      </c>
      <c r="D53" s="18">
        <v>33.5</v>
      </c>
      <c r="E53" s="18">
        <v>-47.2</v>
      </c>
      <c r="F53" s="18">
        <v>-3.5</v>
      </c>
      <c r="G53" s="18">
        <v>-69</v>
      </c>
      <c r="H53" s="3"/>
      <c r="I53" s="6"/>
      <c r="J53" s="6"/>
      <c r="K53" s="6"/>
    </row>
    <row r="54">
      <c r="B54" s="1" t="s">
        <v>303</v>
      </c>
      <c r="C54" s="18">
        <v>3.5</v>
      </c>
      <c r="D54" s="18">
        <v>-21</v>
      </c>
      <c r="E54" s="18">
        <v>-1</v>
      </c>
      <c r="F54" s="18">
        <v>6.6</v>
      </c>
      <c r="G54" s="18">
        <v>-11.9</v>
      </c>
      <c r="H54" s="3"/>
      <c r="I54" s="6"/>
      <c r="J54" s="6"/>
      <c r="K54" s="6"/>
    </row>
    <row r="55">
      <c r="B55" s="1" t="s">
        <v>304</v>
      </c>
      <c r="C55" s="18">
        <v>-3.5</v>
      </c>
      <c r="D55" s="18">
        <v>-41.1</v>
      </c>
      <c r="E55" s="18">
        <v>19</v>
      </c>
      <c r="F55" s="18">
        <v>3.3</v>
      </c>
      <c r="G55" s="18">
        <v>-22.3</v>
      </c>
      <c r="H55" s="3"/>
      <c r="I55" s="6"/>
      <c r="J55" s="6"/>
      <c r="K55" s="6"/>
    </row>
    <row r="56">
      <c r="B56" s="1" t="s">
        <v>269</v>
      </c>
      <c r="C56" s="18">
        <v>10</v>
      </c>
      <c r="D56" s="18">
        <v>-9.6</v>
      </c>
      <c r="E56" s="18">
        <v>-17.9</v>
      </c>
      <c r="F56" s="18">
        <v>-32.4</v>
      </c>
      <c r="G56" s="18">
        <v>-49.9</v>
      </c>
      <c r="H56" s="3"/>
      <c r="I56" s="6"/>
      <c r="J56" s="6"/>
      <c r="K56" s="6"/>
    </row>
    <row r="57">
      <c r="B57" s="1" t="s">
        <v>305</v>
      </c>
      <c r="C57" s="18">
        <v>-26.7</v>
      </c>
      <c r="D57" s="18">
        <v>-2.3</v>
      </c>
      <c r="E57" s="18">
        <v>71.6</v>
      </c>
      <c r="F57" s="18">
        <v>-21</v>
      </c>
      <c r="G57" s="18">
        <v>21.6</v>
      </c>
      <c r="H57" s="3"/>
      <c r="I57" s="6"/>
      <c r="J57" s="6"/>
      <c r="K57" s="6"/>
    </row>
    <row r="58">
      <c r="B58" s="1" t="s">
        <v>306</v>
      </c>
      <c r="C58" s="18">
        <v>-12.3</v>
      </c>
      <c r="D58" s="18">
        <v>-12</v>
      </c>
      <c r="E58" s="18">
        <v>17.9</v>
      </c>
      <c r="F58" s="18">
        <v>-13.4</v>
      </c>
      <c r="G58" s="18">
        <v>-19.8</v>
      </c>
      <c r="H58" s="3"/>
      <c r="I58" s="6"/>
      <c r="J58" s="6"/>
      <c r="K58" s="6"/>
    </row>
    <row r="59">
      <c r="B59" s="1" t="s">
        <v>307</v>
      </c>
      <c r="C59" s="4">
        <f>SUM(C40:C58)</f>
        <v>-44.89999999999995</v>
      </c>
      <c r="D59" s="4">
        <f>SUM(D40:D58)</f>
        <v>13.599999999999987</v>
      </c>
      <c r="E59" s="4">
        <f>SUM(E40:E58)</f>
        <v>74.69999999999993</v>
      </c>
      <c r="F59" s="4">
        <f>SUM(F40:F58)</f>
        <v>55.300000000000274</v>
      </c>
      <c r="G59" s="4">
        <f>SUM(G40:G58)</f>
        <v>98.69999999999999</v>
      </c>
      <c r="H59" s="3"/>
      <c r="I59" s="6"/>
      <c r="J59" s="6"/>
      <c r="K59" s="6"/>
    </row>
    <row r="60">
      <c r="B60" s="1"/>
      <c r="C60" s="4"/>
      <c r="D60" s="4"/>
      <c r="E60" s="4"/>
      <c r="F60" s="4"/>
      <c r="G60" s="4"/>
      <c r="H60" s="3"/>
      <c r="I60" s="6"/>
      <c r="J60" s="6"/>
      <c r="K60" s="6"/>
    </row>
    <row r="61">
      <c r="B61" s="1"/>
      <c r="C61" s="4"/>
      <c r="D61" s="4"/>
      <c r="E61" s="4"/>
      <c r="F61" s="4"/>
      <c r="G61" s="4"/>
      <c r="H61" s="3"/>
      <c r="I61" s="6"/>
      <c r="J61" s="6"/>
      <c r="K61" s="6"/>
    </row>
    <row r="62">
      <c r="B62" s="1"/>
      <c r="C62" s="4"/>
      <c r="D62" s="4"/>
      <c r="E62" s="4"/>
      <c r="F62" s="4"/>
      <c r="G62" s="4"/>
      <c r="H62" s="3"/>
      <c r="I62" s="6"/>
      <c r="J62" s="6"/>
      <c r="K62" s="6"/>
    </row>
    <row r="63">
      <c r="B63" s="1"/>
      <c r="C63" s="4"/>
      <c r="D63" s="4"/>
      <c r="E63" s="4"/>
      <c r="F63" s="4"/>
      <c r="G63" s="4"/>
      <c r="H63" s="3"/>
      <c r="I63" s="6"/>
      <c r="J63" s="6"/>
      <c r="K63" s="6"/>
    </row>
    <row r="64">
      <c r="B64" s="1" t="s">
        <v>308</v>
      </c>
      <c r="C64" s="4"/>
      <c r="D64" s="4"/>
      <c r="E64" s="4"/>
      <c r="F64" s="4"/>
      <c r="G64" s="4"/>
      <c r="H64" s="3"/>
      <c r="I64" s="6"/>
      <c r="J64" s="6"/>
      <c r="K64" s="6"/>
    </row>
    <row r="65">
      <c r="B65" s="1" t="s">
        <v>309</v>
      </c>
      <c r="C65" s="18">
        <v>-8.7</v>
      </c>
      <c r="D65" s="18">
        <v>-7.4</v>
      </c>
      <c r="E65" s="18">
        <v>-8.5</v>
      </c>
      <c r="F65" s="18">
        <v>-12</v>
      </c>
      <c r="G65" s="18">
        <v>-36.6</v>
      </c>
      <c r="H65" s="3"/>
      <c r="I65" s="6"/>
      <c r="J65" s="6"/>
      <c r="K65" s="6"/>
    </row>
    <row r="66">
      <c r="B66" s="1" t="s">
        <v>310</v>
      </c>
      <c r="C66" s="18">
        <v>-11.9</v>
      </c>
      <c r="D66" s="18">
        <v>-209.7</v>
      </c>
      <c r="E66" s="18">
        <v>-0.4</v>
      </c>
      <c r="F66" s="18">
        <v>-37.4</v>
      </c>
      <c r="G66" s="18">
        <v>-259.4</v>
      </c>
      <c r="H66" s="3"/>
      <c r="I66" s="6"/>
      <c r="J66" s="6"/>
      <c r="K66" s="6"/>
    </row>
    <row r="67">
      <c r="B67" s="1" t="s">
        <v>311</v>
      </c>
      <c r="C67" s="18">
        <v>0</v>
      </c>
      <c r="D67" s="18">
        <v>0</v>
      </c>
      <c r="E67" s="18">
        <v>24.8</v>
      </c>
      <c r="F67" s="18">
        <v>0.3</v>
      </c>
      <c r="G67" s="18">
        <v>25.1</v>
      </c>
      <c r="H67" s="3"/>
      <c r="I67" s="6"/>
      <c r="J67" s="6"/>
      <c r="K67" s="6"/>
    </row>
    <row r="68">
      <c r="B68" s="1" t="s">
        <v>312</v>
      </c>
      <c r="C68" s="18">
        <v>0</v>
      </c>
      <c r="D68" s="18">
        <v>0</v>
      </c>
      <c r="E68" s="18">
        <v>0</v>
      </c>
      <c r="F68" s="18">
        <v>0.6</v>
      </c>
      <c r="G68" s="18">
        <v>0.6</v>
      </c>
      <c r="H68" s="3"/>
      <c r="I68" s="6"/>
      <c r="J68" s="6"/>
      <c r="K68" s="6"/>
    </row>
    <row r="69">
      <c r="B69" s="1" t="s">
        <v>313</v>
      </c>
      <c r="C69" s="18">
        <v>0</v>
      </c>
      <c r="D69" s="18">
        <v>0</v>
      </c>
      <c r="E69" s="18">
        <v>-24.5</v>
      </c>
      <c r="F69" s="18">
        <v>-4.3</v>
      </c>
      <c r="G69" s="18">
        <v>-28.8</v>
      </c>
      <c r="H69" s="3"/>
      <c r="I69" s="6"/>
      <c r="J69" s="6"/>
      <c r="K69" s="6"/>
    </row>
    <row r="70">
      <c r="B70" s="1" t="s">
        <v>314</v>
      </c>
      <c r="C70" s="18">
        <v>-3.2</v>
      </c>
      <c r="D70" s="18">
        <v>3.8</v>
      </c>
      <c r="E70" s="18">
        <v>-6.1</v>
      </c>
      <c r="F70" s="18">
        <v>-4.1</v>
      </c>
      <c r="G70" s="18">
        <v>-9.6</v>
      </c>
      <c r="H70" s="3"/>
      <c r="I70" s="6"/>
      <c r="J70" s="6"/>
      <c r="K70" s="6"/>
    </row>
    <row r="71">
      <c r="B71" s="1" t="s">
        <v>315</v>
      </c>
      <c r="C71" s="4"/>
      <c r="D71" s="4"/>
      <c r="E71" s="4"/>
      <c r="F71" s="4"/>
      <c r="G71" s="4"/>
      <c r="H71" s="3"/>
      <c r="I71" s="6"/>
      <c r="J71" s="6"/>
      <c r="K71" s="6"/>
    </row>
    <row r="72">
      <c r="B72" s="1" t="s">
        <v>316</v>
      </c>
      <c r="C72" s="18">
        <v>0</v>
      </c>
      <c r="D72" s="18">
        <v>273.9</v>
      </c>
      <c r="E72" s="18">
        <v>0</v>
      </c>
      <c r="F72" s="18">
        <v>0</v>
      </c>
      <c r="G72" s="18">
        <v>273.9</v>
      </c>
      <c r="H72" s="3"/>
      <c r="I72" s="6"/>
      <c r="J72" s="6"/>
      <c r="K72" s="6"/>
    </row>
    <row r="73">
      <c r="B73" s="1" t="s">
        <v>317</v>
      </c>
      <c r="C73" s="18">
        <v>153</v>
      </c>
      <c r="D73" s="18">
        <v>0</v>
      </c>
      <c r="E73" s="18">
        <v>0</v>
      </c>
      <c r="F73" s="18">
        <v>0</v>
      </c>
      <c r="G73" s="18">
        <v>153</v>
      </c>
      <c r="H73" s="3"/>
      <c r="I73" s="6"/>
      <c r="J73" s="6"/>
      <c r="K73" s="6"/>
    </row>
    <row r="74">
      <c r="B74" s="1" t="s">
        <v>318</v>
      </c>
      <c r="C74" s="18">
        <v>-97</v>
      </c>
      <c r="D74" s="18">
        <v>-70</v>
      </c>
      <c r="E74" s="18">
        <v>-65</v>
      </c>
      <c r="F74" s="18">
        <v>5</v>
      </c>
      <c r="G74" s="18">
        <v>-227</v>
      </c>
      <c r="H74" s="3"/>
      <c r="I74" s="6"/>
      <c r="J74" s="6"/>
      <c r="K74" s="6"/>
    </row>
    <row r="75">
      <c r="B75" s="1" t="s">
        <v>319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3"/>
      <c r="I75" s="6"/>
      <c r="J75" s="6"/>
      <c r="K75" s="6"/>
    </row>
    <row r="76">
      <c r="B76" s="1" t="s">
        <v>320</v>
      </c>
      <c r="C76" s="18">
        <v>-2.4</v>
      </c>
      <c r="D76" s="18">
        <v>0.4</v>
      </c>
      <c r="E76" s="18">
        <v>8.9</v>
      </c>
      <c r="F76" s="18">
        <v>4.3</v>
      </c>
      <c r="G76" s="18">
        <v>11.2</v>
      </c>
      <c r="H76" s="3"/>
      <c r="I76" s="6"/>
      <c r="J76" s="6"/>
      <c r="K76" s="6"/>
    </row>
    <row r="77">
      <c r="B77" s="1" t="s">
        <v>321</v>
      </c>
      <c r="C77" s="18">
        <v>-2.5</v>
      </c>
      <c r="D77" s="18">
        <v>0</v>
      </c>
      <c r="E77" s="18">
        <v>0</v>
      </c>
      <c r="F77" s="18">
        <v>0</v>
      </c>
      <c r="G77" s="18">
        <v>-2.5</v>
      </c>
      <c r="H77" s="3"/>
      <c r="I77" s="6"/>
      <c r="J77" s="6"/>
      <c r="K77" s="6"/>
    </row>
    <row r="78">
      <c r="B78" s="1" t="s">
        <v>322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3"/>
      <c r="I78" s="6"/>
      <c r="J78" s="6"/>
      <c r="K78" s="6"/>
    </row>
    <row r="79">
      <c r="H79" s="2"/>
    </row>
    <row r="80">
      <c r="H80" s="2"/>
    </row>
    <row r="81">
      <c r="H81" s="2"/>
    </row>
    <row r="82">
      <c r="H82" s="2"/>
    </row>
    <row r="83">
      <c r="H83" s="2"/>
    </row>
    <row r="84">
      <c r="H84" s="2"/>
    </row>
    <row r="85">
      <c r="H85" s="2"/>
    </row>
    <row r="86">
      <c r="H86" s="2"/>
    </row>
    <row r="87">
      <c r="H87" s="2"/>
    </row>
    <row r="88">
      <c r="H88" s="2"/>
    </row>
    <row r="89">
      <c r="H89" s="2"/>
    </row>
    <row r="90">
      <c r="H90" s="2"/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B1:K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8" customWidth="1"/>
    <col min="11" max="11" width="20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323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 t="s">
        <v>324</v>
      </c>
    </row>
    <row r="9">
      <c r="B9" s="1" t="s">
        <v>325</v>
      </c>
      <c r="C9" s="4" t="s">
        <v>38</v>
      </c>
      <c r="D9" s="4" t="s">
        <v>38</v>
      </c>
      <c r="E9" s="4" t="s">
        <v>38</v>
      </c>
      <c r="F9" s="4" t="s">
        <v>38</v>
      </c>
      <c r="G9" s="4">
        <f>SUM(G18,G24,G30,G36)</f>
        <v>2362.2</v>
      </c>
      <c r="H9" s="3">
        <f>SUM(H18,H24,H30,H36)</f>
        <v>630.1024677909562</v>
      </c>
      <c r="I9" s="1"/>
      <c r="J9" s="1" t="s">
        <v>326</v>
      </c>
      <c r="K9" s="6"/>
    </row>
    <row r="10">
      <c r="B10" s="1" t="s">
        <v>327</v>
      </c>
      <c r="C10" s="4" t="s">
        <v>38</v>
      </c>
      <c r="D10" s="4" t="s">
        <v>38</v>
      </c>
      <c r="E10" s="4" t="s">
        <v>38</v>
      </c>
      <c r="F10" s="4" t="s">
        <v>38</v>
      </c>
      <c r="G10" s="4">
        <f>SUM(G19,G25,G31,G37)</f>
        <v>506.59999999999997</v>
      </c>
      <c r="H10" s="3">
        <f>SUM(H19,H25,H31,H37)</f>
        <v>135.24251511757302</v>
      </c>
      <c r="I10" s="1"/>
      <c r="J10" s="1"/>
      <c r="K10" s="6"/>
    </row>
    <row r="11">
      <c r="B11" s="1" t="s">
        <v>328</v>
      </c>
      <c r="C11" s="4" t="s">
        <v>38</v>
      </c>
      <c r="D11" s="4" t="s">
        <v>38</v>
      </c>
      <c r="E11" s="4" t="s">
        <v>38</v>
      </c>
      <c r="F11" s="4" t="s">
        <v>38</v>
      </c>
      <c r="G11" s="4">
        <f>SUM(G20,G26,G32,G38)</f>
        <v>368.3</v>
      </c>
      <c r="H11" s="3">
        <f>SUM(H20,H26,H32,H38)</f>
        <v>99.19764139486921</v>
      </c>
      <c r="I11" s="1"/>
      <c r="J11" s="1"/>
      <c r="K11" s="6"/>
    </row>
    <row r="12">
      <c r="B12" s="1" t="s">
        <v>329</v>
      </c>
      <c r="C12" s="4" t="s">
        <v>38</v>
      </c>
      <c r="D12" s="4" t="s">
        <v>38</v>
      </c>
      <c r="E12" s="4" t="s">
        <v>38</v>
      </c>
      <c r="F12" s="4" t="s">
        <v>38</v>
      </c>
      <c r="G12" s="4">
        <f>SUM(G21,G27,G33,G39)</f>
        <v>70.89999999999999</v>
      </c>
      <c r="H12" s="3">
        <f>SUM(H21,H27,H33,H39)</f>
        <v>19.457375696601595</v>
      </c>
      <c r="I12" s="1"/>
      <c r="J12" s="1"/>
      <c r="K12" s="6"/>
    </row>
    <row r="13">
      <c r="B13" s="17" t="s">
        <v>330</v>
      </c>
      <c r="C13" s="20"/>
      <c r="D13" s="20"/>
      <c r="E13" s="20"/>
      <c r="F13" s="20"/>
      <c r="G13" s="20">
        <f>SUM(G9:G12)</f>
        <v>3308</v>
      </c>
      <c r="H13" s="21">
        <f>SUM(H9:H12)</f>
        <v>884</v>
      </c>
      <c r="I13" s="1"/>
      <c r="J13" s="1"/>
      <c r="K13" s="6"/>
    </row>
    <row r="14">
      <c r="B14" s="17" t="s">
        <v>331</v>
      </c>
      <c r="C14" s="20"/>
      <c r="D14" s="20"/>
      <c r="E14" s="20"/>
      <c r="F14" s="20"/>
      <c r="G14" s="50">
        <f>G13-'Revenue summary'!G29</f>
        <v>0</v>
      </c>
      <c r="H14" s="37">
        <f>H13-'Revenue summary'!H29</f>
        <v>0</v>
      </c>
      <c r="I14" s="1"/>
      <c r="J14" s="1"/>
      <c r="K14" s="6"/>
    </row>
    <row r="15">
      <c r="B15" s="35" t="s">
        <v>332</v>
      </c>
      <c r="C15" s="8"/>
      <c r="D15" s="8"/>
      <c r="E15" s="8"/>
      <c r="F15" s="8"/>
      <c r="G15" s="8">
        <f>G9/G13</f>
        <v>0.714087061668682</v>
      </c>
      <c r="H15" s="42">
        <f>H9/H13</f>
        <v>0.712785597048593</v>
      </c>
      <c r="I15" s="1"/>
      <c r="J15" s="1"/>
      <c r="K15" s="6"/>
    </row>
    <row r="16">
      <c r="B16" s="1"/>
      <c r="C16" s="4"/>
      <c r="D16" s="4"/>
      <c r="E16" s="4"/>
      <c r="F16" s="4"/>
      <c r="G16" s="4"/>
      <c r="H16" s="3"/>
      <c r="I16" s="1"/>
      <c r="J16" s="1"/>
      <c r="K16" s="6"/>
    </row>
    <row r="17">
      <c r="B17" s="1" t="s">
        <v>333</v>
      </c>
      <c r="C17" s="4"/>
      <c r="D17" s="4"/>
      <c r="E17" s="4"/>
      <c r="F17" s="4"/>
      <c r="G17" s="4"/>
      <c r="H17" s="3"/>
      <c r="I17" s="1"/>
      <c r="J17" s="1" t="s">
        <v>334</v>
      </c>
      <c r="K17" s="6"/>
    </row>
    <row r="18">
      <c r="B18" s="1" t="s">
        <v>335</v>
      </c>
      <c r="C18" s="4"/>
      <c r="D18" s="4"/>
      <c r="E18" s="4"/>
      <c r="F18" s="4"/>
      <c r="G18" s="18">
        <v>840.6</v>
      </c>
      <c r="H18" s="39">
        <f>G18*'Revenue summary'!H9/'Revenue summary'!G9</f>
        <v>231.66364186327888</v>
      </c>
      <c r="I18" s="1"/>
      <c r="J18" s="1"/>
      <c r="K18" s="6">
        <v>631.6</v>
      </c>
    </row>
    <row r="19">
      <c r="B19" s="1" t="s">
        <v>336</v>
      </c>
      <c r="C19" s="4"/>
      <c r="D19" s="4"/>
      <c r="E19" s="4"/>
      <c r="F19" s="4"/>
      <c r="G19" s="18">
        <v>331.4</v>
      </c>
      <c r="H19" s="32">
        <f>G19*'Revenue summary'!H9/'Revenue summary'!G9</f>
        <v>91.33158566915372</v>
      </c>
      <c r="I19" s="1"/>
      <c r="J19" s="1"/>
      <c r="K19" s="6">
        <v>263.2</v>
      </c>
    </row>
    <row r="20">
      <c r="B20" s="1" t="s">
        <v>337</v>
      </c>
      <c r="C20" s="4"/>
      <c r="D20" s="4"/>
      <c r="E20" s="4"/>
      <c r="F20" s="4"/>
      <c r="G20" s="18">
        <v>250.4</v>
      </c>
      <c r="H20" s="32">
        <f>G20*'Revenue summary'!H9/'Revenue summary'!G9</f>
        <v>69.00853666733884</v>
      </c>
      <c r="I20" s="1"/>
      <c r="J20" s="1"/>
      <c r="K20" s="6">
        <v>166.1</v>
      </c>
    </row>
    <row r="21">
      <c r="B21" s="1" t="s">
        <v>338</v>
      </c>
      <c r="C21" s="4"/>
      <c r="D21" s="4"/>
      <c r="E21" s="4"/>
      <c r="F21" s="4"/>
      <c r="G21" s="18">
        <v>65.3</v>
      </c>
      <c r="H21" s="39">
        <f>G21*'Revenue summary'!H9/'Revenue summary'!G9</f>
        <v>17.99623580022854</v>
      </c>
      <c r="I21" s="1"/>
      <c r="J21" s="1"/>
      <c r="K21" s="6">
        <v>38.7</v>
      </c>
    </row>
    <row r="22">
      <c r="B22" s="17" t="s">
        <v>339</v>
      </c>
      <c r="C22" s="20"/>
      <c r="D22" s="20"/>
      <c r="E22" s="20"/>
      <c r="F22" s="20"/>
      <c r="G22" s="20">
        <f>SUM(G18:G21)</f>
        <v>1487.7</v>
      </c>
      <c r="H22" s="21">
        <f>SUM(H18:H21)</f>
        <v>410</v>
      </c>
      <c r="I22" s="1"/>
      <c r="J22" s="1"/>
      <c r="K22" s="6"/>
    </row>
    <row r="23">
      <c r="B23" s="1" t="s">
        <v>340</v>
      </c>
      <c r="C23" s="4"/>
      <c r="D23" s="4"/>
      <c r="E23" s="4"/>
      <c r="F23" s="4"/>
      <c r="G23" s="4"/>
      <c r="H23" s="3"/>
      <c r="I23" s="1"/>
      <c r="J23" s="1"/>
      <c r="K23" s="6"/>
    </row>
    <row r="24">
      <c r="B24" s="1" t="s">
        <v>335</v>
      </c>
      <c r="C24" s="4"/>
      <c r="D24" s="4"/>
      <c r="E24" s="4"/>
      <c r="F24" s="4"/>
      <c r="G24" s="18">
        <v>881.1</v>
      </c>
      <c r="H24" s="39">
        <f>G24*'Revenue summary'!H14/'Revenue summary'!G14</f>
        <v>229.89470762398224</v>
      </c>
      <c r="I24" s="1"/>
      <c r="J24" s="1"/>
      <c r="K24" s="6">
        <v>735.9</v>
      </c>
    </row>
    <row r="25">
      <c r="B25" s="1" t="s">
        <v>336</v>
      </c>
      <c r="C25" s="4"/>
      <c r="D25" s="4"/>
      <c r="E25" s="4"/>
      <c r="F25" s="4"/>
      <c r="G25" s="18">
        <v>99.7</v>
      </c>
      <c r="H25" s="32">
        <f>G25*'Revenue summary'!H14/'Revenue summary'!G14</f>
        <v>26.01350851221318</v>
      </c>
      <c r="I25" s="1"/>
      <c r="J25" s="1"/>
      <c r="K25" s="6">
        <v>100.1</v>
      </c>
    </row>
    <row r="26">
      <c r="B26" s="1" t="s">
        <v>337</v>
      </c>
      <c r="C26" s="4"/>
      <c r="D26" s="4"/>
      <c r="E26" s="4"/>
      <c r="F26" s="4"/>
      <c r="G26" s="18">
        <v>94.4</v>
      </c>
      <c r="H26" s="32">
        <f>G26*'Revenue summary'!H14/'Revenue summary'!G14</f>
        <v>24.630643967431535</v>
      </c>
      <c r="I26" s="1"/>
      <c r="J26" s="1"/>
      <c r="K26" s="6">
        <v>86.8</v>
      </c>
    </row>
    <row r="27">
      <c r="B27" s="1" t="s">
        <v>338</v>
      </c>
      <c r="C27" s="4"/>
      <c r="D27" s="4"/>
      <c r="E27" s="4"/>
      <c r="F27" s="4"/>
      <c r="G27" s="18">
        <v>5.6</v>
      </c>
      <c r="H27" s="39">
        <f>G27*'Revenue summary'!H14/'Revenue summary'!G14</f>
        <v>1.4611398963730569</v>
      </c>
      <c r="I27" s="1"/>
      <c r="J27" s="1"/>
      <c r="K27" s="6">
        <v>8.2</v>
      </c>
    </row>
    <row r="28">
      <c r="B28" s="17" t="s">
        <v>339</v>
      </c>
      <c r="C28" s="20"/>
      <c r="D28" s="20"/>
      <c r="E28" s="20"/>
      <c r="F28" s="20"/>
      <c r="G28" s="20">
        <f>SUM(G24:G27)</f>
        <v>1080.8</v>
      </c>
      <c r="H28" s="21">
        <f>SUM(H24:H27)</f>
        <v>282</v>
      </c>
      <c r="I28" s="1"/>
      <c r="J28" s="1"/>
      <c r="K28" s="6"/>
    </row>
    <row r="29">
      <c r="B29" s="1" t="s">
        <v>341</v>
      </c>
      <c r="C29" s="4"/>
      <c r="D29" s="4"/>
      <c r="E29" s="4"/>
      <c r="F29" s="4"/>
      <c r="G29" s="4"/>
      <c r="H29" s="3"/>
      <c r="I29" s="1"/>
      <c r="J29" s="1"/>
      <c r="K29" s="6"/>
    </row>
    <row r="30">
      <c r="B30" s="1" t="s">
        <v>335</v>
      </c>
      <c r="C30" s="4"/>
      <c r="D30" s="4"/>
      <c r="E30" s="4"/>
      <c r="F30" s="4"/>
      <c r="G30" s="18">
        <v>499.9</v>
      </c>
      <c r="H30" s="39">
        <f>G30*'Revenue summary'!H19/'Revenue summary'!G19</f>
        <v>135.35018913000198</v>
      </c>
      <c r="I30" s="1"/>
      <c r="J30" s="1"/>
      <c r="K30" s="6">
        <v>493.1</v>
      </c>
    </row>
    <row r="31">
      <c r="B31" s="1" t="s">
        <v>336</v>
      </c>
      <c r="C31" s="4"/>
      <c r="D31" s="4"/>
      <c r="E31" s="4"/>
      <c r="F31" s="4"/>
      <c r="G31" s="18">
        <v>2.1</v>
      </c>
      <c r="H31" s="32">
        <f>G31*'Revenue summary'!H19/'Revenue summary'!G19</f>
        <v>0.568584511248258</v>
      </c>
      <c r="I31" s="1"/>
      <c r="J31" s="1"/>
      <c r="K31" s="6">
        <v>2.1</v>
      </c>
    </row>
    <row r="32">
      <c r="B32" s="1" t="s">
        <v>337</v>
      </c>
      <c r="C32" s="4"/>
      <c r="D32" s="4"/>
      <c r="E32" s="4"/>
      <c r="F32" s="4"/>
      <c r="G32" s="18">
        <v>0.3</v>
      </c>
      <c r="H32" s="32">
        <f>G32*'Revenue summary'!H19/'Revenue summary'!G19</f>
        <v>0.08122635874975113</v>
      </c>
      <c r="I32" s="1"/>
      <c r="J32" s="1"/>
      <c r="K32" s="6">
        <v>0.2</v>
      </c>
    </row>
    <row r="33">
      <c r="B33" s="1" t="s">
        <v>338</v>
      </c>
      <c r="C33" s="4"/>
      <c r="D33" s="4"/>
      <c r="E33" s="4"/>
      <c r="F33" s="4"/>
      <c r="G33" s="18">
        <v>0</v>
      </c>
      <c r="H33" s="39">
        <f>G33*'Revenue summary'!H19/'Revenue summary'!G19</f>
        <v>0</v>
      </c>
      <c r="I33" s="1"/>
      <c r="J33" s="1"/>
      <c r="K33" s="6">
        <v>0</v>
      </c>
    </row>
    <row r="34">
      <c r="B34" s="17" t="s">
        <v>339</v>
      </c>
      <c r="C34" s="20"/>
      <c r="D34" s="20"/>
      <c r="E34" s="20"/>
      <c r="F34" s="20"/>
      <c r="G34" s="20">
        <f>SUM(G30:G33)</f>
        <v>502.29999999999995</v>
      </c>
      <c r="H34" s="21">
        <f>SUM(H30:H33)</f>
        <v>136</v>
      </c>
      <c r="I34" s="1"/>
      <c r="J34" s="1"/>
      <c r="K34" s="6"/>
    </row>
    <row r="35">
      <c r="B35" s="1" t="s">
        <v>342</v>
      </c>
      <c r="C35" s="4"/>
      <c r="D35" s="4"/>
      <c r="E35" s="4"/>
      <c r="F35" s="4"/>
      <c r="G35" s="4"/>
      <c r="H35" s="3"/>
      <c r="I35" s="1"/>
      <c r="J35" s="1"/>
      <c r="K35" s="6"/>
    </row>
    <row r="36">
      <c r="B36" s="1" t="s">
        <v>335</v>
      </c>
      <c r="C36" s="4"/>
      <c r="D36" s="4"/>
      <c r="E36" s="4"/>
      <c r="F36" s="4"/>
      <c r="G36" s="18">
        <v>140.6</v>
      </c>
      <c r="H36" s="39">
        <f>G36*'Revenue summary'!H24/'Revenue summary'!G24</f>
        <v>33.193929173693085</v>
      </c>
      <c r="I36" s="1"/>
      <c r="J36" s="1"/>
      <c r="K36" s="6">
        <v>167.6</v>
      </c>
    </row>
    <row r="37">
      <c r="B37" s="1" t="s">
        <v>336</v>
      </c>
      <c r="C37" s="4"/>
      <c r="D37" s="4"/>
      <c r="E37" s="4"/>
      <c r="F37" s="4"/>
      <c r="G37" s="18">
        <v>73.4</v>
      </c>
      <c r="H37" s="32">
        <f>G37*'Revenue summary'!H24/'Revenue summary'!G24</f>
        <v>17.328836424957846</v>
      </c>
      <c r="I37" s="1"/>
      <c r="J37" s="1"/>
      <c r="K37" s="6">
        <v>66.4</v>
      </c>
    </row>
    <row r="38">
      <c r="B38" s="1" t="s">
        <v>337</v>
      </c>
      <c r="C38" s="4"/>
      <c r="D38" s="4"/>
      <c r="E38" s="4"/>
      <c r="F38" s="4"/>
      <c r="G38" s="18">
        <v>23.2</v>
      </c>
      <c r="H38" s="32">
        <f>G38*'Revenue summary'!H24/'Revenue summary'!G24</f>
        <v>5.477234401349073</v>
      </c>
      <c r="I38" s="1"/>
      <c r="J38" s="1"/>
      <c r="K38" s="6">
        <v>20.5</v>
      </c>
    </row>
    <row r="39">
      <c r="B39" s="1" t="s">
        <v>338</v>
      </c>
      <c r="C39" s="4"/>
      <c r="D39" s="4"/>
      <c r="E39" s="4"/>
      <c r="F39" s="4"/>
      <c r="G39" s="18">
        <v>0</v>
      </c>
      <c r="H39" s="39">
        <f>G39*'Revenue summary'!H24/'Revenue summary'!G24</f>
        <v>0</v>
      </c>
      <c r="I39" s="1"/>
      <c r="J39" s="1"/>
      <c r="K39" s="6">
        <v>0</v>
      </c>
    </row>
    <row r="40">
      <c r="B40" s="17" t="s">
        <v>339</v>
      </c>
      <c r="C40" s="20"/>
      <c r="D40" s="20"/>
      <c r="E40" s="20"/>
      <c r="F40" s="20"/>
      <c r="G40" s="20">
        <f>SUM(G36:G39)</f>
        <v>237.2</v>
      </c>
      <c r="H40" s="21">
        <f>SUM(H36:H39)</f>
        <v>56.00000000000001</v>
      </c>
      <c r="I40" s="1"/>
      <c r="J40" s="1"/>
      <c r="K40" s="6"/>
    </row>
    <row r="41">
      <c r="B41" s="1"/>
      <c r="C41" s="4"/>
      <c r="D41" s="4"/>
      <c r="E41" s="4"/>
      <c r="F41" s="4"/>
      <c r="G41" s="4"/>
      <c r="H41" s="3"/>
      <c r="I41" s="1"/>
      <c r="J41" s="1"/>
      <c r="K41" s="6"/>
    </row>
    <row r="42">
      <c r="B42" s="1"/>
      <c r="C42" s="4"/>
      <c r="D42" s="4"/>
      <c r="E42" s="4"/>
      <c r="F42" s="4"/>
      <c r="G42" s="4"/>
      <c r="H42" s="3"/>
      <c r="I42" s="1"/>
      <c r="J42" s="1"/>
      <c r="K42" s="6"/>
    </row>
    <row r="43">
      <c r="H43" s="2"/>
    </row>
    <row r="44">
      <c r="B44" s="1" t="s">
        <v>343</v>
      </c>
      <c r="C44" s="1"/>
      <c r="D44" s="1"/>
      <c r="E44" s="1"/>
      <c r="F44" s="1"/>
      <c r="G44" s="1"/>
      <c r="H44" s="36"/>
      <c r="I44" s="1"/>
      <c r="J44" s="1" t="s">
        <v>344</v>
      </c>
      <c r="K44" s="1"/>
    </row>
    <row r="45">
      <c r="B45" s="1"/>
      <c r="C45" s="1"/>
      <c r="D45" s="1"/>
      <c r="E45" s="1"/>
      <c r="F45" s="1"/>
      <c r="G45" s="1"/>
      <c r="H45" s="36"/>
      <c r="I45" s="1"/>
      <c r="J45" s="1"/>
      <c r="K45" s="1"/>
    </row>
    <row r="46">
      <c r="B46" s="1"/>
      <c r="C46" s="1"/>
      <c r="D46" s="1"/>
      <c r="E46" s="1"/>
      <c r="F46" s="1"/>
      <c r="G46" s="1"/>
      <c r="H46" s="36"/>
      <c r="I46" s="1"/>
      <c r="J46" s="1"/>
      <c r="K46" s="1"/>
    </row>
    <row r="47">
      <c r="B47" s="1"/>
      <c r="C47" s="1"/>
      <c r="D47" s="1"/>
      <c r="E47" s="1"/>
      <c r="F47" s="1"/>
      <c r="G47" s="1"/>
      <c r="H47" s="36"/>
      <c r="I47" s="1"/>
      <c r="J47" s="1"/>
      <c r="K47" s="1"/>
    </row>
    <row r="48">
      <c r="B48" s="35" t="s">
        <v>345</v>
      </c>
      <c r="C48" s="1"/>
      <c r="D48" s="1"/>
      <c r="E48" s="1"/>
      <c r="F48" s="1"/>
      <c r="G48" s="8">
        <f>G18/K18-1</f>
        <v>0.3309056364787841</v>
      </c>
      <c r="H48" s="42" t="s">
        <v>38</v>
      </c>
      <c r="I48" s="1"/>
      <c r="J48" s="1"/>
      <c r="K48" s="1"/>
    </row>
    <row r="49">
      <c r="B49" s="35" t="s">
        <v>346</v>
      </c>
      <c r="C49" s="1"/>
      <c r="D49" s="1"/>
      <c r="E49" s="1"/>
      <c r="F49" s="1"/>
      <c r="G49" s="8">
        <f>G19/K19-1</f>
        <v>0.2591185410334347</v>
      </c>
      <c r="H49" s="42" t="s">
        <v>38</v>
      </c>
      <c r="I49" s="1"/>
      <c r="J49" s="1"/>
      <c r="K49" s="1"/>
    </row>
    <row r="50">
      <c r="B50" s="35" t="s">
        <v>347</v>
      </c>
      <c r="C50" s="1"/>
      <c r="D50" s="1"/>
      <c r="E50" s="1"/>
      <c r="F50" s="1"/>
      <c r="G50" s="8">
        <f>G20/K20-1</f>
        <v>0.5075255869957858</v>
      </c>
      <c r="H50" s="42" t="s">
        <v>38</v>
      </c>
      <c r="I50" s="1"/>
      <c r="J50" s="1"/>
      <c r="K50" s="1"/>
    </row>
    <row r="51">
      <c r="B51" s="35" t="s">
        <v>348</v>
      </c>
      <c r="C51" s="1"/>
      <c r="D51" s="1"/>
      <c r="E51" s="1"/>
      <c r="F51" s="1"/>
      <c r="G51" s="8">
        <f>G21/K21-1</f>
        <v>0.6873385012919895</v>
      </c>
      <c r="H51" s="42" t="s">
        <v>38</v>
      </c>
      <c r="I51" s="1"/>
      <c r="J51" s="1"/>
      <c r="K51" s="1"/>
    </row>
    <row r="52">
      <c r="B52" s="1"/>
      <c r="C52" s="1"/>
      <c r="D52" s="1"/>
      <c r="E52" s="1"/>
      <c r="F52" s="1"/>
      <c r="G52" s="1"/>
      <c r="H52" s="36"/>
      <c r="I52" s="1"/>
      <c r="J52" s="1"/>
      <c r="K52" s="1"/>
    </row>
    <row r="53">
      <c r="B53" s="1"/>
      <c r="C53" s="1"/>
      <c r="D53" s="1"/>
      <c r="E53" s="1"/>
      <c r="F53" s="1"/>
      <c r="G53" s="1"/>
      <c r="H53" s="36"/>
      <c r="I53" s="1"/>
      <c r="J53" s="1"/>
      <c r="K53" s="1"/>
    </row>
    <row r="54">
      <c r="B54" s="35" t="s">
        <v>345</v>
      </c>
      <c r="C54" s="1"/>
      <c r="D54" s="1"/>
      <c r="E54" s="1"/>
      <c r="F54" s="1"/>
      <c r="G54" s="8">
        <f>G24/K24-1</f>
        <v>0.19730941704035887</v>
      </c>
      <c r="H54" s="42" t="s">
        <v>38</v>
      </c>
      <c r="I54" s="1"/>
      <c r="J54" s="1"/>
      <c r="K54" s="1"/>
    </row>
    <row r="55">
      <c r="B55" s="35" t="s">
        <v>346</v>
      </c>
      <c r="C55" s="1"/>
      <c r="D55" s="1"/>
      <c r="E55" s="1"/>
      <c r="F55" s="1"/>
      <c r="G55" s="8">
        <f>G25/K25-1</f>
        <v>-0.003996003996003861</v>
      </c>
      <c r="H55" s="42" t="s">
        <v>38</v>
      </c>
      <c r="I55" s="1"/>
      <c r="J55" s="1"/>
      <c r="K55" s="1"/>
    </row>
    <row r="56">
      <c r="B56" s="35" t="s">
        <v>347</v>
      </c>
      <c r="C56" s="1"/>
      <c r="D56" s="1"/>
      <c r="E56" s="1"/>
      <c r="F56" s="1"/>
      <c r="G56" s="8">
        <f>G26/K26-1</f>
        <v>0.08755760368663612</v>
      </c>
      <c r="H56" s="42" t="s">
        <v>38</v>
      </c>
      <c r="I56" s="1"/>
      <c r="J56" s="1"/>
      <c r="K56" s="1"/>
    </row>
    <row r="57">
      <c r="B57" s="35" t="s">
        <v>348</v>
      </c>
      <c r="C57" s="1"/>
      <c r="D57" s="1"/>
      <c r="E57" s="1"/>
      <c r="F57" s="1"/>
      <c r="G57" s="8">
        <f>G27/K27-1</f>
        <v>-0.31707317073170727</v>
      </c>
      <c r="H57" s="42" t="s">
        <v>38</v>
      </c>
      <c r="I57" s="1"/>
      <c r="J57" s="1"/>
      <c r="K57" s="1"/>
    </row>
    <row r="58">
      <c r="B58" s="1"/>
      <c r="C58" s="1"/>
      <c r="D58" s="1"/>
      <c r="E58" s="1"/>
      <c r="F58" s="1"/>
      <c r="G58" s="1"/>
      <c r="H58" s="36"/>
      <c r="I58" s="1"/>
      <c r="J58" s="1"/>
      <c r="K58" s="1"/>
    </row>
    <row r="59">
      <c r="B59" s="1"/>
      <c r="C59" s="1"/>
      <c r="D59" s="1"/>
      <c r="E59" s="1"/>
      <c r="F59" s="1"/>
      <c r="G59" s="1"/>
      <c r="H59" s="36"/>
      <c r="I59" s="1"/>
      <c r="J59" s="1"/>
      <c r="K59" s="1"/>
    </row>
    <row r="60">
      <c r="B60" s="35" t="s">
        <v>345</v>
      </c>
      <c r="C60" s="1"/>
      <c r="D60" s="1"/>
      <c r="E60" s="1"/>
      <c r="F60" s="1"/>
      <c r="G60" s="8">
        <f>G30/K30-1</f>
        <v>0.013790306225917481</v>
      </c>
      <c r="H60" s="42" t="s">
        <v>38</v>
      </c>
      <c r="I60" s="1"/>
      <c r="J60" s="1"/>
      <c r="K60" s="1"/>
    </row>
    <row r="61">
      <c r="B61" s="35" t="s">
        <v>346</v>
      </c>
      <c r="C61" s="1"/>
      <c r="D61" s="1"/>
      <c r="E61" s="1"/>
      <c r="F61" s="1"/>
      <c r="G61" s="8">
        <f>G31/K31-1</f>
        <v>0</v>
      </c>
      <c r="H61" s="42" t="s">
        <v>38</v>
      </c>
      <c r="I61" s="1"/>
      <c r="J61" s="1"/>
      <c r="K61" s="1"/>
    </row>
    <row r="62">
      <c r="B62" s="35" t="s">
        <v>347</v>
      </c>
      <c r="C62" s="1"/>
      <c r="D62" s="1"/>
      <c r="E62" s="1"/>
      <c r="F62" s="1"/>
      <c r="G62" s="8">
        <f>G32/K32-1</f>
        <v>0.4999999999999998</v>
      </c>
      <c r="H62" s="42" t="s">
        <v>38</v>
      </c>
      <c r="I62" s="1"/>
      <c r="J62" s="1"/>
      <c r="K62" s="1"/>
    </row>
    <row r="63">
      <c r="B63" s="35" t="s">
        <v>348</v>
      </c>
      <c r="C63" s="1"/>
      <c r="D63" s="1"/>
      <c r="E63" s="1"/>
      <c r="F63" s="1"/>
      <c r="G63" s="8" t="s">
        <v>38</v>
      </c>
      <c r="H63" s="42" t="s">
        <v>38</v>
      </c>
      <c r="I63" s="1"/>
      <c r="J63" s="1"/>
      <c r="K63" s="1"/>
    </row>
    <row r="64">
      <c r="B64" s="1"/>
      <c r="C64" s="1"/>
      <c r="D64" s="1"/>
      <c r="E64" s="1"/>
      <c r="F64" s="1"/>
      <c r="G64" s="1"/>
      <c r="H64" s="36"/>
      <c r="I64" s="1"/>
      <c r="J64" s="1"/>
      <c r="K64" s="1"/>
    </row>
    <row r="65">
      <c r="B65" s="1"/>
      <c r="C65" s="1"/>
      <c r="D65" s="1"/>
      <c r="E65" s="1"/>
      <c r="F65" s="1"/>
      <c r="G65" s="1"/>
      <c r="H65" s="36"/>
      <c r="I65" s="1"/>
      <c r="J65" s="1"/>
      <c r="K65" s="1"/>
    </row>
    <row r="66">
      <c r="B66" s="35" t="s">
        <v>345</v>
      </c>
      <c r="C66" s="1"/>
      <c r="D66" s="1"/>
      <c r="E66" s="1"/>
      <c r="F66" s="1"/>
      <c r="G66" s="8">
        <f>G36/K36-1</f>
        <v>-0.16109785202863958</v>
      </c>
      <c r="H66" s="42" t="s">
        <v>38</v>
      </c>
      <c r="I66" s="1"/>
      <c r="J66" s="1"/>
      <c r="K66" s="1"/>
    </row>
    <row r="67">
      <c r="B67" s="35" t="s">
        <v>346</v>
      </c>
      <c r="C67" s="1"/>
      <c r="D67" s="1"/>
      <c r="E67" s="1"/>
      <c r="F67" s="1"/>
      <c r="G67" s="8">
        <f>G37/K37-1</f>
        <v>0.10542168674698793</v>
      </c>
      <c r="H67" s="42" t="s">
        <v>38</v>
      </c>
      <c r="I67" s="1"/>
      <c r="J67" s="1"/>
      <c r="K67" s="1"/>
    </row>
    <row r="68">
      <c r="B68" s="35" t="s">
        <v>347</v>
      </c>
      <c r="C68" s="1"/>
      <c r="D68" s="1"/>
      <c r="E68" s="1"/>
      <c r="F68" s="1"/>
      <c r="G68" s="8">
        <f>G38/K38-1</f>
        <v>0.13170731707317063</v>
      </c>
      <c r="H68" s="42" t="s">
        <v>38</v>
      </c>
      <c r="I68" s="1"/>
      <c r="J68" s="1"/>
      <c r="K68" s="1"/>
    </row>
    <row r="69">
      <c r="B69" s="35" t="s">
        <v>348</v>
      </c>
      <c r="C69" s="1"/>
      <c r="D69" s="1"/>
      <c r="E69" s="1"/>
      <c r="F69" s="1"/>
      <c r="G69" s="8" t="s">
        <v>38</v>
      </c>
      <c r="H69" s="42" t="s">
        <v>38</v>
      </c>
      <c r="I69" s="1"/>
      <c r="J69" s="1"/>
      <c r="K69" s="1"/>
    </row>
    <row r="70">
      <c r="B70" s="1"/>
      <c r="C70" s="1"/>
      <c r="D70" s="1"/>
      <c r="E70" s="1"/>
      <c r="F70" s="1"/>
      <c r="G70" s="1"/>
      <c r="H70" s="36"/>
      <c r="I70" s="1"/>
      <c r="J70" s="1"/>
      <c r="K70" s="1"/>
    </row>
    <row r="71">
      <c r="H71" s="2"/>
    </row>
    <row r="72">
      <c r="H72" s="2"/>
    </row>
    <row r="73">
      <c r="H73" s="2"/>
    </row>
    <row r="74">
      <c r="H74" s="2"/>
    </row>
    <row r="75">
      <c r="H75" s="2"/>
    </row>
    <row r="76">
      <c r="H76" s="2"/>
    </row>
    <row r="77">
      <c r="H77" s="2"/>
    </row>
    <row r="78">
      <c r="H78" s="2"/>
    </row>
    <row r="79">
      <c r="H79" s="2"/>
    </row>
    <row r="80">
      <c r="H80" s="2"/>
    </row>
    <row r="81">
      <c r="H81" s="2"/>
    </row>
    <row r="82">
      <c r="H82" s="2"/>
    </row>
    <row r="83">
      <c r="H83" s="2"/>
    </row>
    <row r="84">
      <c r="H84" s="2"/>
    </row>
    <row r="85">
      <c r="H85" s="2"/>
    </row>
    <row r="86">
      <c r="H86" s="2"/>
    </row>
    <row r="87">
      <c r="H87" s="2"/>
    </row>
    <row r="88">
      <c r="H88" s="2"/>
    </row>
    <row r="89">
      <c r="H89" s="2"/>
    </row>
    <row r="90">
      <c r="H90" s="2"/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B1:K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5" customWidth="1"/>
    <col min="3" max="7" width="13" customWidth="1"/>
    <col min="8" max="8" width="14" customWidth="1"/>
    <col min="10" max="10" width="55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349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1"/>
      <c r="C8" s="1"/>
      <c r="D8" s="1"/>
      <c r="E8" s="1"/>
      <c r="F8" s="1"/>
      <c r="G8" s="1"/>
      <c r="H8" s="36"/>
      <c r="I8" s="1"/>
      <c r="J8" s="1"/>
      <c r="K8" s="6"/>
    </row>
    <row r="9">
      <c r="B9" s="17" t="s">
        <v>209</v>
      </c>
      <c r="C9" s="5">
        <v>35.7</v>
      </c>
      <c r="D9" s="5">
        <v>37.8</v>
      </c>
      <c r="E9" s="5">
        <v>39.3</v>
      </c>
      <c r="F9" s="5">
        <v>39.4</v>
      </c>
      <c r="G9" s="5">
        <v>38.3</v>
      </c>
      <c r="H9" s="54">
        <v>39.95</v>
      </c>
      <c r="I9" s="1"/>
      <c r="J9" s="1" t="s">
        <v>350</v>
      </c>
      <c r="K9" s="6"/>
    </row>
    <row r="10">
      <c r="B10" s="35" t="s">
        <v>105</v>
      </c>
      <c r="C10" s="8"/>
      <c r="D10" s="8"/>
      <c r="E10" s="8"/>
      <c r="F10" s="8"/>
      <c r="G10" s="8"/>
      <c r="H10" s="42">
        <f>H9/C9-1</f>
        <v>0.11904761904761907</v>
      </c>
      <c r="I10" s="1"/>
      <c r="J10" s="1"/>
      <c r="K10" s="6"/>
    </row>
    <row r="11">
      <c r="B11" s="1" t="s">
        <v>351</v>
      </c>
      <c r="C11" s="4"/>
      <c r="D11" s="4">
        <f>D9-C9</f>
        <v>2.0999999999999943</v>
      </c>
      <c r="E11" s="4">
        <f>E9-D9</f>
        <v>1.5</v>
      </c>
      <c r="F11" s="4">
        <f>F9-E9</f>
        <v>0.10000000000000142</v>
      </c>
      <c r="G11" s="4"/>
      <c r="H11" s="3">
        <f>H9-F9</f>
        <v>0.5500000000000043</v>
      </c>
      <c r="I11" s="1"/>
      <c r="J11" s="1"/>
      <c r="K11" s="6"/>
    </row>
    <row r="12">
      <c r="B12" s="1"/>
      <c r="C12" s="4"/>
      <c r="D12" s="4"/>
      <c r="E12" s="4"/>
      <c r="F12" s="4"/>
      <c r="G12" s="4"/>
      <c r="H12" s="3"/>
      <c r="I12" s="1"/>
      <c r="J12" s="1"/>
      <c r="K12" s="6"/>
    </row>
    <row r="13">
      <c r="B13" s="17" t="s">
        <v>195</v>
      </c>
      <c r="C13" s="5">
        <v>35.9</v>
      </c>
      <c r="D13" s="5">
        <v>38.1</v>
      </c>
      <c r="E13" s="5">
        <v>39.5</v>
      </c>
      <c r="F13" s="5">
        <v>39.6</v>
      </c>
      <c r="G13" s="5">
        <v>38.4</v>
      </c>
      <c r="H13" s="54">
        <v>40.15</v>
      </c>
      <c r="I13" s="1"/>
      <c r="J13" s="1"/>
      <c r="K13" s="6"/>
    </row>
    <row r="14">
      <c r="B14" s="35" t="s">
        <v>105</v>
      </c>
      <c r="C14" s="8"/>
      <c r="D14" s="8"/>
      <c r="E14" s="8"/>
      <c r="F14" s="8"/>
      <c r="G14" s="8"/>
      <c r="H14" s="42">
        <f>H13/C13-1</f>
        <v>0.11838440111420612</v>
      </c>
      <c r="I14" s="1"/>
      <c r="J14" s="1"/>
      <c r="K14" s="6"/>
    </row>
    <row r="15">
      <c r="B15" s="1" t="s">
        <v>351</v>
      </c>
      <c r="C15" s="4"/>
      <c r="D15" s="4">
        <f>D13-C13</f>
        <v>2.200000000000003</v>
      </c>
      <c r="E15" s="4">
        <f>E13-D13</f>
        <v>1.3999999999999986</v>
      </c>
      <c r="F15" s="4">
        <f>F13-E13</f>
        <v>0.10000000000000142</v>
      </c>
      <c r="G15" s="4"/>
      <c r="H15" s="3">
        <f>H13-F13</f>
        <v>0.5499999999999972</v>
      </c>
      <c r="I15" s="1"/>
      <c r="J15" s="1"/>
      <c r="K15" s="6"/>
    </row>
    <row r="16">
      <c r="B16" s="1"/>
      <c r="C16" s="4"/>
      <c r="D16" s="4"/>
      <c r="E16" s="4"/>
      <c r="F16" s="4"/>
      <c r="G16" s="4"/>
      <c r="H16" s="3"/>
      <c r="I16" s="1"/>
      <c r="J16" s="1"/>
      <c r="K16" s="6"/>
    </row>
    <row r="17">
      <c r="B17" s="1" t="s">
        <v>352</v>
      </c>
      <c r="C17" s="4">
        <f>C13-C9</f>
        <v>0.19999999999999574</v>
      </c>
      <c r="D17" s="4">
        <f>D13-D9</f>
        <v>0.30000000000000426</v>
      </c>
      <c r="E17" s="4">
        <f>E13-E9</f>
        <v>0.20000000000000284</v>
      </c>
      <c r="F17" s="4">
        <f>F13-F9</f>
        <v>0.20000000000000284</v>
      </c>
      <c r="G17" s="4">
        <f>G13-G9</f>
        <v>0.10000000000000142</v>
      </c>
      <c r="H17" s="3">
        <f>H13-H9</f>
        <v>0.19999999999999574</v>
      </c>
      <c r="I17" s="1"/>
      <c r="J17" s="1"/>
      <c r="K17" s="6"/>
    </row>
    <row r="18">
      <c r="B18" s="1"/>
      <c r="C18" s="4"/>
      <c r="D18" s="4"/>
      <c r="E18" s="4"/>
      <c r="F18" s="4"/>
      <c r="G18" s="4"/>
      <c r="H18" s="3"/>
      <c r="I18" s="1"/>
      <c r="J18" s="1"/>
      <c r="K18" s="6"/>
    </row>
    <row r="19">
      <c r="B19" s="1" t="s">
        <v>353</v>
      </c>
      <c r="C19" s="4"/>
      <c r="D19" s="4"/>
      <c r="E19" s="4"/>
      <c r="F19" s="4"/>
      <c r="G19" s="18">
        <v>0</v>
      </c>
      <c r="H19" s="32">
        <v>0</v>
      </c>
      <c r="I19" s="1"/>
      <c r="J19" s="1"/>
      <c r="K19" s="6"/>
    </row>
    <row r="20">
      <c r="B20" s="1" t="s">
        <v>354</v>
      </c>
      <c r="C20" s="4" t="s">
        <v>38</v>
      </c>
      <c r="D20" s="4" t="s">
        <v>38</v>
      </c>
      <c r="E20" s="4" t="s">
        <v>38</v>
      </c>
      <c r="F20" s="4" t="s">
        <v>38</v>
      </c>
      <c r="G20" s="4" t="s">
        <v>38</v>
      </c>
      <c r="H20" s="3" t="s">
        <v>38</v>
      </c>
      <c r="I20" s="1"/>
      <c r="J20" s="1" t="s">
        <v>355</v>
      </c>
      <c r="K20" s="6"/>
    </row>
    <row r="21">
      <c r="B21" s="1" t="s">
        <v>356</v>
      </c>
      <c r="C21" s="4"/>
      <c r="D21" s="4"/>
      <c r="E21" s="4"/>
      <c r="F21" s="4"/>
      <c r="G21" s="18">
        <v>273.9</v>
      </c>
      <c r="H21" s="3"/>
      <c r="I21" s="1"/>
      <c r="J21" s="1"/>
      <c r="K21" s="6"/>
    </row>
    <row r="22">
      <c r="B22" s="1"/>
      <c r="C22" s="4"/>
      <c r="D22" s="4"/>
      <c r="E22" s="4"/>
      <c r="F22" s="4"/>
      <c r="G22" s="4"/>
      <c r="H22" s="3"/>
      <c r="I22" s="1"/>
      <c r="J22" s="1"/>
      <c r="K22" s="6"/>
    </row>
    <row r="23">
      <c r="B23" s="17" t="s">
        <v>357</v>
      </c>
      <c r="C23" s="20">
        <f>C13</f>
        <v>35.9</v>
      </c>
      <c r="D23" s="20">
        <f>D13</f>
        <v>38.1</v>
      </c>
      <c r="E23" s="20">
        <f>E13</f>
        <v>39.5</v>
      </c>
      <c r="F23" s="20">
        <f>F13</f>
        <v>39.6</v>
      </c>
      <c r="G23" s="20">
        <f>G13</f>
        <v>38.4</v>
      </c>
      <c r="H23" s="21">
        <f>H13</f>
        <v>40.15</v>
      </c>
      <c r="I23" s="1"/>
      <c r="J23" s="1"/>
      <c r="K23" s="6"/>
    </row>
    <row r="24">
      <c r="B24" s="1" t="s">
        <v>358</v>
      </c>
      <c r="C24" s="4">
        <f>C23-C13</f>
        <v>0</v>
      </c>
      <c r="D24" s="4">
        <f>D23-D13</f>
        <v>0</v>
      </c>
      <c r="E24" s="4">
        <f>E23-E13</f>
        <v>0</v>
      </c>
      <c r="F24" s="4">
        <f>F23-F13</f>
        <v>0</v>
      </c>
      <c r="G24" s="4">
        <f>G23-G13</f>
        <v>0</v>
      </c>
      <c r="H24" s="3">
        <f>H23-H13</f>
        <v>0</v>
      </c>
      <c r="I24" s="1"/>
      <c r="J24" s="1"/>
      <c r="K24" s="6"/>
    </row>
    <row r="25">
      <c r="H25" s="2"/>
    </row>
    <row r="26">
      <c r="H26" s="2"/>
    </row>
    <row r="27">
      <c r="H27" s="2"/>
    </row>
    <row r="28">
      <c r="H28" s="2"/>
    </row>
    <row r="29">
      <c r="H29" s="2"/>
    </row>
    <row r="30">
      <c r="H30" s="2"/>
    </row>
    <row r="31">
      <c r="H31" s="2"/>
    </row>
    <row r="32">
      <c r="H32" s="2"/>
    </row>
    <row r="33">
      <c r="H33" s="2"/>
    </row>
    <row r="34">
      <c r="H34" s="2"/>
    </row>
    <row r="35">
      <c r="H35" s="2"/>
    </row>
    <row r="36">
      <c r="H36" s="2"/>
    </row>
    <row r="37">
      <c r="H37" s="2"/>
    </row>
    <row r="38">
      <c r="H38" s="2"/>
    </row>
    <row r="39">
      <c r="H39" s="2"/>
    </row>
    <row r="40">
      <c r="H40" s="2"/>
    </row>
    <row r="41">
      <c r="H41" s="2"/>
    </row>
    <row r="42">
      <c r="H42" s="2"/>
    </row>
    <row r="43">
      <c r="H43" s="2"/>
    </row>
    <row r="44">
      <c r="H44" s="2"/>
    </row>
    <row r="45">
      <c r="H45" s="2"/>
    </row>
    <row r="46">
      <c r="H46" s="2"/>
    </row>
    <row r="47">
      <c r="H47" s="2"/>
    </row>
    <row r="48">
      <c r="H48" s="2"/>
    </row>
    <row r="49">
      <c r="H49" s="2"/>
    </row>
    <row r="50">
      <c r="H50" s="2"/>
    </row>
    <row r="51">
      <c r="H51" s="2"/>
    </row>
    <row r="52">
      <c r="H52" s="2"/>
    </row>
    <row r="53">
      <c r="H53" s="2"/>
    </row>
    <row r="54">
      <c r="H54" s="2"/>
    </row>
    <row r="55">
      <c r="H55" s="2"/>
    </row>
    <row r="56">
      <c r="H56" s="2"/>
    </row>
    <row r="57">
      <c r="H57" s="2"/>
    </row>
    <row r="58">
      <c r="H58" s="2"/>
    </row>
    <row r="59">
      <c r="H59" s="2"/>
    </row>
    <row r="60">
      <c r="H60" s="2"/>
    </row>
    <row r="61">
      <c r="H61" s="2"/>
    </row>
    <row r="62">
      <c r="H62" s="2"/>
    </row>
    <row r="63">
      <c r="H63" s="2"/>
    </row>
    <row r="64">
      <c r="H64" s="2"/>
    </row>
    <row r="65">
      <c r="H65" s="2"/>
    </row>
    <row r="66">
      <c r="H66" s="2"/>
    </row>
    <row r="67">
      <c r="H67" s="2"/>
    </row>
    <row r="68">
      <c r="H68" s="2"/>
    </row>
    <row r="69">
      <c r="H69" s="2"/>
    </row>
    <row r="70">
      <c r="H70" s="2"/>
    </row>
    <row r="71">
      <c r="H71" s="2"/>
    </row>
    <row r="72">
      <c r="H72" s="2"/>
    </row>
    <row r="73">
      <c r="H73" s="2"/>
    </row>
    <row r="74">
      <c r="H74" s="2"/>
    </row>
    <row r="75">
      <c r="H75" s="2"/>
    </row>
    <row r="76">
      <c r="H76" s="2"/>
    </row>
    <row r="77">
      <c r="H77" s="2"/>
    </row>
    <row r="78">
      <c r="H78" s="2"/>
    </row>
    <row r="79">
      <c r="H79" s="2"/>
    </row>
    <row r="80">
      <c r="H80" s="2"/>
    </row>
    <row r="81">
      <c r="H81" s="2"/>
    </row>
    <row r="82">
      <c r="H82" s="2"/>
    </row>
    <row r="83">
      <c r="H83" s="2"/>
    </row>
    <row r="84">
      <c r="H84" s="2"/>
    </row>
    <row r="85">
      <c r="H85" s="2"/>
    </row>
    <row r="86">
      <c r="H86" s="2"/>
    </row>
    <row r="87">
      <c r="H87" s="2"/>
    </row>
    <row r="88">
      <c r="H88" s="2"/>
    </row>
    <row r="89">
      <c r="H89" s="2"/>
    </row>
    <row r="90">
      <c r="H90" s="2"/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1:K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6" customWidth="1"/>
    <col min="3" max="3" width="15" customWidth="1"/>
    <col min="4" max="4" width="14" customWidth="1"/>
    <col min="5" max="7" width="13" customWidth="1"/>
    <col min="8" max="8" width="14" customWidth="1"/>
    <col min="9" max="9" width="15" customWidth="1"/>
    <col min="10" max="10" width="54" customWidth="1"/>
    <col min="11" max="11" width="14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359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6"/>
      <c r="C8" s="6"/>
      <c r="D8" s="6"/>
      <c r="E8" s="6"/>
      <c r="F8" s="6"/>
      <c r="G8" s="6"/>
      <c r="H8" s="13"/>
      <c r="I8" s="6"/>
      <c r="J8" s="6"/>
      <c r="K8" s="6"/>
    </row>
    <row r="9">
      <c r="B9" s="1" t="s">
        <v>360</v>
      </c>
      <c r="C9" s="1" t="s">
        <v>361</v>
      </c>
      <c r="D9" s="1" t="s">
        <v>3</v>
      </c>
      <c r="E9" s="1" t="s">
        <v>362</v>
      </c>
      <c r="F9" s="1" t="s">
        <v>363</v>
      </c>
      <c r="G9" s="1" t="s">
        <v>364</v>
      </c>
      <c r="H9" s="36" t="s">
        <v>365</v>
      </c>
      <c r="I9" s="1" t="s">
        <v>366</v>
      </c>
      <c r="J9" s="1" t="s">
        <v>367</v>
      </c>
      <c r="K9" s="1"/>
    </row>
    <row r="10">
      <c r="B10" s="51" t="s">
        <v>368</v>
      </c>
      <c r="C10" s="34">
        <v>46105</v>
      </c>
      <c r="D10" s="1" t="s">
        <v>369</v>
      </c>
      <c r="E10" s="48">
        <v>0.19</v>
      </c>
      <c r="F10" s="48">
        <v>0.21</v>
      </c>
      <c r="G10" s="8">
        <f>AVERAGE(E10:F10)</f>
        <v>0.2</v>
      </c>
      <c r="H10" s="49">
        <f>'Revenue summary'!F29/K10-1</f>
        <v>0.2299536116633536</v>
      </c>
      <c r="I10" s="1" t="str">
        <f>IF(H10&gt;G10,"BEAT","MISS")</f>
        <v>BEAT</v>
      </c>
      <c r="J10" s="1" t="s">
        <v>370</v>
      </c>
      <c r="K10" s="38">
        <f>Inputs!H11</f>
        <v>754.5</v>
      </c>
    </row>
    <row r="11">
      <c r="B11" s="51" t="s">
        <v>371</v>
      </c>
      <c r="C11" s="34">
        <v>46105</v>
      </c>
      <c r="D11" s="1" t="s">
        <v>369</v>
      </c>
      <c r="E11" s="48">
        <v>0.06</v>
      </c>
      <c r="F11" s="48">
        <v>0.08</v>
      </c>
      <c r="G11" s="8">
        <f>AVERAGE(E11:F11)</f>
        <v>0.07</v>
      </c>
      <c r="H11" s="44">
        <v>0.131</v>
      </c>
      <c r="I11" s="1" t="str">
        <f>IF(H11&gt;G11,"BEAT","MISS")</f>
        <v>BEAT</v>
      </c>
      <c r="J11" s="1" t="s">
        <v>372</v>
      </c>
      <c r="K11" s="1"/>
    </row>
    <row r="12">
      <c r="B12" s="51" t="s">
        <v>373</v>
      </c>
      <c r="C12" s="34">
        <v>46105</v>
      </c>
      <c r="D12" s="1" t="s">
        <v>369</v>
      </c>
      <c r="E12" s="48">
        <v>0.102</v>
      </c>
      <c r="F12" s="48">
        <v>0.105</v>
      </c>
      <c r="G12" s="8">
        <f>AVERAGE(E12:F12)</f>
        <v>0.1035</v>
      </c>
      <c r="H12" s="49">
        <f>K12/'Revenue summary'!F29</f>
        <v>0.10560344827586204</v>
      </c>
      <c r="I12" s="1" t="str">
        <f>IF(H12&gt;G12,"BEAT","MISS")</f>
        <v>BEAT</v>
      </c>
      <c r="J12" s="1" t="s">
        <v>374</v>
      </c>
      <c r="K12" s="34">
        <v>98</v>
      </c>
    </row>
    <row r="13">
      <c r="B13" s="51" t="s">
        <v>375</v>
      </c>
      <c r="C13" s="34">
        <v>46224</v>
      </c>
      <c r="D13" s="1" t="s">
        <v>376</v>
      </c>
      <c r="E13" s="48">
        <v>0.21</v>
      </c>
      <c r="F13" s="48">
        <v>0.23</v>
      </c>
      <c r="G13" s="8">
        <f>AVERAGE(E13:F13)</f>
        <v>0.22</v>
      </c>
      <c r="H13" s="42"/>
      <c r="I13" s="1"/>
      <c r="J13" s="1" t="s">
        <v>377</v>
      </c>
      <c r="K13" s="1"/>
    </row>
    <row r="14">
      <c r="B14" s="51" t="s">
        <v>378</v>
      </c>
      <c r="C14" s="34">
        <v>46224</v>
      </c>
      <c r="D14" s="1" t="s">
        <v>376</v>
      </c>
      <c r="E14" s="48">
        <v>0.1225</v>
      </c>
      <c r="F14" s="48">
        <v>0.1275</v>
      </c>
      <c r="G14" s="8">
        <f>AVERAGE(E14:F14)</f>
        <v>0.125</v>
      </c>
      <c r="H14" s="42"/>
      <c r="I14" s="1"/>
      <c r="J14" s="1" t="s">
        <v>379</v>
      </c>
      <c r="K14" s="1"/>
    </row>
    <row r="15">
      <c r="B15" s="51" t="s">
        <v>375</v>
      </c>
      <c r="C15" s="34">
        <v>46224</v>
      </c>
      <c r="D15" s="1" t="s">
        <v>380</v>
      </c>
      <c r="E15" s="8"/>
      <c r="F15" s="8"/>
      <c r="G15" s="8"/>
      <c r="H15" s="42"/>
      <c r="I15" s="1"/>
      <c r="J15" s="1" t="s">
        <v>381</v>
      </c>
      <c r="K15" s="1"/>
    </row>
    <row r="16">
      <c r="B16" s="52" t="s">
        <v>382</v>
      </c>
      <c r="C16" s="34">
        <v>46224</v>
      </c>
      <c r="D16" s="1" t="s">
        <v>376</v>
      </c>
      <c r="E16" s="1"/>
      <c r="F16" s="1"/>
      <c r="G16" s="55">
        <f>'Revenue summary'!C37*(1+G13)+'Segment - Legacy Commercial'!H29</f>
        <v>883.282</v>
      </c>
      <c r="H16" s="36"/>
      <c r="I16" s="1"/>
      <c r="J16" s="1" t="s">
        <v>383</v>
      </c>
      <c r="K16" s="1"/>
    </row>
    <row r="17">
      <c r="H17" s="2"/>
    </row>
    <row r="18">
      <c r="H18" s="2"/>
    </row>
    <row r="19">
      <c r="H19" s="2"/>
    </row>
    <row r="20">
      <c r="H20" s="2"/>
    </row>
    <row r="21">
      <c r="H21" s="2"/>
    </row>
    <row r="22">
      <c r="H22" s="2"/>
    </row>
    <row r="23">
      <c r="H23" s="2"/>
    </row>
    <row r="24">
      <c r="H24" s="2"/>
    </row>
    <row r="25">
      <c r="H25" s="2"/>
    </row>
    <row r="26">
      <c r="H26" s="2"/>
    </row>
    <row r="27">
      <c r="H27" s="2"/>
    </row>
    <row r="28">
      <c r="H28" s="2"/>
    </row>
    <row r="29">
      <c r="H29" s="2"/>
    </row>
    <row r="30">
      <c r="H30" s="2"/>
    </row>
    <row r="31">
      <c r="H31" s="2"/>
    </row>
    <row r="32">
      <c r="H32" s="2"/>
    </row>
    <row r="33">
      <c r="H33" s="2"/>
    </row>
    <row r="34">
      <c r="H34" s="2"/>
    </row>
    <row r="35">
      <c r="H35" s="2"/>
    </row>
    <row r="36">
      <c r="H36" s="2"/>
    </row>
    <row r="37">
      <c r="H37" s="2"/>
    </row>
    <row r="38">
      <c r="H38" s="2"/>
    </row>
    <row r="39">
      <c r="H39" s="2"/>
    </row>
    <row r="40">
      <c r="H40" s="2"/>
    </row>
    <row r="41">
      <c r="H41" s="2"/>
    </row>
    <row r="42">
      <c r="H42" s="2"/>
    </row>
    <row r="43">
      <c r="H43" s="2"/>
    </row>
    <row r="44">
      <c r="H44" s="2"/>
    </row>
    <row r="45">
      <c r="H45" s="2"/>
    </row>
    <row r="46">
      <c r="H46" s="2"/>
    </row>
    <row r="47">
      <c r="H47" s="2"/>
    </row>
    <row r="48">
      <c r="H48" s="2"/>
    </row>
    <row r="49">
      <c r="H49" s="2"/>
    </row>
    <row r="50">
      <c r="H50" s="2"/>
    </row>
    <row r="51">
      <c r="H51" s="2"/>
    </row>
    <row r="52">
      <c r="H52" s="2"/>
    </row>
    <row r="53">
      <c r="H53" s="2"/>
    </row>
    <row r="54">
      <c r="H54" s="2"/>
    </row>
    <row r="55">
      <c r="H55" s="2"/>
    </row>
    <row r="56">
      <c r="H56" s="2"/>
    </row>
    <row r="57">
      <c r="H57" s="2"/>
    </row>
    <row r="58">
      <c r="H58" s="2"/>
    </row>
    <row r="59">
      <c r="H59" s="2"/>
    </row>
    <row r="60">
      <c r="H60" s="2"/>
    </row>
    <row r="61">
      <c r="H61" s="2"/>
    </row>
    <row r="62">
      <c r="H62" s="2"/>
    </row>
    <row r="63">
      <c r="H63" s="2"/>
    </row>
    <row r="64">
      <c r="H64" s="2"/>
    </row>
    <row r="65">
      <c r="H65" s="2"/>
    </row>
    <row r="66">
      <c r="H66" s="2"/>
    </row>
    <row r="67">
      <c r="H67" s="2"/>
    </row>
    <row r="68">
      <c r="H68" s="2"/>
    </row>
    <row r="69">
      <c r="H69" s="2"/>
    </row>
    <row r="70">
      <c r="H70" s="2"/>
    </row>
    <row r="71">
      <c r="H71" s="2"/>
    </row>
    <row r="72">
      <c r="H72" s="2"/>
    </row>
    <row r="73">
      <c r="H73" s="2"/>
    </row>
    <row r="74">
      <c r="H74" s="2"/>
    </row>
    <row r="75">
      <c r="H75" s="2"/>
    </row>
    <row r="76">
      <c r="H76" s="2"/>
    </row>
    <row r="77">
      <c r="H77" s="2"/>
    </row>
    <row r="78">
      <c r="H78" s="2"/>
    </row>
    <row r="79">
      <c r="H79" s="2"/>
    </row>
    <row r="80">
      <c r="H80" s="2"/>
    </row>
    <row r="81">
      <c r="H81" s="2"/>
    </row>
    <row r="82">
      <c r="H82" s="2"/>
    </row>
    <row r="83">
      <c r="H83" s="2"/>
    </row>
    <row r="84">
      <c r="H84" s="2"/>
    </row>
    <row r="85">
      <c r="H85" s="2"/>
    </row>
    <row r="86">
      <c r="H86" s="2"/>
    </row>
    <row r="87">
      <c r="H87" s="2"/>
    </row>
    <row r="88">
      <c r="H88" s="2"/>
    </row>
    <row r="89">
      <c r="H89" s="2"/>
    </row>
    <row r="90">
      <c r="H90" s="2"/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B1:K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3" width="16" customWidth="1"/>
    <col min="4" max="4" width="22" customWidth="1"/>
    <col min="5" max="5" width="52" customWidth="1"/>
    <col min="6" max="6" width="34" customWidth="1"/>
    <col min="7" max="7" width="13" customWidth="1"/>
    <col min="8" max="8" width="14" customWidth="1"/>
    <col min="10" max="10" width="60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384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6"/>
      <c r="C8" s="6"/>
      <c r="D8" s="6"/>
      <c r="E8" s="6"/>
      <c r="F8" s="6"/>
      <c r="G8" s="6"/>
      <c r="H8" s="13"/>
      <c r="I8" s="6"/>
      <c r="J8" s="6"/>
      <c r="K8" s="6"/>
    </row>
    <row r="9">
      <c r="B9" s="22" t="s">
        <v>385</v>
      </c>
      <c r="C9" s="22" t="s">
        <v>386</v>
      </c>
      <c r="D9" s="22" t="s">
        <v>387</v>
      </c>
      <c r="E9" s="22" t="s">
        <v>388</v>
      </c>
      <c r="F9" s="22" t="s">
        <v>389</v>
      </c>
      <c r="G9" s="6"/>
      <c r="H9" s="13"/>
      <c r="I9" s="6"/>
      <c r="J9" s="6"/>
      <c r="K9" s="6"/>
    </row>
    <row r="10" ht="36.75">
      <c r="B10" s="1" t="s">
        <v>390</v>
      </c>
      <c r="C10" s="16">
        <v>46289</v>
      </c>
      <c r="D10" s="1" t="s">
        <v>391</v>
      </c>
      <c r="E10" s="24" t="s">
        <v>392</v>
      </c>
      <c r="F10" s="1" t="s">
        <v>393</v>
      </c>
      <c r="G10" s="6"/>
      <c r="H10" s="13"/>
      <c r="I10" s="6"/>
      <c r="J10" s="6"/>
      <c r="K10" s="6"/>
    </row>
    <row r="11" ht="36.75">
      <c r="B11" s="1" t="s">
        <v>394</v>
      </c>
      <c r="C11" s="16">
        <v>46289</v>
      </c>
      <c r="D11" s="1" t="s">
        <v>391</v>
      </c>
      <c r="E11" s="24" t="s">
        <v>395</v>
      </c>
      <c r="F11" s="1" t="s">
        <v>396</v>
      </c>
      <c r="G11" s="6"/>
      <c r="H11" s="13"/>
      <c r="I11" s="6"/>
      <c r="J11" s="6"/>
      <c r="K11" s="6"/>
    </row>
    <row r="12" ht="36.75">
      <c r="B12" s="1" t="s">
        <v>397</v>
      </c>
      <c r="C12" s="16">
        <v>46148</v>
      </c>
      <c r="D12" s="1" t="s">
        <v>398</v>
      </c>
      <c r="E12" s="24" t="s">
        <v>399</v>
      </c>
      <c r="F12" s="1" t="s">
        <v>400</v>
      </c>
      <c r="G12" s="6"/>
      <c r="H12" s="13"/>
      <c r="I12" s="6"/>
      <c r="J12" s="6"/>
      <c r="K12" s="6"/>
    </row>
    <row r="13" ht="36.75">
      <c r="B13" s="1" t="s">
        <v>401</v>
      </c>
      <c r="C13" s="16">
        <v>46224</v>
      </c>
      <c r="D13" s="1" t="s">
        <v>398</v>
      </c>
      <c r="E13" s="24" t="s">
        <v>402</v>
      </c>
      <c r="F13" s="1" t="s">
        <v>403</v>
      </c>
      <c r="G13" s="6"/>
      <c r="H13" s="13"/>
      <c r="I13" s="6"/>
      <c r="J13" s="6"/>
      <c r="K13" s="6"/>
    </row>
    <row r="14" ht="36.75">
      <c r="B14" s="1" t="s">
        <v>404</v>
      </c>
      <c r="C14" s="16">
        <v>46224</v>
      </c>
      <c r="D14" s="1" t="s">
        <v>398</v>
      </c>
      <c r="E14" s="24" t="s">
        <v>405</v>
      </c>
      <c r="F14" s="1" t="s">
        <v>406</v>
      </c>
      <c r="G14" s="6"/>
      <c r="H14" s="13"/>
      <c r="I14" s="6"/>
      <c r="J14" s="6"/>
      <c r="K14" s="6"/>
    </row>
    <row r="15" ht="36.75">
      <c r="B15" s="1" t="s">
        <v>407</v>
      </c>
      <c r="C15" s="16">
        <v>45923</v>
      </c>
      <c r="D15" s="1" t="s">
        <v>398</v>
      </c>
      <c r="E15" s="24" t="s">
        <v>408</v>
      </c>
      <c r="F15" s="1" t="s">
        <v>409</v>
      </c>
      <c r="G15" s="6"/>
      <c r="H15" s="13"/>
      <c r="I15" s="6"/>
      <c r="J15" s="6"/>
      <c r="K15" s="6"/>
    </row>
    <row r="16" ht="36.75">
      <c r="B16" s="1" t="s">
        <v>410</v>
      </c>
      <c r="C16" s="16">
        <v>46028</v>
      </c>
      <c r="D16" s="1" t="s">
        <v>398</v>
      </c>
      <c r="E16" s="24" t="s">
        <v>411</v>
      </c>
      <c r="F16" s="1" t="s">
        <v>412</v>
      </c>
      <c r="G16" s="6"/>
      <c r="H16" s="13"/>
      <c r="I16" s="6"/>
      <c r="J16" s="6"/>
      <c r="K16" s="6"/>
    </row>
    <row r="17" ht="36.75">
      <c r="B17" s="1" t="s">
        <v>413</v>
      </c>
      <c r="C17" s="16">
        <v>46105</v>
      </c>
      <c r="D17" s="1" t="s">
        <v>398</v>
      </c>
      <c r="E17" s="24" t="s">
        <v>414</v>
      </c>
      <c r="F17" s="1" t="s">
        <v>415</v>
      </c>
      <c r="G17" s="6"/>
      <c r="H17" s="13"/>
      <c r="I17" s="6"/>
      <c r="J17" s="6"/>
      <c r="K17" s="6"/>
    </row>
    <row r="18" ht="36.75">
      <c r="B18" s="1" t="s">
        <v>416</v>
      </c>
      <c r="C18" s="16">
        <v>46224</v>
      </c>
      <c r="D18" s="1" t="s">
        <v>398</v>
      </c>
      <c r="E18" s="24" t="s">
        <v>417</v>
      </c>
      <c r="F18" s="1" t="s">
        <v>418</v>
      </c>
      <c r="G18" s="6"/>
      <c r="H18" s="13"/>
      <c r="I18" s="6"/>
      <c r="J18" s="6"/>
      <c r="K18" s="6"/>
    </row>
    <row r="19" ht="36.75">
      <c r="B19" s="1" t="s">
        <v>419</v>
      </c>
      <c r="C19" s="16">
        <v>46224</v>
      </c>
      <c r="D19" s="1" t="s">
        <v>398</v>
      </c>
      <c r="E19" s="24" t="s">
        <v>420</v>
      </c>
      <c r="F19" s="1" t="s">
        <v>421</v>
      </c>
      <c r="G19" s="6"/>
      <c r="H19" s="13"/>
      <c r="I19" s="6"/>
      <c r="J19" s="6"/>
      <c r="K19" s="6"/>
    </row>
    <row r="20" ht="36.75">
      <c r="B20" s="1" t="s">
        <v>422</v>
      </c>
      <c r="C20" s="16">
        <v>46259</v>
      </c>
      <c r="D20" s="1" t="s">
        <v>423</v>
      </c>
      <c r="E20" s="24" t="s">
        <v>424</v>
      </c>
      <c r="F20" s="1" t="s">
        <v>425</v>
      </c>
      <c r="G20" s="6"/>
      <c r="H20" s="13"/>
      <c r="I20" s="6"/>
      <c r="J20" s="6"/>
      <c r="K20" s="6"/>
    </row>
    <row r="21" ht="36.75">
      <c r="B21" s="1" t="s">
        <v>426</v>
      </c>
      <c r="C21" s="16">
        <v>46286</v>
      </c>
      <c r="D21" s="1" t="s">
        <v>427</v>
      </c>
      <c r="E21" s="24" t="s">
        <v>428</v>
      </c>
      <c r="F21" s="1" t="s">
        <v>429</v>
      </c>
      <c r="G21" s="6"/>
      <c r="H21" s="13"/>
      <c r="I21" s="6"/>
      <c r="J21" s="6"/>
      <c r="K21" s="6"/>
    </row>
    <row r="22">
      <c r="B22" s="1"/>
      <c r="C22" s="1"/>
      <c r="D22" s="1"/>
      <c r="E22" s="1"/>
      <c r="F22" s="1"/>
      <c r="G22" s="6"/>
      <c r="H22" s="13"/>
      <c r="I22" s="6"/>
      <c r="J22" s="6"/>
      <c r="K22" s="6"/>
    </row>
    <row r="23">
      <c r="B23" s="1"/>
      <c r="C23" s="1"/>
      <c r="D23" s="1"/>
      <c r="E23" s="1"/>
      <c r="F23" s="1"/>
      <c r="G23" s="6"/>
      <c r="H23" s="13"/>
      <c r="I23" s="6"/>
      <c r="J23" s="6"/>
      <c r="K23" s="6"/>
    </row>
    <row r="24">
      <c r="B24" s="1"/>
      <c r="C24" s="1"/>
      <c r="D24" s="1"/>
      <c r="E24" s="1"/>
      <c r="F24" s="1"/>
      <c r="G24" s="6"/>
      <c r="H24" s="13"/>
      <c r="I24" s="6"/>
      <c r="J24" s="1" t="s">
        <v>430</v>
      </c>
      <c r="K24" s="6"/>
    </row>
    <row r="25">
      <c r="B25" s="1" t="s">
        <v>431</v>
      </c>
      <c r="C25" s="1" t="s">
        <v>432</v>
      </c>
      <c r="D25" s="1"/>
      <c r="E25" s="1"/>
      <c r="F25" s="1"/>
      <c r="G25" s="6"/>
      <c r="H25" s="13"/>
      <c r="I25" s="6"/>
      <c r="J25" s="1"/>
      <c r="K25" s="6"/>
    </row>
    <row r="26">
      <c r="B26" s="1" t="s">
        <v>433</v>
      </c>
      <c r="C26" s="1" t="s">
        <v>434</v>
      </c>
      <c r="D26" s="1"/>
      <c r="E26" s="1"/>
      <c r="F26" s="1"/>
      <c r="G26" s="6"/>
      <c r="H26" s="13"/>
      <c r="I26" s="6"/>
      <c r="J26" s="1"/>
      <c r="K26" s="6"/>
    </row>
    <row r="27">
      <c r="B27" s="1"/>
      <c r="C27" s="1"/>
      <c r="D27" s="1"/>
      <c r="E27" s="1"/>
      <c r="F27" s="1"/>
      <c r="G27" s="6"/>
      <c r="H27" s="13"/>
      <c r="I27" s="6"/>
      <c r="J27" s="1" t="s">
        <v>435</v>
      </c>
      <c r="K27" s="6"/>
    </row>
    <row r="28">
      <c r="B28" s="1"/>
      <c r="C28" s="1"/>
      <c r="D28" s="1"/>
      <c r="E28" s="1"/>
      <c r="F28" s="1"/>
      <c r="G28" s="6"/>
      <c r="H28" s="13"/>
      <c r="I28" s="6"/>
      <c r="J28" s="1" t="s">
        <v>436</v>
      </c>
      <c r="K28" s="6"/>
    </row>
    <row r="29">
      <c r="B29" s="1" t="s">
        <v>437</v>
      </c>
      <c r="C29" s="34">
        <v>46105</v>
      </c>
      <c r="D29" s="1" t="s">
        <v>438</v>
      </c>
      <c r="E29" s="1" t="s">
        <v>439</v>
      </c>
      <c r="F29" s="1" t="s">
        <v>440</v>
      </c>
      <c r="G29" s="6"/>
      <c r="H29" s="13"/>
      <c r="I29" s="6"/>
      <c r="J29" s="1"/>
      <c r="K29" s="6"/>
    </row>
    <row r="30" ht="36.75">
      <c r="B30" s="6" t="s">
        <v>441</v>
      </c>
      <c r="C30" s="25">
        <v>45923</v>
      </c>
      <c r="D30" s="6" t="s">
        <v>398</v>
      </c>
      <c r="E30" s="29" t="s">
        <v>442</v>
      </c>
      <c r="F30" s="6" t="s">
        <v>443</v>
      </c>
      <c r="G30" s="6"/>
      <c r="H30" s="13"/>
      <c r="I30" s="6"/>
      <c r="J30" s="6"/>
      <c r="K30" s="6"/>
    </row>
    <row r="31" ht="36.75">
      <c r="B31" s="6" t="s">
        <v>444</v>
      </c>
      <c r="C31" s="25">
        <v>46028</v>
      </c>
      <c r="D31" s="6" t="s">
        <v>398</v>
      </c>
      <c r="E31" s="29" t="s">
        <v>445</v>
      </c>
      <c r="F31" s="6" t="s">
        <v>446</v>
      </c>
      <c r="G31" s="6"/>
      <c r="H31" s="13"/>
      <c r="I31" s="6"/>
      <c r="J31" s="6"/>
      <c r="K31" s="6"/>
    </row>
    <row r="32" ht="36.75">
      <c r="B32" s="6" t="s">
        <v>447</v>
      </c>
      <c r="C32" s="25">
        <v>46105</v>
      </c>
      <c r="D32" s="6" t="s">
        <v>398</v>
      </c>
      <c r="E32" s="29" t="s">
        <v>448</v>
      </c>
      <c r="F32" s="6" t="s">
        <v>449</v>
      </c>
      <c r="G32" s="6"/>
      <c r="H32" s="13"/>
      <c r="I32" s="6"/>
      <c r="J32" s="6"/>
      <c r="K32" s="6"/>
    </row>
    <row r="33">
      <c r="H33" s="2"/>
      <c r="J33" s="1" t="s">
        <v>450</v>
      </c>
    </row>
    <row r="34">
      <c r="H34" s="2"/>
    </row>
    <row r="35">
      <c r="H35" s="2"/>
    </row>
    <row r="36">
      <c r="H36" s="2"/>
    </row>
    <row r="37">
      <c r="H37" s="2"/>
    </row>
    <row r="38">
      <c r="H38" s="2"/>
    </row>
    <row r="39">
      <c r="H39" s="2"/>
    </row>
    <row r="40">
      <c r="H40" s="2"/>
    </row>
    <row r="41">
      <c r="H41" s="2"/>
    </row>
    <row r="42">
      <c r="H42" s="2"/>
    </row>
    <row r="43">
      <c r="H43" s="2"/>
    </row>
    <row r="44">
      <c r="H44" s="2"/>
    </row>
    <row r="45">
      <c r="H45" s="2"/>
    </row>
    <row r="46">
      <c r="H46" s="2"/>
    </row>
    <row r="47">
      <c r="H47" s="2"/>
    </row>
    <row r="48">
      <c r="H48" s="2"/>
    </row>
    <row r="49">
      <c r="H49" s="2"/>
    </row>
    <row r="50">
      <c r="H50" s="2"/>
    </row>
    <row r="51">
      <c r="H51" s="2"/>
    </row>
    <row r="52">
      <c r="H52" s="2"/>
    </row>
    <row r="53">
      <c r="H53" s="2"/>
    </row>
    <row r="54">
      <c r="H54" s="2"/>
    </row>
    <row r="55">
      <c r="H55" s="2"/>
    </row>
    <row r="56">
      <c r="H56" s="2"/>
    </row>
    <row r="57">
      <c r="H57" s="2"/>
    </row>
    <row r="58">
      <c r="H58" s="2"/>
    </row>
    <row r="59">
      <c r="H59" s="2"/>
    </row>
    <row r="60">
      <c r="H60" s="2"/>
    </row>
    <row r="61">
      <c r="H61" s="2"/>
    </row>
    <row r="62">
      <c r="H62" s="2"/>
    </row>
    <row r="63">
      <c r="H63" s="2"/>
    </row>
    <row r="64">
      <c r="H64" s="2"/>
    </row>
    <row r="65">
      <c r="H65" s="2"/>
    </row>
    <row r="66">
      <c r="H66" s="2"/>
    </row>
    <row r="67">
      <c r="H67" s="2"/>
    </row>
    <row r="68">
      <c r="H68" s="2"/>
    </row>
    <row r="69">
      <c r="H69" s="2"/>
    </row>
    <row r="70">
      <c r="H70" s="2"/>
    </row>
    <row r="71">
      <c r="H71" s="2"/>
    </row>
    <row r="72">
      <c r="H72" s="2"/>
    </row>
    <row r="73">
      <c r="H73" s="2"/>
    </row>
    <row r="74">
      <c r="H74" s="2"/>
    </row>
    <row r="75">
      <c r="H75" s="2"/>
    </row>
    <row r="76">
      <c r="H76" s="2"/>
    </row>
    <row r="77">
      <c r="H77" s="2"/>
    </row>
    <row r="78">
      <c r="H78" s="2"/>
    </row>
    <row r="79">
      <c r="H79" s="2"/>
    </row>
    <row r="80">
      <c r="H80" s="2"/>
    </row>
    <row r="81">
      <c r="H81" s="2"/>
    </row>
    <row r="82">
      <c r="H82" s="2"/>
    </row>
    <row r="83">
      <c r="H83" s="2"/>
    </row>
    <row r="84">
      <c r="H84" s="2"/>
    </row>
    <row r="85">
      <c r="H85" s="2"/>
    </row>
    <row r="86">
      <c r="H86" s="2"/>
    </row>
    <row r="87">
      <c r="H87" s="2"/>
    </row>
    <row r="88">
      <c r="H88" s="2"/>
    </row>
    <row r="89">
      <c r="H89" s="2"/>
    </row>
    <row r="90">
      <c r="H90" s="2"/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B1:K160"/>
  <sheetViews>
    <sheetView showGridLines="0" workbookViewId="0">
      <pane xSplit="2" ySplit="7" topLeftCell="C8" activePane="bottomRight" state="frozen"/>
    </sheetView>
  </sheetViews>
  <sheetFormatPr defaultColWidth="8.42578125" defaultRowHeight="15"/>
  <cols>
    <col min="1" max="1" width="3" customWidth="1"/>
    <col min="2" max="2" width="32" customWidth="1"/>
    <col min="3" max="3" width="28" customWidth="1"/>
    <col min="4" max="5" width="19" customWidth="1"/>
    <col min="6" max="7" width="18" customWidth="1"/>
    <col min="8" max="9" width="17" customWidth="1"/>
  </cols>
  <sheetData>
    <row r="1">
      <c r="B1" s="1" t="s">
        <v>0</v>
      </c>
      <c r="C1" s="1"/>
      <c r="D1" s="1"/>
      <c r="E1" s="1"/>
      <c r="F1" s="1"/>
      <c r="G1" s="1"/>
      <c r="H1" s="1"/>
      <c r="I1" s="6"/>
      <c r="J1" s="6"/>
      <c r="K1" s="6"/>
    </row>
    <row r="2">
      <c r="B2" s="26" t="s">
        <v>451</v>
      </c>
      <c r="C2" s="1"/>
      <c r="D2" s="1"/>
      <c r="E2" s="1"/>
      <c r="F2" s="1"/>
      <c r="G2" s="1"/>
      <c r="H2" s="1"/>
      <c r="I2" s="6"/>
      <c r="J2" s="6"/>
      <c r="K2" s="6"/>
    </row>
    <row r="3">
      <c r="B3" s="1" t="s">
        <v>2</v>
      </c>
      <c r="C3" s="1"/>
      <c r="D3" s="1"/>
      <c r="E3" s="1"/>
      <c r="F3" s="1"/>
      <c r="G3" s="1"/>
      <c r="H3" s="1"/>
      <c r="I3" s="6"/>
      <c r="J3" s="6"/>
      <c r="K3" s="6"/>
    </row>
    <row r="4">
      <c r="B4" s="6"/>
      <c r="C4" s="6"/>
      <c r="D4" s="6"/>
      <c r="E4" s="6"/>
      <c r="F4" s="6"/>
      <c r="G4" s="6"/>
      <c r="H4" s="6"/>
      <c r="I4" s="6"/>
      <c r="J4" s="6"/>
      <c r="K4" s="6"/>
    </row>
    <row r="5"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9" t="s">
        <v>9</v>
      </c>
      <c r="I5" s="6"/>
      <c r="J5" s="6"/>
      <c r="K5" s="6"/>
    </row>
    <row r="6">
      <c r="B6" s="10" t="s">
        <v>10</v>
      </c>
      <c r="C6" s="7">
        <v>45900</v>
      </c>
      <c r="D6" s="7">
        <v>45991</v>
      </c>
      <c r="E6" s="7">
        <v>46081</v>
      </c>
      <c r="F6" s="7">
        <v>46173</v>
      </c>
      <c r="G6" s="7">
        <v>46173</v>
      </c>
      <c r="H6" s="23">
        <v>46265</v>
      </c>
      <c r="I6" s="6"/>
      <c r="J6" s="6"/>
      <c r="K6" s="6"/>
    </row>
    <row r="7">
      <c r="B7" s="10" t="s">
        <v>11</v>
      </c>
      <c r="C7" s="10">
        <v>92</v>
      </c>
      <c r="D7" s="10">
        <v>91</v>
      </c>
      <c r="E7" s="10">
        <v>90</v>
      </c>
      <c r="F7" s="10">
        <v>92</v>
      </c>
      <c r="G7" s="10">
        <v>365</v>
      </c>
      <c r="H7" s="19">
        <v>92</v>
      </c>
      <c r="I7" s="6"/>
      <c r="J7" s="6"/>
      <c r="K7" s="6"/>
    </row>
    <row r="8">
      <c r="B8" s="6"/>
      <c r="C8" s="6"/>
      <c r="D8" s="6"/>
      <c r="E8" s="6"/>
      <c r="F8" s="6"/>
      <c r="G8" s="6"/>
      <c r="H8" s="13"/>
      <c r="I8" s="6"/>
      <c r="J8" s="6"/>
      <c r="K8" s="6"/>
    </row>
    <row r="9">
      <c r="B9" s="1" t="s">
        <v>452</v>
      </c>
      <c r="C9" s="1" t="s">
        <v>453</v>
      </c>
      <c r="D9" s="1" t="s">
        <v>454</v>
      </c>
      <c r="E9" s="1" t="s">
        <v>455</v>
      </c>
      <c r="F9" s="1" t="s">
        <v>456</v>
      </c>
      <c r="G9" s="1" t="s">
        <v>457</v>
      </c>
      <c r="H9" s="36" t="s">
        <v>458</v>
      </c>
      <c r="I9" s="1" t="s">
        <v>459</v>
      </c>
      <c r="J9" s="6"/>
      <c r="K9" s="6"/>
    </row>
    <row r="10">
      <c r="B10" s="52">
        <v>45716</v>
      </c>
      <c r="C10" s="34">
        <v>0.96</v>
      </c>
      <c r="D10" s="34">
        <v>0.99</v>
      </c>
      <c r="E10" s="34">
        <v>0.88</v>
      </c>
      <c r="F10" s="34">
        <v>-0.25</v>
      </c>
      <c r="G10" s="34">
        <v>699.13</v>
      </c>
      <c r="H10" s="53">
        <v>678.2</v>
      </c>
      <c r="I10" s="52">
        <v>45743</v>
      </c>
      <c r="J10" s="6"/>
      <c r="K10" s="6"/>
    </row>
    <row r="11">
      <c r="B11" s="52">
        <v>45808</v>
      </c>
      <c r="C11" s="34">
        <v>1</v>
      </c>
      <c r="D11" s="34">
        <v>1.16</v>
      </c>
      <c r="E11" s="34">
        <v>0.9</v>
      </c>
      <c r="F11" s="34">
        <v>0.95</v>
      </c>
      <c r="G11" s="34">
        <v>695.34</v>
      </c>
      <c r="H11" s="53">
        <v>754.5</v>
      </c>
      <c r="I11" s="52">
        <v>45854</v>
      </c>
      <c r="J11" s="6"/>
      <c r="K11" s="6"/>
    </row>
    <row r="12">
      <c r="B12" s="52">
        <v>45900</v>
      </c>
      <c r="C12" s="34">
        <v>0.98</v>
      </c>
      <c r="D12" s="34">
        <v>1.08</v>
      </c>
      <c r="E12" s="34">
        <v>0.9</v>
      </c>
      <c r="F12" s="34">
        <v>0.95</v>
      </c>
      <c r="G12" s="34">
        <v>689.45</v>
      </c>
      <c r="H12" s="53">
        <v>739.6</v>
      </c>
      <c r="I12" s="52">
        <v>45923</v>
      </c>
      <c r="J12" s="6"/>
      <c r="K12" s="6"/>
    </row>
    <row r="13">
      <c r="B13" s="52">
        <v>45991</v>
      </c>
      <c r="C13" s="34">
        <v>1.03</v>
      </c>
      <c r="D13" s="34">
        <v>1.18</v>
      </c>
      <c r="E13" s="34">
        <v>0.92</v>
      </c>
      <c r="F13" s="34">
        <v>0.9</v>
      </c>
      <c r="G13" s="34">
        <v>763.61</v>
      </c>
      <c r="H13" s="53">
        <v>795.3</v>
      </c>
      <c r="I13" s="52">
        <v>46028</v>
      </c>
      <c r="J13" s="6"/>
      <c r="K13" s="6"/>
    </row>
    <row r="14">
      <c r="B14" s="52">
        <v>46081</v>
      </c>
      <c r="C14" s="34">
        <v>1.16</v>
      </c>
      <c r="D14" s="34">
        <v>1.25</v>
      </c>
      <c r="E14" s="34">
        <v>1.02</v>
      </c>
      <c r="F14" s="34">
        <v>1.71</v>
      </c>
      <c r="G14" s="34">
        <v>812.58</v>
      </c>
      <c r="H14" s="53">
        <v>845.1</v>
      </c>
      <c r="I14" s="52">
        <v>46105</v>
      </c>
      <c r="J14" s="6"/>
      <c r="K14" s="6"/>
    </row>
    <row r="15">
      <c r="B15" s="52">
        <v>46173</v>
      </c>
      <c r="C15" s="34">
        <v>1.38</v>
      </c>
      <c r="D15" s="34">
        <v>1.53</v>
      </c>
      <c r="E15" s="34">
        <v>1.21</v>
      </c>
      <c r="F15" s="34">
        <v>1.27</v>
      </c>
      <c r="G15" s="34">
        <v>894.61</v>
      </c>
      <c r="H15" s="53">
        <v>928</v>
      </c>
      <c r="I15" s="52">
        <v>46224</v>
      </c>
      <c r="J15" s="6"/>
      <c r="K15" s="6"/>
    </row>
    <row r="16">
      <c r="B16" s="1"/>
      <c r="C16" s="1"/>
      <c r="D16" s="1"/>
      <c r="E16" s="1"/>
      <c r="F16" s="1"/>
      <c r="G16" s="1"/>
      <c r="H16" s="36"/>
      <c r="I16" s="1"/>
      <c r="J16" s="6"/>
      <c r="K16" s="6"/>
    </row>
    <row r="17">
      <c r="B17" s="1"/>
      <c r="C17" s="1"/>
      <c r="D17" s="1"/>
      <c r="E17" s="1"/>
      <c r="F17" s="1"/>
      <c r="G17" s="1"/>
      <c r="H17" s="36"/>
      <c r="I17" s="1"/>
      <c r="J17" s="6"/>
      <c r="K17" s="6"/>
    </row>
    <row r="18">
      <c r="B18" s="1"/>
      <c r="C18" s="1"/>
      <c r="D18" s="1"/>
      <c r="E18" s="1"/>
      <c r="F18" s="1"/>
      <c r="G18" s="1"/>
      <c r="H18" s="36"/>
      <c r="I18" s="1"/>
      <c r="J18" s="6"/>
      <c r="K18" s="6"/>
    </row>
    <row r="19">
      <c r="B19" s="1" t="s">
        <v>460</v>
      </c>
      <c r="C19" s="1" t="s">
        <v>461</v>
      </c>
      <c r="D19" s="1"/>
      <c r="E19" s="1"/>
      <c r="F19" s="1"/>
      <c r="G19" s="1"/>
      <c r="H19" s="36"/>
      <c r="I19" s="1"/>
      <c r="J19" s="6"/>
      <c r="K19" s="6"/>
    </row>
    <row r="20">
      <c r="B20" s="1" t="s">
        <v>462</v>
      </c>
      <c r="C20" s="34" t="s">
        <v>463</v>
      </c>
      <c r="D20" s="1"/>
      <c r="E20" s="1"/>
      <c r="F20" s="1"/>
      <c r="G20" s="1"/>
      <c r="H20" s="36"/>
      <c r="I20" s="1"/>
      <c r="J20" s="6"/>
      <c r="K20" s="6"/>
    </row>
    <row r="21">
      <c r="B21" s="1" t="s">
        <v>464</v>
      </c>
      <c r="C21" s="34" t="s">
        <v>465</v>
      </c>
      <c r="D21" s="1"/>
      <c r="E21" s="1"/>
      <c r="F21" s="1"/>
      <c r="G21" s="1"/>
      <c r="H21" s="36"/>
      <c r="I21" s="1"/>
      <c r="J21" s="6"/>
      <c r="K21" s="6"/>
    </row>
    <row r="22">
      <c r="B22" s="1" t="s">
        <v>466</v>
      </c>
      <c r="C22" s="34" t="s">
        <v>16</v>
      </c>
      <c r="D22" s="1"/>
      <c r="E22" s="1"/>
      <c r="F22" s="1"/>
      <c r="G22" s="1"/>
      <c r="H22" s="36"/>
      <c r="I22" s="1"/>
      <c r="J22" s="6"/>
      <c r="K22" s="6"/>
    </row>
    <row r="23">
      <c r="B23" s="1" t="s">
        <v>467</v>
      </c>
      <c r="C23" s="34">
        <v>168154</v>
      </c>
      <c r="D23" s="1"/>
      <c r="E23" s="1"/>
      <c r="F23" s="1"/>
      <c r="G23" s="1"/>
      <c r="H23" s="36"/>
      <c r="I23" s="1"/>
      <c r="J23" s="6"/>
      <c r="K23" s="6"/>
    </row>
    <row r="24">
      <c r="B24" s="1" t="s">
        <v>468</v>
      </c>
      <c r="C24" s="34">
        <v>8</v>
      </c>
      <c r="D24" s="1"/>
      <c r="E24" s="1"/>
      <c r="F24" s="1"/>
      <c r="G24" s="1"/>
      <c r="H24" s="36"/>
      <c r="I24" s="1"/>
      <c r="J24" s="6"/>
      <c r="K24" s="6"/>
    </row>
    <row r="25">
      <c r="B25" s="1" t="s">
        <v>469</v>
      </c>
      <c r="C25" s="34" t="s">
        <v>18</v>
      </c>
      <c r="D25" s="1"/>
      <c r="E25" s="1"/>
      <c r="F25" s="1"/>
      <c r="G25" s="1"/>
      <c r="H25" s="36"/>
      <c r="I25" s="1"/>
      <c r="J25" s="6"/>
      <c r="K25" s="6"/>
    </row>
    <row r="26">
      <c r="B26" s="1" t="s">
        <v>470</v>
      </c>
      <c r="C26" s="34" t="s">
        <v>471</v>
      </c>
      <c r="D26" s="1"/>
      <c r="E26" s="1"/>
      <c r="F26" s="1"/>
      <c r="G26" s="1"/>
      <c r="H26" s="36"/>
      <c r="I26" s="1"/>
      <c r="J26" s="6"/>
      <c r="K26" s="6"/>
    </row>
    <row r="27">
      <c r="B27" s="1" t="s">
        <v>452</v>
      </c>
      <c r="C27" s="16">
        <v>46265</v>
      </c>
      <c r="D27" s="1"/>
      <c r="E27" s="1"/>
      <c r="F27" s="1"/>
      <c r="G27" s="1"/>
      <c r="H27" s="36"/>
      <c r="I27" s="1"/>
      <c r="J27" s="6"/>
      <c r="K27" s="6"/>
    </row>
    <row r="28">
      <c r="B28" s="1" t="s">
        <v>472</v>
      </c>
      <c r="C28" s="16">
        <v>46294</v>
      </c>
      <c r="D28" s="1"/>
      <c r="E28" s="1"/>
      <c r="F28" s="1"/>
      <c r="G28" s="1"/>
      <c r="H28" s="36"/>
      <c r="I28" s="1"/>
      <c r="J28" s="6"/>
      <c r="K28" s="6"/>
    </row>
    <row r="29">
      <c r="B29" s="1" t="s">
        <v>473</v>
      </c>
      <c r="C29" s="34">
        <v>1.3</v>
      </c>
      <c r="D29" s="1"/>
      <c r="E29" s="1"/>
      <c r="F29" s="1"/>
      <c r="G29" s="1"/>
      <c r="H29" s="36"/>
      <c r="I29" s="1"/>
      <c r="J29" s="6"/>
      <c r="K29" s="6"/>
    </row>
    <row r="30">
      <c r="B30" s="1" t="s">
        <v>474</v>
      </c>
      <c r="C30" s="34">
        <v>1.3</v>
      </c>
      <c r="D30" s="1"/>
      <c r="E30" s="1"/>
      <c r="F30" s="1"/>
      <c r="G30" s="1"/>
      <c r="H30" s="36"/>
      <c r="I30" s="1"/>
      <c r="J30" s="6"/>
      <c r="K30" s="6"/>
    </row>
    <row r="31">
      <c r="B31" s="1" t="s">
        <v>475</v>
      </c>
      <c r="C31" s="34">
        <v>1.35</v>
      </c>
      <c r="D31" s="1"/>
      <c r="E31" s="1"/>
      <c r="F31" s="1"/>
      <c r="G31" s="1"/>
      <c r="H31" s="36"/>
      <c r="I31" s="1"/>
      <c r="J31" s="6"/>
      <c r="K31" s="6"/>
    </row>
    <row r="32">
      <c r="B32" s="1" t="s">
        <v>476</v>
      </c>
      <c r="C32" s="34">
        <v>1.25</v>
      </c>
      <c r="D32" s="1"/>
      <c r="E32" s="1"/>
      <c r="F32" s="1"/>
      <c r="G32" s="1"/>
      <c r="H32" s="36"/>
      <c r="I32" s="1"/>
      <c r="J32" s="6"/>
      <c r="K32" s="6"/>
    </row>
    <row r="33">
      <c r="B33" s="1" t="s">
        <v>477</v>
      </c>
      <c r="C33" s="34">
        <v>0.03</v>
      </c>
      <c r="D33" s="1"/>
      <c r="E33" s="1"/>
      <c r="F33" s="1"/>
      <c r="G33" s="1"/>
      <c r="H33" s="36"/>
      <c r="I33" s="1"/>
      <c r="J33" s="6"/>
      <c r="K33" s="6"/>
    </row>
    <row r="34">
      <c r="B34" s="1" t="s">
        <v>478</v>
      </c>
      <c r="C34" s="34">
        <v>8</v>
      </c>
      <c r="D34" s="1"/>
      <c r="E34" s="1"/>
      <c r="F34" s="1"/>
      <c r="G34" s="1"/>
      <c r="H34" s="36"/>
      <c r="I34" s="1"/>
      <c r="J34" s="6"/>
      <c r="K34" s="6"/>
    </row>
    <row r="35">
      <c r="B35" s="1" t="s">
        <v>479</v>
      </c>
      <c r="C35" s="34"/>
      <c r="D35" s="1"/>
      <c r="E35" s="1"/>
      <c r="F35" s="1"/>
      <c r="G35" s="1"/>
      <c r="H35" s="36"/>
      <c r="I35" s="1"/>
      <c r="J35" s="6"/>
      <c r="K35" s="6"/>
    </row>
    <row r="36">
      <c r="B36" s="1" t="s">
        <v>480</v>
      </c>
      <c r="C36" s="34"/>
      <c r="D36" s="1"/>
      <c r="E36" s="1"/>
      <c r="F36" s="1"/>
      <c r="G36" s="1"/>
      <c r="H36" s="36"/>
      <c r="I36" s="1"/>
      <c r="J36" s="6"/>
      <c r="K36" s="6"/>
    </row>
    <row r="37">
      <c r="B37" s="1" t="s">
        <v>481</v>
      </c>
      <c r="C37" s="34"/>
      <c r="D37" s="1"/>
      <c r="E37" s="1"/>
      <c r="F37" s="1"/>
      <c r="G37" s="1"/>
      <c r="H37" s="36"/>
      <c r="I37" s="1"/>
      <c r="J37" s="6"/>
      <c r="K37" s="6"/>
    </row>
    <row r="38">
      <c r="B38" s="1" t="s">
        <v>482</v>
      </c>
      <c r="C38" s="34">
        <v>1.23</v>
      </c>
      <c r="D38" s="1"/>
      <c r="E38" s="1"/>
      <c r="F38" s="1"/>
      <c r="G38" s="1"/>
      <c r="H38" s="36"/>
      <c r="I38" s="1"/>
      <c r="J38" s="6"/>
      <c r="K38" s="6"/>
    </row>
    <row r="39">
      <c r="B39" s="1" t="s">
        <v>483</v>
      </c>
      <c r="C39" s="34">
        <v>1.22</v>
      </c>
      <c r="D39" s="1"/>
      <c r="E39" s="1"/>
      <c r="F39" s="1"/>
      <c r="G39" s="1"/>
      <c r="H39" s="36"/>
      <c r="I39" s="1"/>
      <c r="J39" s="6"/>
      <c r="K39" s="6"/>
    </row>
    <row r="40">
      <c r="B40" s="1" t="s">
        <v>484</v>
      </c>
      <c r="C40" s="34">
        <v>1.35</v>
      </c>
      <c r="D40" s="1"/>
      <c r="E40" s="1"/>
      <c r="F40" s="1"/>
      <c r="G40" s="1"/>
      <c r="H40" s="36"/>
      <c r="I40" s="1"/>
      <c r="J40" s="6"/>
      <c r="K40" s="6"/>
    </row>
    <row r="41">
      <c r="B41" s="1" t="s">
        <v>485</v>
      </c>
      <c r="C41" s="34">
        <v>1.02</v>
      </c>
      <c r="D41" s="1"/>
      <c r="E41" s="1"/>
      <c r="F41" s="1"/>
      <c r="G41" s="1"/>
      <c r="H41" s="36"/>
      <c r="I41" s="1"/>
      <c r="J41" s="6"/>
      <c r="K41" s="6"/>
    </row>
    <row r="42">
      <c r="B42" s="1" t="s">
        <v>486</v>
      </c>
      <c r="C42" s="34">
        <v>0.12</v>
      </c>
      <c r="D42" s="1"/>
      <c r="E42" s="1"/>
      <c r="F42" s="1"/>
      <c r="G42" s="1"/>
      <c r="H42" s="36"/>
      <c r="I42" s="1"/>
      <c r="J42" s="6"/>
      <c r="K42" s="6"/>
    </row>
    <row r="43">
      <c r="B43" s="1" t="s">
        <v>487</v>
      </c>
      <c r="C43" s="34">
        <v>5</v>
      </c>
      <c r="D43" s="1"/>
      <c r="E43" s="1"/>
      <c r="F43" s="1"/>
      <c r="G43" s="1"/>
      <c r="H43" s="36"/>
      <c r="I43" s="1"/>
      <c r="J43" s="6"/>
      <c r="K43" s="6"/>
    </row>
    <row r="44">
      <c r="B44" s="1" t="s">
        <v>488</v>
      </c>
      <c r="C44" s="34"/>
      <c r="D44" s="1"/>
      <c r="E44" s="1"/>
      <c r="F44" s="1"/>
      <c r="G44" s="1"/>
      <c r="H44" s="36"/>
      <c r="I44" s="1"/>
      <c r="J44" s="6"/>
      <c r="K44" s="6"/>
    </row>
    <row r="45">
      <c r="B45" s="1" t="s">
        <v>489</v>
      </c>
      <c r="C45" s="34"/>
      <c r="D45" s="1"/>
      <c r="E45" s="1"/>
      <c r="F45" s="1"/>
      <c r="G45" s="1"/>
      <c r="H45" s="36"/>
      <c r="I45" s="1"/>
      <c r="J45" s="6"/>
      <c r="K45" s="6"/>
    </row>
    <row r="46">
      <c r="B46" s="1" t="s">
        <v>490</v>
      </c>
      <c r="C46" s="34">
        <v>880.35</v>
      </c>
      <c r="D46" s="1"/>
      <c r="E46" s="1"/>
      <c r="F46" s="1"/>
      <c r="G46" s="1"/>
      <c r="H46" s="36"/>
      <c r="I46" s="1"/>
      <c r="J46" s="6"/>
      <c r="K46" s="6"/>
    </row>
    <row r="47">
      <c r="B47" s="1" t="s">
        <v>491</v>
      </c>
      <c r="C47" s="34">
        <v>880.95</v>
      </c>
      <c r="D47" s="1"/>
      <c r="E47" s="1"/>
      <c r="F47" s="1"/>
      <c r="G47" s="1"/>
      <c r="H47" s="36"/>
      <c r="I47" s="1"/>
      <c r="J47" s="6"/>
      <c r="K47" s="6"/>
    </row>
    <row r="48">
      <c r="B48" s="1" t="s">
        <v>492</v>
      </c>
      <c r="C48" s="34">
        <v>889.36</v>
      </c>
      <c r="D48" s="1"/>
      <c r="E48" s="1"/>
      <c r="F48" s="1"/>
      <c r="G48" s="1"/>
      <c r="H48" s="36"/>
      <c r="I48" s="1"/>
      <c r="J48" s="6"/>
      <c r="K48" s="6"/>
    </row>
    <row r="49">
      <c r="B49" s="1" t="s">
        <v>493</v>
      </c>
      <c r="C49" s="34">
        <v>866.03</v>
      </c>
      <c r="D49" s="1"/>
      <c r="E49" s="1"/>
      <c r="F49" s="1"/>
      <c r="G49" s="1"/>
      <c r="H49" s="36"/>
      <c r="I49" s="1"/>
      <c r="J49" s="6"/>
      <c r="K49" s="6"/>
    </row>
    <row r="50">
      <c r="B50" s="1" t="s">
        <v>494</v>
      </c>
      <c r="C50" s="34">
        <v>7.46</v>
      </c>
      <c r="D50" s="1"/>
      <c r="E50" s="1"/>
      <c r="F50" s="1"/>
      <c r="G50" s="1"/>
      <c r="H50" s="36"/>
      <c r="I50" s="1"/>
      <c r="J50" s="6"/>
      <c r="K50" s="6"/>
    </row>
    <row r="51">
      <c r="B51" s="1" t="s">
        <v>495</v>
      </c>
      <c r="C51" s="34">
        <v>8</v>
      </c>
      <c r="D51" s="1"/>
      <c r="E51" s="1"/>
      <c r="F51" s="1"/>
      <c r="G51" s="1"/>
      <c r="H51" s="36"/>
      <c r="I51" s="1"/>
      <c r="J51" s="6"/>
      <c r="K51" s="6"/>
    </row>
    <row r="52">
      <c r="B52" s="1" t="s">
        <v>496</v>
      </c>
      <c r="C52" s="34"/>
      <c r="D52" s="1"/>
      <c r="E52" s="1"/>
      <c r="F52" s="1"/>
      <c r="G52" s="1"/>
      <c r="H52" s="36"/>
      <c r="I52" s="1"/>
      <c r="J52" s="6"/>
      <c r="K52" s="6"/>
    </row>
    <row r="53">
      <c r="B53" s="1" t="s">
        <v>497</v>
      </c>
      <c r="C53" s="34"/>
      <c r="D53" s="1"/>
      <c r="E53" s="1"/>
      <c r="F53" s="1"/>
      <c r="G53" s="1"/>
      <c r="H53" s="36"/>
      <c r="I53" s="1"/>
      <c r="J53" s="6"/>
      <c r="K53" s="6"/>
    </row>
    <row r="54">
      <c r="B54" s="1" t="s">
        <v>498</v>
      </c>
      <c r="C54" s="34">
        <v>107.53</v>
      </c>
      <c r="D54" s="1"/>
      <c r="E54" s="1"/>
      <c r="F54" s="1"/>
      <c r="G54" s="1"/>
      <c r="H54" s="36"/>
      <c r="I54" s="1"/>
      <c r="J54" s="6"/>
      <c r="K54" s="6"/>
    </row>
    <row r="55">
      <c r="B55" s="1" t="s">
        <v>499</v>
      </c>
      <c r="C55" s="34">
        <v>84.93</v>
      </c>
      <c r="D55" s="1"/>
      <c r="E55" s="1"/>
      <c r="F55" s="1"/>
      <c r="G55" s="1"/>
      <c r="H55" s="36"/>
      <c r="I55" s="1"/>
      <c r="J55" s="6"/>
      <c r="K55" s="6"/>
    </row>
    <row r="56">
      <c r="B56" s="1" t="s">
        <v>500</v>
      </c>
      <c r="C56" s="34"/>
      <c r="D56" s="1"/>
      <c r="E56" s="1"/>
      <c r="F56" s="1"/>
      <c r="G56" s="1"/>
      <c r="H56" s="36"/>
      <c r="I56" s="1"/>
      <c r="J56" s="6"/>
      <c r="K56" s="6"/>
    </row>
    <row r="57">
      <c r="B57" s="1" t="s">
        <v>501</v>
      </c>
      <c r="C57" s="34">
        <v>48.31</v>
      </c>
      <c r="D57" s="1"/>
      <c r="E57" s="1"/>
      <c r="F57" s="1"/>
      <c r="G57" s="1"/>
      <c r="H57" s="36"/>
      <c r="I57" s="1"/>
      <c r="J57" s="6"/>
      <c r="K57" s="6"/>
    </row>
    <row r="58">
      <c r="B58" s="1" t="s">
        <v>502</v>
      </c>
      <c r="C58" s="34">
        <v>18.35</v>
      </c>
      <c r="D58" s="1"/>
      <c r="E58" s="1"/>
      <c r="F58" s="1"/>
      <c r="G58" s="1"/>
      <c r="H58" s="36"/>
      <c r="I58" s="1"/>
      <c r="J58" s="6"/>
      <c r="K58" s="6"/>
    </row>
    <row r="59">
      <c r="B59" s="1" t="s">
        <v>503</v>
      </c>
      <c r="C59" s="34"/>
      <c r="D59" s="1"/>
      <c r="E59" s="1"/>
      <c r="F59" s="1"/>
      <c r="G59" s="1"/>
      <c r="H59" s="36"/>
      <c r="I59" s="1"/>
      <c r="J59" s="6"/>
      <c r="K59" s="6"/>
    </row>
    <row r="60">
      <c r="B60" s="1" t="s">
        <v>504</v>
      </c>
      <c r="C60" s="34">
        <v>-12.17</v>
      </c>
      <c r="D60" s="1"/>
      <c r="E60" s="1"/>
      <c r="F60" s="1"/>
      <c r="G60" s="1"/>
      <c r="H60" s="36"/>
      <c r="I60" s="1"/>
      <c r="J60" s="6"/>
      <c r="K60" s="6"/>
    </row>
    <row r="61">
      <c r="B61" s="1" t="s">
        <v>505</v>
      </c>
      <c r="C61" s="34">
        <v>-13.1</v>
      </c>
      <c r="D61" s="1"/>
      <c r="E61" s="1"/>
      <c r="F61" s="1"/>
      <c r="G61" s="1"/>
      <c r="H61" s="36"/>
      <c r="I61" s="1"/>
      <c r="J61" s="6"/>
      <c r="K61" s="6"/>
    </row>
    <row r="62">
      <c r="B62" s="1" t="s">
        <v>506</v>
      </c>
      <c r="C62" s="34"/>
      <c r="D62" s="1"/>
      <c r="E62" s="1"/>
      <c r="F62" s="1"/>
      <c r="G62" s="1"/>
      <c r="H62" s="36"/>
      <c r="I62" s="1"/>
      <c r="J62" s="6"/>
      <c r="K62" s="6"/>
    </row>
    <row r="63">
      <c r="B63" s="1" t="s">
        <v>507</v>
      </c>
      <c r="C63" s="34"/>
      <c r="D63" s="1"/>
      <c r="E63" s="1"/>
      <c r="F63" s="1"/>
      <c r="G63" s="1"/>
      <c r="H63" s="36"/>
      <c r="I63" s="1"/>
      <c r="J63" s="6"/>
      <c r="K63" s="6"/>
    </row>
    <row r="64">
      <c r="B64" s="1" t="s">
        <v>508</v>
      </c>
      <c r="C64" s="34">
        <v>145.2</v>
      </c>
      <c r="D64" s="1"/>
      <c r="E64" s="1"/>
      <c r="F64" s="1"/>
      <c r="G64" s="1"/>
      <c r="H64" s="36"/>
      <c r="I64" s="1"/>
      <c r="J64" s="6"/>
      <c r="K64" s="6"/>
    </row>
    <row r="65">
      <c r="B65" s="1" t="s">
        <v>509</v>
      </c>
      <c r="C65" s="34">
        <v>145</v>
      </c>
      <c r="D65" s="1"/>
      <c r="E65" s="1"/>
      <c r="F65" s="1"/>
      <c r="G65" s="1"/>
      <c r="H65" s="36"/>
      <c r="I65" s="1"/>
      <c r="J65" s="6"/>
      <c r="K65" s="6"/>
    </row>
    <row r="66">
      <c r="B66" s="1" t="s">
        <v>510</v>
      </c>
      <c r="C66" s="34">
        <v>155</v>
      </c>
      <c r="D66" s="1"/>
      <c r="E66" s="1"/>
      <c r="F66" s="1"/>
      <c r="G66" s="1"/>
      <c r="H66" s="36"/>
      <c r="I66" s="1"/>
      <c r="J66" s="6"/>
      <c r="K66" s="6"/>
    </row>
    <row r="67">
      <c r="B67" s="1" t="s">
        <v>511</v>
      </c>
      <c r="C67" s="34">
        <v>128</v>
      </c>
      <c r="D67" s="1"/>
      <c r="E67" s="1"/>
      <c r="F67" s="1"/>
      <c r="G67" s="1"/>
      <c r="H67" s="36"/>
      <c r="I67" s="1"/>
      <c r="J67" s="6"/>
      <c r="K67" s="6"/>
    </row>
    <row r="68">
      <c r="B68" s="1" t="s">
        <v>512</v>
      </c>
      <c r="C68" s="34">
        <v>9.52</v>
      </c>
      <c r="D68" s="1"/>
      <c r="E68" s="1"/>
      <c r="F68" s="1"/>
      <c r="G68" s="1"/>
      <c r="H68" s="36"/>
      <c r="I68" s="1"/>
      <c r="J68" s="6"/>
      <c r="K68" s="6"/>
    </row>
    <row r="69">
      <c r="B69" s="1" t="s">
        <v>513</v>
      </c>
      <c r="C69" s="34">
        <v>5</v>
      </c>
      <c r="D69" s="1"/>
      <c r="E69" s="1"/>
      <c r="F69" s="1"/>
      <c r="G69" s="1"/>
      <c r="H69" s="36"/>
      <c r="I69" s="1"/>
      <c r="J69" s="6"/>
      <c r="K69" s="6"/>
    </row>
    <row r="70">
      <c r="B70" s="1" t="s">
        <v>514</v>
      </c>
      <c r="C70" s="34" t="s">
        <v>515</v>
      </c>
      <c r="D70" s="1"/>
      <c r="E70" s="1"/>
      <c r="F70" s="1"/>
      <c r="G70" s="1"/>
      <c r="H70" s="36"/>
      <c r="I70" s="1"/>
      <c r="J70" s="6"/>
      <c r="K70" s="6"/>
    </row>
    <row r="71">
      <c r="B71" s="1" t="s">
        <v>516</v>
      </c>
      <c r="C71" s="34">
        <v>1.88</v>
      </c>
      <c r="D71" s="1"/>
      <c r="E71" s="1"/>
      <c r="F71" s="1"/>
      <c r="G71" s="1"/>
      <c r="H71" s="36"/>
      <c r="I71" s="1"/>
      <c r="J71" s="6"/>
      <c r="K71" s="6"/>
    </row>
    <row r="72">
      <c r="B72" s="1" t="s">
        <v>517</v>
      </c>
      <c r="C72" s="34">
        <v>120.56</v>
      </c>
      <c r="D72" s="1"/>
      <c r="E72" s="1"/>
      <c r="F72" s="1"/>
      <c r="G72" s="1"/>
      <c r="H72" s="36"/>
      <c r="I72" s="1"/>
      <c r="J72" s="6"/>
      <c r="K72" s="6"/>
    </row>
    <row r="73">
      <c r="B73" s="1" t="s">
        <v>518</v>
      </c>
      <c r="C73" s="34" t="s">
        <v>519</v>
      </c>
      <c r="D73" s="1"/>
      <c r="E73" s="1"/>
      <c r="F73" s="1"/>
      <c r="G73" s="1"/>
      <c r="H73" s="36"/>
      <c r="I73" s="1"/>
      <c r="J73" s="6"/>
      <c r="K73" s="6"/>
    </row>
    <row r="74">
      <c r="B74" s="1"/>
      <c r="C74" s="1"/>
      <c r="D74" s="1"/>
      <c r="E74" s="1"/>
      <c r="F74" s="1"/>
      <c r="G74" s="1"/>
      <c r="H74" s="36"/>
      <c r="I74" s="1"/>
      <c r="J74" s="6"/>
      <c r="K74" s="6"/>
    </row>
    <row r="75">
      <c r="B75" s="1" t="s">
        <v>520</v>
      </c>
      <c r="C75" s="1" t="s">
        <v>521</v>
      </c>
      <c r="D75" s="1"/>
      <c r="E75" s="1"/>
      <c r="F75" s="1"/>
      <c r="G75" s="1"/>
      <c r="H75" s="36"/>
      <c r="I75" s="1"/>
      <c r="J75" s="6"/>
      <c r="K75" s="6"/>
    </row>
    <row r="76">
      <c r="B76" s="1" t="s">
        <v>522</v>
      </c>
      <c r="C76" s="34">
        <v>46289</v>
      </c>
      <c r="D76" s="1"/>
      <c r="E76" s="1"/>
      <c r="F76" s="1"/>
      <c r="G76" s="1"/>
      <c r="H76" s="36"/>
      <c r="I76" s="1"/>
      <c r="J76" s="6"/>
      <c r="K76" s="6"/>
    </row>
    <row r="77">
      <c r="B77" s="1" t="s">
        <v>523</v>
      </c>
      <c r="C77" s="1" t="s">
        <v>432</v>
      </c>
      <c r="D77" s="1"/>
      <c r="E77" s="1"/>
      <c r="F77" s="1"/>
      <c r="G77" s="1"/>
      <c r="H77" s="36"/>
      <c r="I77" s="1"/>
      <c r="J77" s="6"/>
      <c r="K77" s="6"/>
    </row>
    <row r="78">
      <c r="B78" s="1" t="s">
        <v>524</v>
      </c>
      <c r="C78" s="1" t="s">
        <v>434</v>
      </c>
      <c r="D78" s="1"/>
      <c r="E78" s="1"/>
      <c r="F78" s="1"/>
      <c r="G78" s="1"/>
      <c r="H78" s="36"/>
      <c r="I78" s="1"/>
      <c r="J78" s="6"/>
      <c r="K78" s="6"/>
    </row>
    <row r="79">
      <c r="H79" s="2"/>
    </row>
    <row r="80">
      <c r="B80" s="1" t="s">
        <v>525</v>
      </c>
      <c r="C80" s="48">
        <v>0.67</v>
      </c>
      <c r="D80" s="1"/>
      <c r="E80" s="1"/>
      <c r="F80" s="1"/>
      <c r="G80" s="1"/>
      <c r="H80" s="36"/>
      <c r="I80" s="1"/>
      <c r="J80" s="1" t="s">
        <v>526</v>
      </c>
    </row>
    <row r="81">
      <c r="B81" s="1" t="s">
        <v>527</v>
      </c>
      <c r="C81" s="34" t="s">
        <v>528</v>
      </c>
      <c r="D81" s="1"/>
      <c r="E81" s="1"/>
      <c r="F81" s="1"/>
      <c r="G81" s="1"/>
      <c r="H81" s="36"/>
      <c r="I81" s="1"/>
      <c r="J81" s="1"/>
    </row>
    <row r="82">
      <c r="H82" s="2"/>
    </row>
    <row r="83">
      <c r="H83" s="2"/>
    </row>
    <row r="84">
      <c r="H84" s="2"/>
    </row>
    <row r="85">
      <c r="H85" s="2"/>
    </row>
    <row r="86">
      <c r="H86" s="2"/>
    </row>
    <row r="87">
      <c r="H87" s="2"/>
    </row>
    <row r="88">
      <c r="H88" s="2"/>
    </row>
    <row r="89">
      <c r="H89" s="2"/>
    </row>
    <row r="90">
      <c r="H90" s="2"/>
    </row>
    <row r="91">
      <c r="H91" s="2"/>
    </row>
    <row r="92">
      <c r="H92" s="2"/>
    </row>
    <row r="93">
      <c r="H93" s="2"/>
    </row>
    <row r="94">
      <c r="H94" s="2"/>
    </row>
    <row r="95">
      <c r="H95" s="2"/>
    </row>
    <row r="96">
      <c r="H96" s="2"/>
    </row>
    <row r="97">
      <c r="H97" s="2"/>
    </row>
    <row r="98">
      <c r="H98" s="2"/>
    </row>
    <row r="99">
      <c r="H99" s="2"/>
    </row>
    <row r="100">
      <c r="H100" s="2"/>
    </row>
    <row r="101">
      <c r="H101" s="2"/>
    </row>
    <row r="102">
      <c r="H102" s="2"/>
    </row>
    <row r="103">
      <c r="H103" s="2"/>
    </row>
    <row r="104">
      <c r="H104" s="2"/>
    </row>
    <row r="105">
      <c r="H105" s="2"/>
    </row>
    <row r="106">
      <c r="H106" s="2"/>
    </row>
    <row r="107">
      <c r="H107" s="2"/>
    </row>
    <row r="108">
      <c r="H108" s="2"/>
    </row>
    <row r="109">
      <c r="H109" s="2"/>
    </row>
    <row r="110">
      <c r="H110" s="2"/>
    </row>
    <row r="111">
      <c r="H111" s="2"/>
    </row>
    <row r="112">
      <c r="H112" s="2"/>
    </row>
    <row r="113">
      <c r="H113" s="2"/>
    </row>
    <row r="114">
      <c r="H114" s="2"/>
    </row>
    <row r="115">
      <c r="H115" s="2"/>
    </row>
    <row r="116">
      <c r="H116" s="2"/>
    </row>
    <row r="117">
      <c r="H117" s="2"/>
    </row>
    <row r="118">
      <c r="H118" s="2"/>
    </row>
    <row r="119">
      <c r="H119" s="2"/>
    </row>
    <row r="120">
      <c r="H120" s="2"/>
    </row>
    <row r="121">
      <c r="H121" s="2"/>
    </row>
    <row r="122">
      <c r="H122" s="2"/>
    </row>
    <row r="123">
      <c r="H123" s="2"/>
    </row>
    <row r="124">
      <c r="H124" s="2"/>
    </row>
    <row r="125">
      <c r="H125" s="2"/>
    </row>
    <row r="126">
      <c r="H126" s="2"/>
    </row>
    <row r="127">
      <c r="H127" s="2"/>
    </row>
    <row r="128">
      <c r="H128" s="2"/>
    </row>
    <row r="129">
      <c r="H129" s="2"/>
    </row>
    <row r="130">
      <c r="H130" s="2"/>
    </row>
    <row r="131">
      <c r="H131" s="2"/>
    </row>
    <row r="132">
      <c r="H132" s="2"/>
    </row>
    <row r="133">
      <c r="H133" s="2"/>
    </row>
    <row r="134">
      <c r="H134" s="2"/>
    </row>
    <row r="135">
      <c r="H135" s="2"/>
    </row>
    <row r="136">
      <c r="H136" s="2"/>
    </row>
    <row r="137">
      <c r="H137" s="2"/>
    </row>
    <row r="138">
      <c r="H138" s="2"/>
    </row>
    <row r="139">
      <c r="H139" s="2"/>
    </row>
    <row r="140">
      <c r="H140" s="2"/>
    </row>
    <row r="141">
      <c r="H141" s="2"/>
    </row>
    <row r="142">
      <c r="H142" s="2"/>
    </row>
    <row r="143">
      <c r="H143" s="2"/>
    </row>
    <row r="144">
      <c r="H144" s="2"/>
    </row>
    <row r="145">
      <c r="H145" s="2"/>
    </row>
    <row r="146">
      <c r="H146" s="2"/>
    </row>
    <row r="147">
      <c r="H147" s="2"/>
    </row>
    <row r="148">
      <c r="H148" s="2"/>
    </row>
    <row r="149">
      <c r="H149" s="2"/>
    </row>
    <row r="150">
      <c r="H150" s="2"/>
    </row>
    <row r="151">
      <c r="H151" s="2"/>
    </row>
    <row r="152">
      <c r="H152" s="2"/>
    </row>
    <row r="153">
      <c r="H153" s="2"/>
    </row>
    <row r="154">
      <c r="H154" s="2"/>
    </row>
    <row r="155">
      <c r="H155" s="2"/>
    </row>
    <row r="156">
      <c r="H156" s="2"/>
    </row>
    <row r="157">
      <c r="H157" s="2"/>
    </row>
    <row r="158">
      <c r="H158" s="2"/>
    </row>
    <row r="159">
      <c r="H159" s="2"/>
    </row>
    <row r="160">
      <c r="H160" s="2"/>
    </row>
  </sheetData>
  <legacyDrawing r:id="rId2"/>
</worksheet>
</file>