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Grocery &amp; Snacks" sheetId="3" r:id="rId4"/>
    <sheet name="Segment - Refrigerated &amp; Frozen" sheetId="4" r:id="rId5"/>
    <sheet name="Segment - International" sheetId="5" r:id="rId6"/>
    <sheet name="Segment - Foodservice" sheetId="6" r:id="rId7"/>
    <sheet name="Income Statement" sheetId="7" r:id="rId8"/>
    <sheet name="Balance Sheet" sheetId="8" r:id="rId9"/>
    <sheet name="Cash Flow Statement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comments1.xml><?xml version="1.0" encoding="utf-8"?>
<comments xmlns="http://schemas.openxmlformats.org/spreadsheetml/2006/main">
  <authors>
    <author>api</author>
  </authors>
  <commentList>
    <comment ref="C32" authorId="0">
      <text>
        <t>CAG_consensus.json | Page 1 | 0.28</t>
      </text>
    </comment>
    <comment ref="C49" authorId="0">
      <text>
        <t>CAG_consensus.json | Page 1 | 2588.02</t>
      </text>
    </comment>
  </commentList>
</comments>
</file>

<file path=xl/sharedStrings.xml><?xml version="1.0" encoding="utf-8"?>
<sst xmlns="http://schemas.openxmlformats.org/spreadsheetml/2006/main" count="708" uniqueCount="396">
  <si>
    <t>Conagra Brands, Inc. | NYSE: CAG</t>
  </si>
  <si>
    <t>Company Model — built by Shortcut</t>
  </si>
  <si>
    <t>$ millions, except per share</t>
  </si>
  <si>
    <t>Period</t>
  </si>
  <si>
    <t>1Q26A</t>
  </si>
  <si>
    <t>2Q26A</t>
  </si>
  <si>
    <t>3Q26A</t>
  </si>
  <si>
    <t>4Q26A</t>
  </si>
  <si>
    <t>FY26A</t>
  </si>
  <si>
    <t>1Q27E</t>
  </si>
  <si>
    <t>Period end</t>
  </si>
  <si>
    <t>Days in period</t>
  </si>
  <si>
    <t>Fiscal year end May 31 | USD | EPS: adjusted diluted common share</t>
  </si>
  <si>
    <t>Cutoff Sep 26 2026 18:44 UTC | Report Sep 30 2026</t>
  </si>
  <si>
    <t>HEADLINE ESTIMATES</t>
  </si>
  <si>
    <t>Estimate</t>
  </si>
  <si>
    <t>CapIQ Sep 24</t>
  </si>
  <si>
    <t>Variance</t>
  </si>
  <si>
    <t>FY27 guide midpoint</t>
  </si>
  <si>
    <t>Revenue • $ millions</t>
  </si>
  <si>
    <t>FY27 guide is annual only; no quarterly revenue, NI or EPS guidance.</t>
  </si>
  <si>
    <t>Net income • adjusted $m</t>
  </si>
  <si>
    <t>Consensus captured Sep 24 (date only), not Sep 26.</t>
  </si>
  <si>
    <t>Adjusted diluted EPS • USD</t>
  </si>
  <si>
    <t>Net income • GAAP $m</t>
  </si>
  <si>
    <t>GAAP diluted EPS • USD</t>
  </si>
  <si>
    <t>P(beat consensus EPS)</t>
  </si>
  <si>
    <t>Confidence</t>
  </si>
  <si>
    <t>medium</t>
  </si>
  <si>
    <t>OVERALL MODEL CHECK</t>
  </si>
  <si>
    <t>Revenue summary</t>
  </si>
  <si>
    <t>Grocery &amp; Snacks</t>
  </si>
  <si>
    <t xml:space="preserve">  Total Y/Y growth</t>
  </si>
  <si>
    <t xml:space="preserve">  Sequential change</t>
  </si>
  <si>
    <t xml:space="preserve">  Share of consolidated sales</t>
  </si>
  <si>
    <t xml:space="preserve">  Organic Y/Y growth</t>
  </si>
  <si>
    <t>Refrigerated &amp; Frozen</t>
  </si>
  <si>
    <t>International</t>
  </si>
  <si>
    <t>Foodservice</t>
  </si>
  <si>
    <t>CONSOLIDATED NET SALES</t>
  </si>
  <si>
    <t>CHECK • segment sales less total</t>
  </si>
  <si>
    <t>International segment (outside U.S.)</t>
  </si>
  <si>
    <t>U.S. domestic / residual sales</t>
  </si>
  <si>
    <t xml:space="preserve">  Sequential sales growth</t>
  </si>
  <si>
    <t>CHECK • sales vs independently supplied historical total</t>
  </si>
  <si>
    <t>CHECK • International + U.S. equals total</t>
  </si>
  <si>
    <t>Segment - Grocery &amp; Snacks</t>
  </si>
  <si>
    <t>VOLUME × PRICE / MIX • company reports rates, not physical units</t>
  </si>
  <si>
    <t>Prior-year revenue comparison base</t>
  </si>
  <si>
    <t>Forecast comparison base H10 links prior-year reported segment revenue C17; historical bases reflect issuer-adjusted comparable organic revenue.</t>
  </si>
  <si>
    <t>Volume / consumption change</t>
  </si>
  <si>
    <t>Volume rate: Y/Y change vs prior 1Q at H36; sequential basis points at row31. Prior-year historical rate not published.</t>
  </si>
  <si>
    <t>Realized price and product mix</t>
  </si>
  <si>
    <t>Price/mix rate: Y/Y change vs prior 1Q at H37; sequential basis points at row32.</t>
  </si>
  <si>
    <t>Organic growth from price and volume</t>
  </si>
  <si>
    <t>Organic rate: Y/Y bp movement at row41 and sequential bp at row33.</t>
  </si>
  <si>
    <t>M&amp;A / divestiture scope</t>
  </si>
  <si>
    <t>Scope rate: Y/Y bp movement at row42 and sequential bp at row34.</t>
  </si>
  <si>
    <t>Foreign exchange impact</t>
  </si>
  <si>
    <t>FX rate: Y/Y bp movement at row43 and sequential bp at row35.</t>
  </si>
  <si>
    <t>53rd-week impact</t>
  </si>
  <si>
    <t>53rd-week rate: Y/Y bp movement at row44; forecast quarter is a normal 13-week quarter.</t>
  </si>
  <si>
    <t>Reported segment sales</t>
  </si>
  <si>
    <t>Segment sales: Y/Y absolute change at row45; sequential absolute change at row38; Y/Y growth at row18.</t>
  </si>
  <si>
    <t xml:space="preserve">  Sales mix of consolidated revenue</t>
  </si>
  <si>
    <t xml:space="preserve">  Organic Y/Y ex scope, FX, week</t>
  </si>
  <si>
    <t>Segment operating profit (GAAP)</t>
  </si>
  <si>
    <t>Segment operating margin</t>
  </si>
  <si>
    <t>Operating margin sequential bps row39; Q1 Y/Y bps row24.</t>
  </si>
  <si>
    <t xml:space="preserve">  Margin Δ (bp): sequential; H Y/Y</t>
  </si>
  <si>
    <t xml:space="preserve">  Organic growth (derived)</t>
  </si>
  <si>
    <t xml:space="preserve">  M&amp;A / scope</t>
  </si>
  <si>
    <t xml:space="preserve">  FX</t>
  </si>
  <si>
    <t xml:space="preserve">  53rd-week calendar effect</t>
  </si>
  <si>
    <t xml:space="preserve">  Total reported Y/Y change</t>
  </si>
  <si>
    <t>VOLUME &amp; PRICE/MIX DRIVER MOVEMENTS • bp</t>
  </si>
  <si>
    <t xml:space="preserve">  Volume rate: sequential change, bp</t>
  </si>
  <si>
    <t xml:space="preserve">  Price/mix rate: sequential change, bp</t>
  </si>
  <si>
    <t xml:space="preserve">  Organic growth rate: sequential change, bp</t>
  </si>
  <si>
    <t xml:space="preserve">  Scope rate: sequential change, bp</t>
  </si>
  <si>
    <t xml:space="preserve">  FX rate: sequential change, bp</t>
  </si>
  <si>
    <t xml:space="preserve">  Volume rate: change vs prior 1Q, bp</t>
  </si>
  <si>
    <t xml:space="preserve">  Price/mix rate: change vs prior 1Q, bp</t>
  </si>
  <si>
    <t xml:space="preserve">  Reported sales: absolute sequential change</t>
  </si>
  <si>
    <t xml:space="preserve">  Segment operating margin: sequential change, bp</t>
  </si>
  <si>
    <t xml:space="preserve">  Organic rate Y/Y movement, bp</t>
  </si>
  <si>
    <t xml:space="preserve">  Scope rate Y/Y movement, bp</t>
  </si>
  <si>
    <t xml:space="preserve">  FX rate Y/Y movement, bp</t>
  </si>
  <si>
    <t xml:space="preserve">  Calendar rate Y/Y movement, bp</t>
  </si>
  <si>
    <t xml:space="preserve">  Sales absolute Y/Y change</t>
  </si>
  <si>
    <t>Segment - Refrigerated &amp; Frozen</t>
  </si>
  <si>
    <t>Segment - International</t>
  </si>
  <si>
    <t>Segment - Foodservice</t>
  </si>
  <si>
    <t>Income Statement</t>
  </si>
  <si>
    <t>NET SALES</t>
  </si>
  <si>
    <t xml:space="preserve">  Sales Y/Y growth</t>
  </si>
  <si>
    <t>Cost of goods sold</t>
  </si>
  <si>
    <t>GROSS PROFIT</t>
  </si>
  <si>
    <t xml:space="preserve">  GAAP gross margin</t>
  </si>
  <si>
    <t>Selling, general &amp; administrative</t>
  </si>
  <si>
    <t>Goodwill impairment</t>
  </si>
  <si>
    <t>Brand / other intangible impairment</t>
  </si>
  <si>
    <t>Loss (gain) on divestitures</t>
  </si>
  <si>
    <t>OPERATING PROFIT / (LOSS)</t>
  </si>
  <si>
    <t xml:space="preserve">  GAAP operating margin</t>
  </si>
  <si>
    <t>Pension non-service income</t>
  </si>
  <si>
    <t>Q1 pension $6m is analyst assumption vs FY27 company guide ~$25m; no explicit Q1 guide.</t>
  </si>
  <si>
    <t>Interest expense, net</t>
  </si>
  <si>
    <t>Equity-method earnings</t>
  </si>
  <si>
    <t>Income / (loss) before taxes</t>
  </si>
  <si>
    <t>Income tax expense / (benefit)</t>
  </si>
  <si>
    <t>NET INCOME • GAAP</t>
  </si>
  <si>
    <t>Weighted diluted shares, millions</t>
  </si>
  <si>
    <t>GAAP DILUTED EPS</t>
  </si>
  <si>
    <t xml:space="preserve">  GAAP EPS as supplied by CapIQ</t>
  </si>
  <si>
    <t>CHECK • GAAP EPS share reconciliation</t>
  </si>
  <si>
    <t>GAAP → ADJUSTED / NORMALIZED BRIDGE</t>
  </si>
  <si>
    <t>Goodwill impairment, net of tax¹</t>
  </si>
  <si>
    <t>¹ Issuer discloses only combined goodwill+brand AFTER-tax impact; rows31:32 allocate that sourced combined total in proportion to separately reported GAAP pretax charges in rows15:16. This is an analyst allocation, not individually published after-tax figures.</t>
  </si>
  <si>
    <t>Brand impairment, net of tax¹</t>
  </si>
  <si>
    <t>Loss / (gain) on divestiture, net of tax</t>
  </si>
  <si>
    <t>Restructuring, net of tax</t>
  </si>
  <si>
    <t>Unusual tax items, net of tax</t>
  </si>
  <si>
    <t>Subtotal: other adjustments below</t>
  </si>
  <si>
    <t>NET INCOME • ADJUSTED</t>
  </si>
  <si>
    <t>ADJUSTED DILUTED EPS • consensus basis</t>
  </si>
  <si>
    <t xml:space="preserve">  Supplied normalized EPS from CapIQ</t>
  </si>
  <si>
    <t xml:space="preserve">  Adjusted operating margin (assumption)</t>
  </si>
  <si>
    <t xml:space="preserve">  Normalized EPS less CapIQ actual</t>
  </si>
  <si>
    <t>Gross margin assumption, GAAP</t>
  </si>
  <si>
    <t>1Q gross margin 22.3% vs Capital IQ 22.25% and prior-year GAAP 24.3%; forecast assumption.</t>
  </si>
  <si>
    <t>Adjusted SG&amp;A assumption • $m</t>
  </si>
  <si>
    <t>Forecast adjusted SG&amp;A $345.8m, raised vs FY26 Q1 $332.8m on volume/cost pressures.</t>
  </si>
  <si>
    <t>Restructuring expense assumption • $m</t>
  </si>
  <si>
    <t>Restructuring $10m pretax estimated; excluded on issuer adjusted/normalized basis.</t>
  </si>
  <si>
    <t>Effective income-tax rate assumption</t>
  </si>
  <si>
    <t>OTHER NORMALIZATION DETAIL</t>
  </si>
  <si>
    <t>Legal recoveries, net of tax</t>
  </si>
  <si>
    <t>Hedge gains / losses, net of tax</t>
  </si>
  <si>
    <t>JV / Ardent adjustments, net tax</t>
  </si>
  <si>
    <t>CEO separation costs, net of tax</t>
  </si>
  <si>
    <t>Pension settlement, net of tax</t>
  </si>
  <si>
    <t>Acquisition costs, net of tax</t>
  </si>
  <si>
    <t>Environmental charges, net of tax</t>
  </si>
  <si>
    <t>Balance Sheet</t>
  </si>
  <si>
    <t>Cash and cash equivalents</t>
  </si>
  <si>
    <t>Other assets • itemized below</t>
  </si>
  <si>
    <t>TOTAL ASSETS</t>
  </si>
  <si>
    <t>TOTAL LIABILITIES • detail below</t>
  </si>
  <si>
    <t>COMMON STOCKHOLDERS EQUITY</t>
  </si>
  <si>
    <t>LIABILITIES + EQUITY</t>
  </si>
  <si>
    <t>CHECK • assets - liabilities - equity</t>
  </si>
  <si>
    <t>Net noncash asset movement</t>
  </si>
  <si>
    <t>ASSET DETAIL</t>
  </si>
  <si>
    <t>Trade receivables, net</t>
  </si>
  <si>
    <t>Inventories</t>
  </si>
  <si>
    <t>Prepaid and other current assets</t>
  </si>
  <si>
    <t>Property, plant &amp; equipment, net</t>
  </si>
  <si>
    <t>Goodwill</t>
  </si>
  <si>
    <t>Brands and other intangible assets</t>
  </si>
  <si>
    <t>Other noncurrent assets</t>
  </si>
  <si>
    <t>Noncurrent held-for-sale assets</t>
  </si>
  <si>
    <t>LIABILITY DETAIL</t>
  </si>
  <si>
    <t>Notes payable / short debt</t>
  </si>
  <si>
    <t>Current long-term debt</t>
  </si>
  <si>
    <t>Accounts and other payables</t>
  </si>
  <si>
    <t>Accrued payroll</t>
  </si>
  <si>
    <t>Other accrued liabilities</t>
  </si>
  <si>
    <t>Senior long-term debt</t>
  </si>
  <si>
    <t>Deferred tax liabilities</t>
  </si>
  <si>
    <t>Other noncurrent liabilities</t>
  </si>
  <si>
    <t>Cash Flow Statement</t>
  </si>
  <si>
    <t>GAAP net income</t>
  </si>
  <si>
    <t>Depreciation and amortization</t>
  </si>
  <si>
    <t>Impairment and other noncash / working capital</t>
  </si>
  <si>
    <t>NET CASH FROM OPERATIONS</t>
  </si>
  <si>
    <t>Capital expenditures / PP&amp;E purchases</t>
  </si>
  <si>
    <t>Divestitures, acquisitions and other investing</t>
  </si>
  <si>
    <t>NET CASH FROM INVESTING</t>
  </si>
  <si>
    <t>Debt borrowing / (repayment)</t>
  </si>
  <si>
    <t>Cash dividends paid</t>
  </si>
  <si>
    <t>Share repurchases and other financing</t>
  </si>
  <si>
    <t>NET CASH FROM FINANCING</t>
  </si>
  <si>
    <t>FX / held-for-sale cash reconciliation</t>
  </si>
  <si>
    <t>NET CHANGE IN CASH</t>
  </si>
  <si>
    <t>Cash at beginning of quarter / year</t>
  </si>
  <si>
    <t>CASH AT END OF PERIOD</t>
  </si>
  <si>
    <t>CHECK • cash vs Balance Sheet</t>
  </si>
  <si>
    <t>CFO less capital expenditures (FCF)</t>
  </si>
  <si>
    <t>Share Count</t>
  </si>
  <si>
    <t>Opening common shares outstanding (millions)</t>
  </si>
  <si>
    <t>Share buybacks (millions; decrease)</t>
  </si>
  <si>
    <t>Employee awards / issuance (millions)</t>
  </si>
  <si>
    <t>Basic weighted-average shares (millions)</t>
  </si>
  <si>
    <t>Diluted weighted-average shares (millions)</t>
  </si>
  <si>
    <t>Dilutive awards included (millions)</t>
  </si>
  <si>
    <t>BUYBACKS • $ millions</t>
  </si>
  <si>
    <t>Share count behind normalized EPS</t>
  </si>
  <si>
    <t>GAAP loss periods: anti-dilutive awards excluded</t>
  </si>
  <si>
    <t>Forecast cash dividend • USD/share (announced)</t>
  </si>
  <si>
    <t>Guidance</t>
  </si>
  <si>
    <t>Issued</t>
  </si>
  <si>
    <t>Applies</t>
  </si>
  <si>
    <t>Metric</t>
  </si>
  <si>
    <t>Low</t>
  </si>
  <si>
    <t>High</t>
  </si>
  <si>
    <t>Midpoint</t>
  </si>
  <si>
    <t>Reported actual</t>
  </si>
  <si>
    <t>Beat / (miss)</t>
  </si>
  <si>
    <t>FY2027</t>
  </si>
  <si>
    <t>Organic revenue growth</t>
  </si>
  <si>
    <t>No discrete first-quarter FY2027 guidance issued as of cutoff.</t>
  </si>
  <si>
    <t>Adjusted operating margin</t>
  </si>
  <si>
    <t>Adjusted EPS • USD</t>
  </si>
  <si>
    <t>Equity method income $m</t>
  </si>
  <si>
    <t>Pension income $m</t>
  </si>
  <si>
    <t>Net interest $m</t>
  </si>
  <si>
    <t>Adjusted tax rate</t>
  </si>
  <si>
    <t>Capital spending $m</t>
  </si>
  <si>
    <t>Free cash flow conversion &gt;</t>
  </si>
  <si>
    <t>Conversion is &gt;90%, not a point estimate.</t>
  </si>
  <si>
    <t>Year-end net leverage ~</t>
  </si>
  <si>
    <t>FY2026</t>
  </si>
  <si>
    <t>Quarterly allocation denominator (analyst assumption)</t>
  </si>
  <si>
    <t>Sources</t>
  </si>
  <si>
    <t>ID</t>
  </si>
  <si>
    <t>Publication</t>
  </si>
  <si>
    <t>Publisher</t>
  </si>
  <si>
    <t>URL or file</t>
  </si>
  <si>
    <t>What it feeds</t>
  </si>
  <si>
    <t>S01</t>
  </si>
  <si>
    <t>Conagra Brands</t>
  </si>
  <si>
    <t>Open S01</t>
  </si>
  <si>
    <t>FY26/FY27 outlook; segment bridge</t>
  </si>
  <si>
    <t>S02</t>
  </si>
  <si>
    <t>SEC 10-K</t>
  </si>
  <si>
    <t>Open S02</t>
  </si>
  <si>
    <t>FY26 annual statements and four segments</t>
  </si>
  <si>
    <t>S03</t>
  </si>
  <si>
    <t>SEC 10-Q</t>
  </si>
  <si>
    <t>Open S03</t>
  </si>
  <si>
    <t>1Q26 financials, shares and balance</t>
  </si>
  <si>
    <t>S04</t>
  </si>
  <si>
    <t>Open S04</t>
  </si>
  <si>
    <t>2Q26 financials and balance</t>
  </si>
  <si>
    <t>S05</t>
  </si>
  <si>
    <t>Open S05</t>
  </si>
  <si>
    <t>3Q26 financials and balance</t>
  </si>
  <si>
    <t>S06</t>
  </si>
  <si>
    <t>Open S06</t>
  </si>
  <si>
    <t>1Q26 segment sales and drivers</t>
  </si>
  <si>
    <t>S07</t>
  </si>
  <si>
    <t>Open S07</t>
  </si>
  <si>
    <t>2Q26 segment and EPS bridge</t>
  </si>
  <si>
    <t>S08</t>
  </si>
  <si>
    <t>Open S08</t>
  </si>
  <si>
    <t>3Q26 segment and EPS bridge</t>
  </si>
  <si>
    <t>S09</t>
  </si>
  <si>
    <t>Zacks / Yahoo</t>
  </si>
  <si>
    <t>Open S09</t>
  </si>
  <si>
    <t>Estimate revisions and positive ESP</t>
  </si>
  <si>
    <t>S10</t>
  </si>
  <si>
    <t>General Mills</t>
  </si>
  <si>
    <t>Open S10</t>
  </si>
  <si>
    <t>Food peer retail weakness, cost inflation</t>
  </si>
  <si>
    <t>S11</t>
  </si>
  <si>
    <t>Campbell’s</t>
  </si>
  <si>
    <t>Open S11</t>
  </si>
  <si>
    <t>Food peer sales softness and inflation</t>
  </si>
  <si>
    <t>S12</t>
  </si>
  <si>
    <t>US BLS</t>
  </si>
  <si>
    <t>Open S12</t>
  </si>
  <si>
    <t>August food-at-home inflation</t>
  </si>
  <si>
    <t>S13</t>
  </si>
  <si>
    <t>S&amp;P Capital IQ</t>
  </si>
  <si>
    <t>CAG_consensus.json</t>
  </si>
  <si>
    <t>Inputs!B23:C76; Cover consensus</t>
  </si>
  <si>
    <t>S14</t>
  </si>
  <si>
    <t>CAG_history.csv</t>
  </si>
  <si>
    <t>Inputs!B13:I19; prior actual EPS/sales</t>
  </si>
  <si>
    <t>Input audit • consensus capture is Sep 24 2026, date only, NOT Sep 26.</t>
  </si>
  <si>
    <t>CAG_history.csv SHA256</t>
  </si>
  <si>
    <t>79882a81782c3c9143c7aa1cb602e6e01da96977e8cf8f5a5ce6b9d69039202f</t>
  </si>
  <si>
    <t>CAG_consensus.json SHA256</t>
  </si>
  <si>
    <t>51accaa06c32350f48fc02d004a3254905eb0838cb4ead8c63825b49970bf413</t>
  </si>
  <si>
    <t>Geo tab — omitted</t>
  </si>
  <si>
    <t>FY26 10-K reports International segment; no independent multi-country revenue split. International and U.S. residual on Revenue summary!31:32.</t>
  </si>
  <si>
    <t>Unit ladders — unavailable</t>
  </si>
  <si>
    <t>FY26 10-K and quarterly releases do not disclose actual physical units, customers, churn or ASP. Do not invent.</t>
  </si>
  <si>
    <t>Issuer quarter-end convention</t>
  </si>
  <si>
    <t>Expected issuer Q1 FY27 ends Aug 30; CapIQ Aug 31 is a month-end proxy.</t>
  </si>
  <si>
    <t>FY27 guidance</t>
  </si>
  <si>
    <t>Guidance applies to full FY27 only; no quarter-specific midpoint is available.</t>
  </si>
  <si>
    <t>BS forecast method</t>
  </si>
  <si>
    <t>Receivables absorb forecast non-cash / working-capital CFO residual; PP&amp;E rolls from forecast capital spending less D&amp;A. Debt and equity independently roll from financing and profit.</t>
  </si>
  <si>
    <t>Segment rate changes</t>
  </si>
  <si>
    <t>D–F movement rows compare adjacent quarters; H36–37 compare Q1 FY27 versus Q1 FY26. Underlying Q1 FY25 driver rates were not independently disclosed.</t>
  </si>
  <si>
    <t>Reported sales organic bridge</t>
  </si>
  <si>
    <t>FY26 53rd week is separately shown on every segment tab at row 28; underlying organic % divides Y/Y by scope, FX and the 53rd-week factor to avoid fictitious organic growth.</t>
  </si>
  <si>
    <t>Original CSV column names</t>
  </si>
  <si>
    <t>Input period columns C:H use standard 14-character widths; original eight CSV headers are transcribed verbatim at Inputs!J13:J20 next to concise aliases B13:I13. Numeric input cells are unchanged.</t>
  </si>
  <si>
    <t>Inputs | original S&amp;P Capital IQ and issuer filing inputs</t>
  </si>
  <si>
    <t>S&amp;P Capital IQ | source inputs — original history and full summary row</t>
  </si>
  <si>
    <t>Captured date (date only)</t>
  </si>
  <si>
    <t>History CSV SHA256</t>
  </si>
  <si>
    <t>Consensus JSON SHA256</t>
  </si>
  <si>
    <t>CAPIQ HISTORY • original columns B:I</t>
  </si>
  <si>
    <t>period_end_date</t>
  </si>
  <si>
    <t>norm_est</t>
  </si>
  <si>
    <t>norm_actual</t>
  </si>
  <si>
    <t>GAAP_est</t>
  </si>
  <si>
    <t>GAAP_actual</t>
  </si>
  <si>
    <t>revenue_est_m</t>
  </si>
  <si>
    <t>revenue_actual_m</t>
  </si>
  <si>
    <t>report_date</t>
  </si>
  <si>
    <t>B original: period_end_date</t>
  </si>
  <si>
    <t>C original: eps_normalized_consensus</t>
  </si>
  <si>
    <t>D original: eps_normalized_actual</t>
  </si>
  <si>
    <t>E original: eps_gaap_consensus</t>
  </si>
  <si>
    <t>F original: eps_gaap_actual</t>
  </si>
  <si>
    <t>G original: revenue_m_consensus</t>
  </si>
  <si>
    <t>H original: revenue_m_actual</t>
  </si>
  <si>
    <t xml:space="preserve">I original: report_date_x000D_</t>
  </si>
  <si>
    <t>Comparable organic base FY25 Q1</t>
  </si>
  <si>
    <t>Refrig &amp; Frozen</t>
  </si>
  <si>
    <t>CAPIQ SUMMARY • all supplied fields (target prices retained but not used)</t>
  </si>
  <si>
    <t>ticker</t>
  </si>
  <si>
    <t>CAG</t>
  </si>
  <si>
    <t>company</t>
  </si>
  <si>
    <t>Conagra Brands, Inc.</t>
  </si>
  <si>
    <t>exchange_ticker</t>
  </si>
  <si>
    <t>NYSE:CAG</t>
  </si>
  <si>
    <t>capiq_company_id</t>
  </si>
  <si>
    <t>analyst_count</t>
  </si>
  <si>
    <t>fiscal_year_end</t>
  </si>
  <si>
    <t>May-31</t>
  </si>
  <si>
    <t>forward_quarter_label</t>
  </si>
  <si>
    <t>FQ1 2027 - Aug 2026</t>
  </si>
  <si>
    <t>expected_report_date</t>
  </si>
  <si>
    <t>eps_normalized_mean</t>
  </si>
  <si>
    <t>eps_normalized_median</t>
  </si>
  <si>
    <t>eps_normalized_high</t>
  </si>
  <si>
    <t>eps_normalized_low</t>
  </si>
  <si>
    <t>Reported total assets by quarter</t>
  </si>
  <si>
    <t>eps_normalized_std_dev</t>
  </si>
  <si>
    <t>Adjusted NI as issuer reports</t>
  </si>
  <si>
    <t>eps_normalized_n_est</t>
  </si>
  <si>
    <t>1Q26</t>
  </si>
  <si>
    <t>eps_normalized_guidance</t>
  </si>
  <si>
    <t>2Q26</t>
  </si>
  <si>
    <t>eps_normalized_guidance_low</t>
  </si>
  <si>
    <t>3Q26</t>
  </si>
  <si>
    <t>eps_normalized_guidance_high</t>
  </si>
  <si>
    <t>4Q26</t>
  </si>
  <si>
    <t>eps_gaap_mean</t>
  </si>
  <si>
    <t>FY26</t>
  </si>
  <si>
    <t>eps_gaap_median</t>
  </si>
  <si>
    <t>eps_gaap_high</t>
  </si>
  <si>
    <t>eps_gaap_low</t>
  </si>
  <si>
    <t>Prior-year comparable reported consolidated net sales</t>
  </si>
  <si>
    <t>eps_gaap_std_dev</t>
  </si>
  <si>
    <t>Issuer-combined post-tax goodwill+brand impairment (FY26)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</si>
  <si>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</si>
  <si>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</si>
  <si>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</si>
  <si>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</si>
  <si>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</si>
  <si>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</si>
  <si>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</si>
  <si>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</si>
  <si>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</si>
  <si>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Reported total liabilities by quarter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</si>
  <si>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</si>
  <si>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</si>
  <si>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</si>
  <si>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</si>
  <si>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</si>
  <si>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</si>
  <si>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</si>
  <si>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</si>
  <si>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</si>
  <si>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</si>
  <si>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</si>
  <si>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</si>
  <si>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</si>
  <si>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</si>
  <si>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</si>
  <si>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</si>
  <si>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</si>
  <si>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</si>
  <si>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</si>
  <si>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</si>
  <si>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</si>
  <si>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</si>
  <si>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notes</t>
  </si>
  <si>
    <t>Results before the 9:30 a.m. Q&amp;A on Sep 30. FY2027 ends May-31-2027; the upcoming quarter is FQ1 2027 (Aug 2026). 52wk range 20.32/12.53. GAAP EPS actuals for Nov-2025 and May-2026 are large negatives from impairments, so those GAAP surprises are NM.</t>
  </si>
</sst>
</file>

<file path=xl/styles.xml><?xml version="1.0" encoding="utf-8"?>
<styleSheet xmlns="http://schemas.openxmlformats.org/spreadsheetml/2006/main">
  <numFmts count="6">
    <numFmt numFmtId="164" formatCode="#,##0.0_);(#,##0.0);–_)"/>
    <numFmt numFmtId="165" formatCode="yyyy-mm-dd"/>
    <numFmt numFmtId="166" formatCode="$0.00"/>
    <numFmt numFmtId="167" formatCode="0.0%_);(0.0%);–_)"/>
    <numFmt numFmtId="168" formatCode="0.0&quot;x&quot;"/>
    <numFmt numFmtId="169" formatCode="#,##0.0"/>
  </numFmts>
  <fonts count="10">
    <font>
      <sz val="11"/>
      <name val="Calibri"/>
    </font>
    <font>
      <b val="0"/>
      <i val="0"/>
      <strike val="0"/>
      <sz val="11"/>
      <color rgb="FF000000"/>
      <name val="Calibri"/>
    </font>
    <font>
      <b val="0"/>
      <i val="0"/>
      <strike val="0"/>
      <sz val="11"/>
      <color rgb="FF006100"/>
      <name val="Calibri"/>
    </font>
    <font>
      <b val="0"/>
      <i val="0"/>
      <strike val="0"/>
      <sz val="11"/>
      <color rgb="FF0000FF"/>
      <name val="Calibri"/>
    </font>
    <font>
      <b/>
      <i val="0"/>
      <strike val="0"/>
      <sz val="11"/>
      <color rgb="FF000000"/>
      <name val="Calibri"/>
    </font>
    <font>
      <b/>
      <i val="0"/>
      <strike val="0"/>
      <sz val="11"/>
      <color rgb="FF006100"/>
      <name val="Calibri"/>
    </font>
    <font>
      <b/>
      <i val="0"/>
      <strike val="0"/>
      <sz val="11"/>
      <color rgb="FF0000FF"/>
      <name val="Calibri"/>
    </font>
    <font>
      <b val="0"/>
      <i/>
      <strike val="0"/>
      <sz val="11"/>
      <color rgb="FF006100"/>
      <name val="Calibri"/>
    </font>
    <font>
      <b val="0"/>
      <i/>
      <strike val="0"/>
      <sz val="11"/>
      <color rgb="FF000000"/>
      <name val="Calibri"/>
    </font>
    <font>
      <b val="0"/>
      <i/>
      <strike val="0"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6FC"/>
      </patternFill>
    </fill>
    <fill>
      <patternFill patternType="solid">
        <fgColor rgb="FFE9EDF1"/>
      </patternFill>
    </fill>
  </fills>
  <borders count="4">
    <border>
      <left/>
      <right/>
      <top/>
      <bottom/>
      <diagonal/>
    </border>
    <border>
      <top style="thin">
        <color rgb="FFC3CBD3"/>
      </top>
      <bottom style="thin">
        <color rgb="FFC3CBD3"/>
      </bottom>
    </border>
    <border>
      <top style="thin">
        <color rgb="FFAAB6C3"/>
      </top>
    </border>
    <border>
      <top style="thin">
        <color rgb="FFB0BEC9"/>
      </top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/>
      <protection locked="1" hidden="0"/>
    </xf>
    <xf numFmtId="0" fontId="3" fillId="3" borderId="1" xfId="0" applyFont="1" applyFill="1" applyBorder="1" applyAlignment="1" applyProtection="1">
      <alignment horizontal="general" vertical="bottom"/>
      <protection locked="1" hidden="0"/>
    </xf>
    <xf numFmtId="165" fontId="3" fillId="3" borderId="1" xfId="0" applyNumberFormat="1" applyFont="1" applyFill="1" applyBorder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166" fontId="2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4" fontId="3" fillId="2" borderId="0" xfId="0" applyNumberFormat="1" applyFont="1" applyFill="1" applyAlignment="1" applyProtection="1">
      <alignment horizontal="general" vertical="bottom"/>
      <protection locked="1" hidden="0"/>
    </xf>
    <xf numFmtId="168" fontId="1" fillId="2" borderId="0" xfId="0" applyNumberFormat="1" applyFont="1" applyFill="1" applyAlignment="1" applyProtection="1">
      <alignment horizontal="general" vertical="bottom"/>
      <protection locked="1" hidden="0"/>
    </xf>
    <xf numFmtId="167" fontId="3" fillId="0" borderId="0" xfId="0" applyNumberFormat="1" applyFont="1" applyFill="1" applyAlignment="1" applyProtection="1">
      <alignment horizontal="general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4" fillId="3" borderId="0" xfId="0" applyFont="1" applyFill="1" applyAlignment="1" applyProtection="1">
      <alignment horizontal="general" vertical="bottom"/>
      <protection locked="1" hidden="0"/>
    </xf>
    <xf numFmtId="166" fontId="3" fillId="0" borderId="0" xfId="0" applyNumberFormat="1" applyFont="1" applyFill="1" applyAlignment="1" applyProtection="1">
      <alignment horizontal="general" vertical="bottom"/>
      <protection locked="1" hidden="0"/>
    </xf>
    <xf numFmtId="167" fontId="1" fillId="2" borderId="0" xfId="0" applyNumberFormat="1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4" fontId="5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general" vertical="bottom"/>
      <protection locked="1" hidden="0"/>
    </xf>
    <xf numFmtId="164" fontId="6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4" fillId="2" borderId="2" xfId="0" applyNumberFormat="1" applyFont="1" applyFill="1" applyBorder="1" applyAlignment="1" applyProtection="1">
      <alignment horizontal="general" vertical="bottom"/>
      <protection locked="1" hidden="0"/>
    </xf>
    <xf numFmtId="0" fontId="4" fillId="0" borderId="2" xfId="0" applyFont="1" applyFill="1" applyBorder="1" applyAlignment="1" applyProtection="1">
      <alignment horizontal="general" vertical="bottom"/>
      <protection locked="1" hidden="0"/>
    </xf>
    <xf numFmtId="164" fontId="4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5" fillId="2" borderId="2" xfId="0" applyNumberFormat="1" applyFont="1" applyFill="1" applyBorder="1" applyAlignment="1" applyProtection="1">
      <alignment horizontal="general" vertical="bottom"/>
      <protection locked="1" hidden="0"/>
    </xf>
    <xf numFmtId="167" fontId="7" fillId="2" borderId="0" xfId="0" applyNumberFormat="1" applyFont="1" applyFill="1" applyAlignment="1" applyProtection="1">
      <alignment horizontal="general" vertical="bottom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67" fontId="7" fillId="0" borderId="0" xfId="0" applyNumberFormat="1" applyFont="1" applyFill="1" applyAlignment="1" applyProtection="1">
      <alignment horizontal="general" vertical="bottom"/>
      <protection locked="1" hidden="0"/>
    </xf>
    <xf numFmtId="167" fontId="9" fillId="0" borderId="0" xfId="0" applyNumberFormat="1" applyFont="1" applyFill="1" applyAlignment="1" applyProtection="1">
      <alignment horizontal="general" vertical="bottom"/>
      <protection locked="1" hidden="0"/>
    </xf>
    <xf numFmtId="167" fontId="8" fillId="2" borderId="0" xfId="0" applyNumberFormat="1" applyFont="1" applyFill="1" applyAlignment="1" applyProtection="1">
      <alignment horizontal="general" vertical="bottom"/>
      <protection locked="1" hidden="0"/>
    </xf>
    <xf numFmtId="168" fontId="1" fillId="0" borderId="0" xfId="0" applyNumberFormat="1" applyFont="1" applyFill="1" applyAlignment="1" applyProtection="1">
      <alignment horizontal="general" vertical="bottom"/>
      <protection locked="1" hidden="0"/>
    </xf>
    <xf numFmtId="167" fontId="9" fillId="2" borderId="0" xfId="0" applyNumberFormat="1" applyFont="1" applyFill="1" applyAlignment="1" applyProtection="1">
      <alignment horizontal="general" vertical="bottom"/>
      <protection locked="1" hidden="0"/>
    </xf>
    <xf numFmtId="168" fontId="3" fillId="0" borderId="0" xfId="0" applyNumberFormat="1" applyFont="1" applyFill="1" applyAlignment="1" applyProtection="1">
      <alignment horizontal="general" vertical="bottom"/>
      <protection locked="1" hidden="0"/>
    </xf>
    <xf numFmtId="169" fontId="1" fillId="2" borderId="0" xfId="0" applyNumberFormat="1" applyFont="1" applyFill="1" applyAlignment="1" applyProtection="1">
      <alignment horizontal="general" vertical="bottom"/>
      <protection locked="1" hidden="0"/>
    </xf>
    <xf numFmtId="166" fontId="1" fillId="2" borderId="0" xfId="0" applyNumberFormat="1" applyFont="1" applyFill="1" applyAlignment="1" applyProtection="1">
      <alignment horizontal="general" vertical="bottom"/>
      <protection locked="1" hidden="0"/>
    </xf>
    <xf numFmtId="167" fontId="3" fillId="2" borderId="0" xfId="0" applyNumberFormat="1" applyFont="1" applyFill="1" applyAlignment="1" applyProtection="1">
      <alignment horizontal="general" vertical="bottom"/>
      <protection locked="1" hidden="0"/>
    </xf>
    <xf numFmtId="169" fontId="1" fillId="0" borderId="0" xfId="0" applyNumberFormat="1" applyFont="1" applyFill="1" applyAlignment="1" applyProtection="1">
      <alignment horizontal="general" vertical="bottom"/>
      <protection locked="1" hidden="0"/>
    </xf>
    <xf numFmtId="164" fontId="4" fillId="0" borderId="3" xfId="0" applyNumberFormat="1" applyFont="1" applyFill="1" applyBorder="1" applyAlignment="1" applyProtection="1">
      <alignment horizontal="general" vertical="bottom"/>
      <protection locked="1" hidden="0"/>
    </xf>
    <xf numFmtId="166" fontId="5" fillId="0" borderId="3" xfId="0" applyNumberFormat="1" applyFont="1" applyFill="1" applyBorder="1" applyAlignment="1" applyProtection="1">
      <alignment horizontal="general" vertical="bottom"/>
      <protection locked="1" hidden="0"/>
    </xf>
    <xf numFmtId="166" fontId="3" fillId="2" borderId="0" xfId="0" applyNumberFormat="1" applyFont="1" applyFill="1" applyAlignment="1" applyProtection="1">
      <alignment horizontal="general" vertical="bottom"/>
      <protection locked="1" hidden="0"/>
    </xf>
    <xf numFmtId="164" fontId="5" fillId="0" borderId="3" xfId="0" applyNumberFormat="1" applyFont="1" applyFill="1" applyBorder="1" applyAlignment="1" applyProtection="1">
      <alignment horizontal="general" vertical="bottom"/>
      <protection locked="1" hidden="0"/>
    </xf>
    <xf numFmtId="166" fontId="4" fillId="0" borderId="3" xfId="0" applyNumberFormat="1" applyFont="1" applyFill="1" applyBorder="1" applyAlignment="1" applyProtection="1">
      <alignment horizontal="general" vertical="bottom"/>
      <protection locked="1" hidden="0"/>
    </xf>
    <xf numFmtId="0" fontId="4" fillId="0" borderId="3" xfId="0" applyFont="1" applyFill="1" applyBorder="1" applyAlignment="1" applyProtection="1">
      <alignment horizontal="general" vertical="bottom"/>
      <protection locked="1" hidden="0"/>
    </xf>
    <xf numFmtId="164" fontId="4" fillId="2" borderId="3" xfId="0" applyNumberFormat="1" applyFont="1" applyFill="1" applyBorder="1" applyAlignment="1" applyProtection="1">
      <alignment horizontal="general" vertical="bottom"/>
      <protection locked="1" hidden="0"/>
    </xf>
    <xf numFmtId="164" fontId="5" fillId="2" borderId="3" xfId="0" applyNumberFormat="1" applyFont="1" applyFill="1" applyBorder="1" applyAlignment="1" applyProtection="1">
      <alignment horizontal="general" vertical="bottom"/>
      <protection locked="1" hidden="0"/>
    </xf>
    <xf numFmtId="166" fontId="4" fillId="2" borderId="3" xfId="0" applyNumberFormat="1" applyFont="1" applyFill="1" applyBorder="1" applyAlignment="1" applyProtection="1">
      <alignment horizontal="general" vertical="bottom"/>
      <protection locked="1" hidden="0"/>
    </xf>
    <xf numFmtId="166" fontId="5" fillId="2" borderId="3" xfId="0" applyNumberFormat="1" applyFont="1" applyFill="1" applyBorder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85725</xdr:colOff>
      <xdr:row>0</xdr:row>
      <xdr:rowOff>76200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agrabrands.com/news-room/news-conagra-brands-reports-fourth-quarter-and-full-year-results-prn-122958" TargetMode="External"/><Relationship Id="rId2" Type="http://schemas.openxmlformats.org/officeDocument/2006/relationships/hyperlink" Target="https://www.sec.gov/Archives/edgar/data/23217/000110465926083905/tmb-20260531x10k.htm" TargetMode="External"/><Relationship Id="rId3" Type="http://schemas.openxmlformats.org/officeDocument/2006/relationships/hyperlink" Target="https://www.sec.gov/Archives/edgar/data/23217/000110465925095651/tmb-20250824x10q.htm" TargetMode="External"/><Relationship Id="rId4" Type="http://schemas.openxmlformats.org/officeDocument/2006/relationships/hyperlink" Target="https://www.sec.gov/Archives/edgar/data/23217/000110465925123200/tmb-20251123x10q.htm" TargetMode="External"/><Relationship Id="rId5" Type="http://schemas.openxmlformats.org/officeDocument/2006/relationships/hyperlink" Target="https://www.sec.gov/Archives/edgar/data/23217/000110465926038548/tmb-20260222x10q.htm" TargetMode="External"/><Relationship Id="rId6" Type="http://schemas.openxmlformats.org/officeDocument/2006/relationships/hyperlink" Target="https://www.conagrabrands.com/news-room/news-conagra-brands-reports-first-quarter-results-prn-122936" TargetMode="External"/><Relationship Id="rId7" Type="http://schemas.openxmlformats.org/officeDocument/2006/relationships/hyperlink" Target="https://www.conagrabrands.com/news-room/news-conagra-brands-reports-second-quarter-results-prn-122942" TargetMode="External"/><Relationship Id="rId8" Type="http://schemas.openxmlformats.org/officeDocument/2006/relationships/hyperlink" Target="https://www.conagrabrands.com/news-room/news-conagra-brands-reports-third-quarter-results-prn-122950" TargetMode="External"/><Relationship Id="rId9" Type="http://schemas.openxmlformats.org/officeDocument/2006/relationships/hyperlink" Target="https://finance.yahoo.com/markets/stocks/articles/earnings-preview-conagra-brands-cag-140002756.html" TargetMode="External"/><Relationship Id="rId10" Type="http://schemas.openxmlformats.org/officeDocument/2006/relationships/hyperlink" Target="https://www.fool.com/earnings/call-transcripts/2026/09/23/general-mills-gis-q1-2027-earnings-call-transcript/" TargetMode="External"/><Relationship Id="rId11" Type="http://schemas.openxmlformats.org/officeDocument/2006/relationships/hyperlink" Target="https://www.thecampbellscompany.com/newsroom/press-releases/campbells-reports-fourth-quarter-fiscal-2026-results/" TargetMode="External"/><Relationship Id="rId12" Type="http://schemas.openxmlformats.org/officeDocument/2006/relationships/hyperlink" Target="https://www.bls.gov/news.release/archives/cpi_09112026.htm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90"/>
  <sheetViews>
    <sheetView showGridLines="0" workbookViewId="0">
      <pane xSplit="2" ySplit="7" topLeftCell="C8" activePane="bottomRight" state="frozen"/>
    </sheetView>
  </sheetViews>
  <sheetFormatPr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1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t="s">
        <v>12</v>
      </c>
      <c r="H9" s="1"/>
    </row>
    <row r="10">
      <c r="B10" t="s">
        <v>13</v>
      </c>
      <c r="H10" s="1"/>
    </row>
    <row r="11">
      <c r="H11" s="1"/>
    </row>
    <row r="12">
      <c r="B12" s="17" t="s">
        <v>14</v>
      </c>
      <c r="C12" s="17" t="s">
        <v>15</v>
      </c>
      <c r="D12" s="17" t="s">
        <v>16</v>
      </c>
      <c r="E12" s="17" t="s">
        <v>17</v>
      </c>
      <c r="F12" s="17" t="s">
        <v>18</v>
      </c>
      <c r="H12" s="1"/>
    </row>
    <row r="13">
      <c r="B13" t="s">
        <v>19</v>
      </c>
      <c r="C13" s="3">
        <f>'Revenue summary'!H29</f>
        <v>2590.3090329006</v>
      </c>
      <c r="D13" s="3">
        <f>Inputs!C49</f>
        <v>2588.02</v>
      </c>
      <c r="E13" s="8">
        <f>C13-D13</f>
        <v>2.2890329005999774</v>
      </c>
      <c r="H13" s="1"/>
      <c r="J13" t="s">
        <v>20</v>
      </c>
    </row>
    <row r="14">
      <c r="B14" t="s">
        <v>21</v>
      </c>
      <c r="C14" s="3">
        <f>'Income Statement'!H37</f>
        <v>138.95757489599364</v>
      </c>
      <c r="D14" s="3">
        <f>Inputs!C59</f>
        <v>136.92</v>
      </c>
      <c r="E14" s="8">
        <f>C14-D14</f>
        <v>2.0375748959936573</v>
      </c>
      <c r="H14" s="1"/>
      <c r="J14" t="s">
        <v>22</v>
      </c>
    </row>
    <row r="15">
      <c r="B15" t="s">
        <v>23</v>
      </c>
      <c r="C15" s="10">
        <f>'Income Statement'!H38</f>
        <v>0.29009932128599925</v>
      </c>
      <c r="D15" s="10">
        <f>Inputs!C32</f>
        <v>0.28</v>
      </c>
      <c r="E15" s="7">
        <f>C15-D15</f>
        <v>0.010099321285999219</v>
      </c>
      <c r="H15" s="1"/>
    </row>
    <row r="16">
      <c r="B16" t="s">
        <v>24</v>
      </c>
      <c r="C16" s="3">
        <f>'Income Statement'!H25</f>
        <v>131.35757489599365</v>
      </c>
      <c r="D16" s="3">
        <f>Inputs!C60</f>
        <v>107.4</v>
      </c>
      <c r="E16" s="8">
        <f>C16-D16</f>
        <v>23.957574895993645</v>
      </c>
      <c r="H16" s="1"/>
    </row>
    <row r="17">
      <c r="B17" t="s">
        <v>25</v>
      </c>
      <c r="C17" s="10">
        <f>'Income Statement'!H27</f>
        <v>0.2742329329770222</v>
      </c>
      <c r="D17" s="10">
        <f>Inputs!C41</f>
        <v>0.28</v>
      </c>
      <c r="E17" s="7">
        <f>C17-D17</f>
        <v>-0.005767067022977801</v>
      </c>
      <c r="H17" s="1"/>
    </row>
    <row r="18">
      <c r="B18" t="s">
        <v>26</v>
      </c>
      <c r="C18" s="14">
        <v>0.56</v>
      </c>
      <c r="H18" s="1"/>
    </row>
    <row r="19">
      <c r="B19" t="s">
        <v>27</v>
      </c>
      <c r="C19" t="s">
        <v>28</v>
      </c>
      <c r="H19" s="1"/>
    </row>
    <row r="20">
      <c r="H20" s="1"/>
    </row>
    <row r="21">
      <c r="B21" t="s">
        <v>29</v>
      </c>
      <c r="C21" s="21" t="b">
        <f>AND(ABS('Revenue summary'!H30)&lt;0.00001,ABS('Revenue summary'!H36)&lt;0.00001,ABS('Revenue summary'!G35)&lt;0.00001,ABS('Balance Sheet'!G16)&lt;0.00001,ABS('Balance Sheet'!H16)&lt;0.00001,ABS('Cash Flow Statement'!H24)&lt;0.00001,ABS('Cash Flow Statement'!H15-('Cash Flow Statement'!H14-'Cash Flow Statement'!H13))&lt;0.00001,ABS('Income Statement'!H29)&lt;0.00001,ABS(C13-'Revenue summary'!H29)&lt;0.00001,ABS(C14-'Income Statement'!H37)&lt;0.00001,ABS(C15-'Income Statement'!H38)&lt;0.00001)</f>
        <v>1</v>
      </c>
      <c r="H21" s="1"/>
    </row>
    <row r="22">
      <c r="H22" s="1"/>
    </row>
    <row r="23">
      <c r="H23" s="1"/>
    </row>
    <row r="24">
      <c r="H24" s="1"/>
    </row>
    <row r="25">
      <c r="H25" s="1"/>
    </row>
    <row r="26">
      <c r="H26" s="1"/>
    </row>
    <row r="27">
      <c r="H27" s="1"/>
    </row>
    <row r="28">
      <c r="H28" s="1"/>
    </row>
    <row r="29">
      <c r="H29" s="1"/>
    </row>
    <row r="30">
      <c r="H30" s="1"/>
    </row>
    <row r="31">
      <c r="H31" s="1"/>
    </row>
    <row r="32">
      <c r="H32" s="1"/>
    </row>
    <row r="33">
      <c r="H33" s="1"/>
    </row>
    <row r="34">
      <c r="H34" s="1"/>
    </row>
    <row r="35">
      <c r="H35" s="1"/>
    </row>
    <row r="36">
      <c r="H36" s="1"/>
    </row>
    <row r="37">
      <c r="H37" s="1"/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30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t="s">
        <v>31</v>
      </c>
      <c r="C9" s="3">
        <f>'Segment - Grocery &amp; Snacks'!C17</f>
        <v>1079.6</v>
      </c>
      <c r="D9" s="3">
        <f>'Segment - Grocery &amp; Snacks'!D17</f>
        <v>1209.1</v>
      </c>
      <c r="E9" s="3">
        <f>'Segment - Grocery &amp; Snacks'!E17</f>
        <v>1167.1</v>
      </c>
      <c r="F9" s="3">
        <f>'Segment - Grocery &amp; Snacks'!F17</f>
        <v>1154.3</v>
      </c>
      <c r="G9" s="3">
        <f>'Segment - Grocery &amp; Snacks'!G17</f>
        <v>4610.1</v>
      </c>
      <c r="H9" s="24">
        <f>'Segment - Grocery &amp; Snacks'!H17</f>
        <v>1060.4969119992</v>
      </c>
    </row>
    <row r="10">
      <c r="B10" s="32" t="s">
        <v>32</v>
      </c>
      <c r="C10" s="33">
        <f>'Segment - Grocery &amp; Snacks'!C18</f>
        <v>-0.08717341675826507</v>
      </c>
      <c r="D10" s="33">
        <f>'Segment - Grocery &amp; Snacks'!D18</f>
        <v>-0.08470855412566247</v>
      </c>
      <c r="E10" s="33">
        <f>'Segment - Grocery &amp; Snacks'!E18</f>
        <v>-0.06287136662919557</v>
      </c>
      <c r="F10" s="33">
        <f>'Segment - Grocery &amp; Snacks'!F18</f>
        <v>0.003564597461310992</v>
      </c>
      <c r="G10" s="33">
        <f>'Segment - Grocery &amp; Snacks'!G18</f>
        <v>-0.05902884085481597</v>
      </c>
      <c r="H10" s="30">
        <f>'Segment - Grocery &amp; Snacks'!H18</f>
        <v>-0.01769459799999995</v>
      </c>
    </row>
    <row r="11">
      <c r="B11" s="32" t="s">
        <v>33</v>
      </c>
      <c r="C11" s="31"/>
      <c r="D11" s="31">
        <f>D9/C9-1</f>
        <v>0.11995183401259735</v>
      </c>
      <c r="E11" s="31">
        <f>E9/D9-1</f>
        <v>-0.034736580927962946</v>
      </c>
      <c r="F11" s="31">
        <f>F9/E9-1</f>
        <v>-0.010967354982435062</v>
      </c>
      <c r="G11" s="31"/>
      <c r="H11" s="35">
        <f>H9/F9-1</f>
        <v>-0.08126404574270119</v>
      </c>
    </row>
    <row r="12">
      <c r="B12" s="32" t="s">
        <v>34</v>
      </c>
      <c r="C12" s="31">
        <f>C9/C29</f>
        <v>0.4100888855124212</v>
      </c>
      <c r="D12" s="31">
        <f>D9/D29</f>
        <v>0.40586083045214993</v>
      </c>
      <c r="E12" s="31">
        <f>E9/E29</f>
        <v>0.41864552693880475</v>
      </c>
      <c r="F12" s="31">
        <f>F9/F29</f>
        <v>0.40050657506679155</v>
      </c>
      <c r="G12" s="31">
        <f>G9/G29</f>
        <v>0.4086388455538222</v>
      </c>
      <c r="H12" s="35">
        <f>H9/H29</f>
        <v>0.4094094173820129</v>
      </c>
    </row>
    <row r="13">
      <c r="B13" s="32" t="s">
        <v>35</v>
      </c>
      <c r="C13" s="33">
        <f>'Segment - Grocery &amp; Snacks'!C21</f>
        <v>-0.011022119998120417</v>
      </c>
      <c r="D13" s="33">
        <f>'Segment - Grocery &amp; Snacks'!D21</f>
        <v>-0.015815649597486492</v>
      </c>
      <c r="E13" s="33">
        <f>'Segment - Grocery &amp; Snacks'!E21</f>
        <v>0.019726478096631528</v>
      </c>
      <c r="F13" s="33">
        <f>'Segment - Grocery &amp; Snacks'!F21</f>
        <v>0.012842232309263846</v>
      </c>
      <c r="G13" s="33">
        <f>'Segment - Grocery &amp; Snacks'!G21</f>
        <v>0.002530544712723959</v>
      </c>
      <c r="H13" s="30">
        <f>'Segment - Grocery &amp; Snacks'!H21</f>
        <v>-0.0042520000000000335</v>
      </c>
    </row>
    <row r="14">
      <c r="B14" t="s">
        <v>36</v>
      </c>
      <c r="C14" s="3">
        <f>'Segment - Refrigerated &amp; Frozen'!C17</f>
        <v>1076.2</v>
      </c>
      <c r="D14" s="3">
        <f>'Segment - Refrigerated &amp; Frozen'!D17</f>
        <v>1251.2</v>
      </c>
      <c r="E14" s="3">
        <f>'Segment - Refrigerated &amp; Frozen'!E17</f>
        <v>1133.2</v>
      </c>
      <c r="F14" s="3">
        <f>'Segment - Refrigerated &amp; Frozen'!F17</f>
        <v>1181.2</v>
      </c>
      <c r="G14" s="3">
        <f>'Segment - Refrigerated &amp; Frozen'!G17</f>
        <v>4641.8</v>
      </c>
      <c r="H14" s="24">
        <f>'Segment - Refrigerated &amp; Frozen'!H17</f>
        <v>1044.7680959964</v>
      </c>
    </row>
    <row r="15">
      <c r="B15" s="32" t="s">
        <v>32</v>
      </c>
      <c r="C15" s="33">
        <f>'Segment - Refrigerated &amp; Frozen'!C18</f>
        <v>-0.009388807069219518</v>
      </c>
      <c r="D15" s="33">
        <f>'Segment - Refrigerated &amp; Frozen'!D18</f>
        <v>-0.06522226372805373</v>
      </c>
      <c r="E15" s="33">
        <f>'Segment - Refrigerated &amp; Frozen'!E18</f>
        <v>0.01577626389386899</v>
      </c>
      <c r="F15" s="33">
        <f>'Segment - Refrigerated &amp; Frozen'!F18</f>
        <v>0.05295061508290266</v>
      </c>
      <c r="G15" s="33">
        <f>'Segment - Refrigerated &amp; Frozen'!G18</f>
        <v>-0.004396971451858578</v>
      </c>
      <c r="H15" s="30">
        <f>'Segment - Refrigerated &amp; Frozen'!H18</f>
        <v>-0.029206378000000033</v>
      </c>
    </row>
    <row r="16">
      <c r="B16" s="32" t="s">
        <v>33</v>
      </c>
      <c r="C16" s="31"/>
      <c r="D16" s="31">
        <f>D14/C14-1</f>
        <v>0.1626091804497305</v>
      </c>
      <c r="E16" s="31">
        <f>E14/D14-1</f>
        <v>-0.09430946291560105</v>
      </c>
      <c r="F16" s="31">
        <f>F14/E14-1</f>
        <v>0.04235792446170139</v>
      </c>
      <c r="G16" s="31"/>
      <c r="H16" s="35">
        <f>H14/F14-1</f>
        <v>-0.11550279715848288</v>
      </c>
    </row>
    <row r="17">
      <c r="B17" s="32" t="s">
        <v>34</v>
      </c>
      <c r="C17" s="31">
        <f>C14/C29</f>
        <v>0.4087973866139938</v>
      </c>
      <c r="D17" s="31">
        <f>D14/D29</f>
        <v>0.4199926152193616</v>
      </c>
      <c r="E17" s="31">
        <f>E14/E29</f>
        <v>0.4064854006743669</v>
      </c>
      <c r="F17" s="31">
        <f>F14/F29</f>
        <v>0.40984004718781447</v>
      </c>
      <c r="G17" s="31">
        <f>G14/G29</f>
        <v>0.4114487306764998</v>
      </c>
      <c r="H17" s="35">
        <f>H14/H29</f>
        <v>0.4033372399688079</v>
      </c>
    </row>
    <row r="18">
      <c r="B18" s="32" t="s">
        <v>35</v>
      </c>
      <c r="C18" s="33">
        <f>'Segment - Refrigerated &amp; Frozen'!C21</f>
        <v>0.0016291131757133481</v>
      </c>
      <c r="D18" s="33">
        <f>'Segment - Refrigerated &amp; Frozen'!D21</f>
        <v>-0.05194955753352304</v>
      </c>
      <c r="E18" s="33">
        <f>'Segment - Refrigerated &amp; Frozen'!E21</f>
        <v>0.03650639172843784</v>
      </c>
      <c r="F18" s="33">
        <f>'Segment - Refrigerated &amp; Frozen'!F21</f>
        <v>-0.004409344918937519</v>
      </c>
      <c r="G18" s="33">
        <f>'Segment - Refrigerated &amp; Frozen'!G21</f>
        <v>-0.007107567791786895</v>
      </c>
      <c r="H18" s="30">
        <f>'Segment - Refrigerated &amp; Frozen'!H21</f>
        <v>-0.027748000000000106</v>
      </c>
    </row>
    <row r="19">
      <c r="B19" t="s">
        <v>37</v>
      </c>
      <c r="C19" s="3">
        <f>'Segment - International'!C17</f>
        <v>212.3</v>
      </c>
      <c r="D19" s="3">
        <f>'Segment - International'!D17</f>
        <v>230.4</v>
      </c>
      <c r="E19" s="3">
        <f>'Segment - International'!E17</f>
        <v>226.8</v>
      </c>
      <c r="F19" s="3">
        <f>'Segment - International'!F17</f>
        <v>244.4</v>
      </c>
      <c r="G19" s="3">
        <f>'Segment - International'!G17</f>
        <v>913.9</v>
      </c>
      <c r="H19" s="24">
        <f>'Segment - International'!H17</f>
        <v>217.951924905</v>
      </c>
    </row>
    <row r="20">
      <c r="B20" s="32" t="s">
        <v>32</v>
      </c>
      <c r="C20" s="33">
        <f>'Segment - International'!C18</f>
        <v>-0.18062524121960633</v>
      </c>
      <c r="D20" s="33">
        <f>'Segment - International'!D18</f>
        <v>-0.053410024650780596</v>
      </c>
      <c r="E20" s="33">
        <f>'Segment - International'!E18</f>
        <v>0.012952210808396591</v>
      </c>
      <c r="F20" s="33">
        <f>'Segment - International'!F18</f>
        <v>0.062146892655367214</v>
      </c>
      <c r="G20" s="33">
        <f>'Segment - International'!G18</f>
        <v>-0.044537375849451166</v>
      </c>
      <c r="H20" s="30">
        <f>'Segment - International'!H18</f>
        <v>0.026622350000000017</v>
      </c>
    </row>
    <row r="21">
      <c r="B21" s="32" t="s">
        <v>33</v>
      </c>
      <c r="C21" s="31"/>
      <c r="D21" s="31">
        <f>D19/C19-1</f>
        <v>0.08525671219971742</v>
      </c>
      <c r="E21" s="31">
        <f>E19/D19-1</f>
        <v>-0.015625</v>
      </c>
      <c r="F21" s="31">
        <f>F19/E19-1</f>
        <v>0.07760141093474426</v>
      </c>
      <c r="G21" s="31"/>
      <c r="H21" s="35">
        <f>H19/F19-1</f>
        <v>-0.10821634654255319</v>
      </c>
    </row>
    <row r="22">
      <c r="B22" s="32" t="s">
        <v>34</v>
      </c>
      <c r="C22" s="31">
        <f>C19/C29</f>
        <v>0.08064271062827623</v>
      </c>
      <c r="D22" s="31">
        <f>D19/D29</f>
        <v>0.07733879359538116</v>
      </c>
      <c r="E22" s="31">
        <f>E19/E29</f>
        <v>0.08135447306119521</v>
      </c>
      <c r="F22" s="31">
        <f>F19/F29</f>
        <v>0.08479927830401444</v>
      </c>
      <c r="G22" s="31">
        <f>G19/G29</f>
        <v>0.08100801304779463</v>
      </c>
      <c r="H22" s="35">
        <f>H19/H29</f>
        <v>0.08414128281093156</v>
      </c>
    </row>
    <row r="23">
      <c r="B23" s="32" t="s">
        <v>35</v>
      </c>
      <c r="C23" s="33">
        <f>'Segment - International'!C21</f>
        <v>-0.04358648749364591</v>
      </c>
      <c r="D23" s="33">
        <f>'Segment - International'!D21</f>
        <v>-0.02848483148742187</v>
      </c>
      <c r="E23" s="33">
        <f>'Segment - International'!E21</f>
        <v>-0.008926722857794722</v>
      </c>
      <c r="F23" s="33">
        <f>'Segment - International'!F21</f>
        <v>-0.02167647364344849</v>
      </c>
      <c r="G23" s="33">
        <f>'Segment - International'!G21</f>
        <v>-0.022080110574315137</v>
      </c>
      <c r="H23" s="30">
        <f>'Segment - International'!H21</f>
        <v>0.018979999999999997</v>
      </c>
    </row>
    <row r="24">
      <c r="B24" t="s">
        <v>38</v>
      </c>
      <c r="C24" s="3">
        <f>'Segment - Foodservice'!C17</f>
        <v>264.5</v>
      </c>
      <c r="D24" s="3">
        <f>'Segment - Foodservice'!D17</f>
        <v>288.4</v>
      </c>
      <c r="E24" s="3">
        <f>'Segment - Foodservice'!E17</f>
        <v>260.7</v>
      </c>
      <c r="F24" s="3">
        <f>'Segment - Foodservice'!F17</f>
        <v>302.2</v>
      </c>
      <c r="G24" s="3">
        <f>'Segment - Foodservice'!G17</f>
        <v>1115.8</v>
      </c>
      <c r="H24" s="24">
        <f>'Segment - Foodservice'!H17</f>
        <v>267.0921</v>
      </c>
    </row>
    <row r="25">
      <c r="B25" s="32" t="s">
        <v>32</v>
      </c>
      <c r="C25" s="33">
        <f>'Segment - Foodservice'!C18</f>
        <v>-0.00824896887889015</v>
      </c>
      <c r="D25" s="33">
        <f>'Segment - Foodservice'!D18</f>
        <v>-0.013004791238877544</v>
      </c>
      <c r="E25" s="33">
        <f>'Segment - Foodservice'!E18</f>
        <v>0.017961733697774207</v>
      </c>
      <c r="F25" s="33">
        <f>'Segment - Foodservice'!F18</f>
        <v>0.08044333214158028</v>
      </c>
      <c r="G25" s="33">
        <f>'Segment - Foodservice'!G18</f>
        <v>0.019274687128893575</v>
      </c>
      <c r="H25" s="30">
        <f>'Segment - Foodservice'!H18</f>
        <v>0.009800000000000031</v>
      </c>
    </row>
    <row r="26">
      <c r="B26" s="32" t="s">
        <v>33</v>
      </c>
      <c r="C26" s="31"/>
      <c r="D26" s="31">
        <f>D24/C24-1</f>
        <v>0.09035916824196599</v>
      </c>
      <c r="E26" s="31">
        <f>E24/D24-1</f>
        <v>-0.09604715672676833</v>
      </c>
      <c r="F26" s="31">
        <f>F24/E24-1</f>
        <v>0.1591868047564251</v>
      </c>
      <c r="G26" s="31"/>
      <c r="H26" s="35">
        <f>H24/F24-1</f>
        <v>-0.1161743878226339</v>
      </c>
    </row>
    <row r="27">
      <c r="B27" s="32" t="s">
        <v>34</v>
      </c>
      <c r="C27" s="31">
        <f>C24/C29</f>
        <v>0.10047101724530882</v>
      </c>
      <c r="D27" s="31">
        <f>D24/D29</f>
        <v>0.0968077607331073</v>
      </c>
      <c r="E27" s="31">
        <f>E24/E29</f>
        <v>0.09351459932563311</v>
      </c>
      <c r="F27" s="31">
        <f>F24/F29</f>
        <v>0.10485409944137955</v>
      </c>
      <c r="G27" s="31">
        <f>G24/G29</f>
        <v>0.09890441072188341</v>
      </c>
      <c r="H27" s="35">
        <f>H24/H29</f>
        <v>0.10311205983824763</v>
      </c>
    </row>
    <row r="28">
      <c r="B28" s="32" t="s">
        <v>35</v>
      </c>
      <c r="C28" s="33">
        <f>'Segment - Foodservice'!C21</f>
        <v>0.0017687183041512622</v>
      </c>
      <c r="D28" s="33">
        <f>'Segment - Foodservice'!D21</f>
        <v>0.0020255926508858657</v>
      </c>
      <c r="E28" s="33">
        <f>'Segment - Foodservice'!E21</f>
        <v>0.036620910079199875</v>
      </c>
      <c r="F28" s="33">
        <f>'Segment - Foodservice'!F21</f>
        <v>0.01744133009917892</v>
      </c>
      <c r="G28" s="33">
        <f>'Segment - Foodservice'!G21</f>
        <v>0.01753267119580637</v>
      </c>
      <c r="H28" s="30">
        <f>'Segment - Foodservice'!H21</f>
        <v>0.009800000000000031</v>
      </c>
    </row>
    <row r="29">
      <c r="B29" s="27" t="s">
        <v>39</v>
      </c>
      <c r="C29" s="28">
        <f>SUM(C9,C14,C19,C24)</f>
        <v>2632.6</v>
      </c>
      <c r="D29" s="28">
        <f>SUM(D9,D14,D19,D24)</f>
        <v>2979.1</v>
      </c>
      <c r="E29" s="28">
        <f>SUM(E9,E14,E19,E24)</f>
        <v>2787.8</v>
      </c>
      <c r="F29" s="28">
        <f>SUM(F9,F14,F19,F24)</f>
        <v>2882.1</v>
      </c>
      <c r="G29" s="28">
        <f>SUM(G9,G14,G19,G24)</f>
        <v>11281.6</v>
      </c>
      <c r="H29" s="26">
        <f>SUM(H9,H14,H19,H24)</f>
        <v>2590.3090329006</v>
      </c>
    </row>
    <row r="30">
      <c r="B30" s="27" t="s">
        <v>40</v>
      </c>
      <c r="C30" s="28">
        <f>C29-SUM(C9,C14,C19,C24)</f>
        <v>0</v>
      </c>
      <c r="D30" s="28">
        <f>D29-SUM(D9,D14,D19,D24)</f>
        <v>0</v>
      </c>
      <c r="E30" s="28">
        <f>E29-SUM(E9,E14,E19,E24)</f>
        <v>0</v>
      </c>
      <c r="F30" s="28">
        <f>F29-SUM(F9,F14,F19,F24)</f>
        <v>0</v>
      </c>
      <c r="G30" s="28">
        <f>G29-SUM(G9,G14,G19,G24)</f>
        <v>0</v>
      </c>
      <c r="H30" s="26">
        <f>H29-SUM(H9,H14,H19,H24)</f>
        <v>0</v>
      </c>
    </row>
    <row r="31">
      <c r="B31" t="s">
        <v>41</v>
      </c>
      <c r="C31" s="8">
        <f>C19</f>
        <v>212.3</v>
      </c>
      <c r="D31" s="8">
        <f>D19</f>
        <v>230.4</v>
      </c>
      <c r="E31" s="8">
        <f>E19</f>
        <v>226.8</v>
      </c>
      <c r="F31" s="8">
        <f>F19</f>
        <v>244.4</v>
      </c>
      <c r="G31" s="8">
        <f>G19</f>
        <v>913.9</v>
      </c>
      <c r="H31" s="20">
        <f>H19</f>
        <v>217.951924905</v>
      </c>
    </row>
    <row r="32">
      <c r="B32" t="s">
        <v>42</v>
      </c>
      <c r="C32" s="8">
        <f>C29-C31</f>
        <v>2420.2999999999997</v>
      </c>
      <c r="D32" s="8">
        <f>D29-D31</f>
        <v>2748.7</v>
      </c>
      <c r="E32" s="8">
        <f>E29-E31</f>
        <v>2561</v>
      </c>
      <c r="F32" s="8">
        <f>F29-F31</f>
        <v>2637.7</v>
      </c>
      <c r="G32" s="8">
        <f>G29-G31</f>
        <v>10367.7</v>
      </c>
      <c r="H32" s="20">
        <f>H29-H31</f>
        <v>2372.3571079956</v>
      </c>
    </row>
    <row r="33">
      <c r="B33" s="32" t="s">
        <v>32</v>
      </c>
      <c r="C33" s="31"/>
      <c r="D33" s="31"/>
      <c r="E33" s="31"/>
      <c r="F33" s="31"/>
      <c r="G33" s="31"/>
      <c r="H33" s="35">
        <f>H29/C29-1</f>
        <v>-0.016064334535972002</v>
      </c>
    </row>
    <row r="34">
      <c r="B34" s="32" t="s">
        <v>43</v>
      </c>
      <c r="C34" s="31"/>
      <c r="D34" s="31">
        <f>D29/C29-1</f>
        <v>0.1316189318544405</v>
      </c>
      <c r="E34" s="31">
        <f>E29/D29-1</f>
        <v>-0.06421402436977597</v>
      </c>
      <c r="F34" s="31">
        <f>F29/E29-1</f>
        <v>0.033825955950928854</v>
      </c>
      <c r="G34" s="31"/>
      <c r="H34" s="35">
        <f>H29/F29-1</f>
        <v>-0.10124248537503899</v>
      </c>
    </row>
    <row r="35">
      <c r="B35" t="s">
        <v>44</v>
      </c>
      <c r="C35" s="3">
        <f>C29-Inputs!H16</f>
        <v>0</v>
      </c>
      <c r="D35" s="3">
        <f>D29-Inputs!H17</f>
        <v>0</v>
      </c>
      <c r="E35" s="3">
        <f>E29-Inputs!H18</f>
        <v>0</v>
      </c>
      <c r="F35" s="3">
        <f>F29-Inputs!H19</f>
        <v>0</v>
      </c>
      <c r="G35" s="3">
        <f>G29-Inputs!O51</f>
        <v>0</v>
      </c>
      <c r="H35" s="1"/>
    </row>
    <row r="36">
      <c r="B36" t="s">
        <v>45</v>
      </c>
      <c r="C36" s="8">
        <f>C31+C32-C29</f>
        <v>0</v>
      </c>
      <c r="D36" s="8">
        <f>D31+D32-D29</f>
        <v>0</v>
      </c>
      <c r="E36" s="8">
        <f>E31+E32-E29</f>
        <v>0</v>
      </c>
      <c r="F36" s="8">
        <f>F31+F32-F29</f>
        <v>0</v>
      </c>
      <c r="G36" s="8">
        <f>G31+G32-G29</f>
        <v>0</v>
      </c>
      <c r="H36" s="20">
        <f>H31+H32-H29</f>
        <v>0</v>
      </c>
    </row>
    <row r="37">
      <c r="H37" s="1"/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2:J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46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t="s">
        <v>47</v>
      </c>
      <c r="C9" s="8"/>
      <c r="D9" s="8"/>
      <c r="E9" s="8"/>
      <c r="F9" s="8"/>
      <c r="G9" s="8"/>
      <c r="H9" s="20"/>
    </row>
    <row r="10">
      <c r="B10" t="s">
        <v>48</v>
      </c>
      <c r="C10" s="3">
        <f>Inputs!K22</f>
        <v>1072.6</v>
      </c>
      <c r="D10" s="3">
        <f>Inputs!K23</f>
        <v>1227.9</v>
      </c>
      <c r="E10" s="3">
        <f>Inputs!K24</f>
        <v>1146.8</v>
      </c>
      <c r="F10" s="3">
        <f>Inputs!K25</f>
        <v>1066.1</v>
      </c>
      <c r="G10" s="3">
        <f>Inputs!K26</f>
        <v>4513.4</v>
      </c>
      <c r="H10" s="20">
        <f>C17</f>
        <v>1079.6</v>
      </c>
      <c r="J10" t="s">
        <v>49</v>
      </c>
    </row>
    <row r="11">
      <c r="B11" s="32" t="s">
        <v>50</v>
      </c>
      <c r="C11" s="34">
        <v>-0.016</v>
      </c>
      <c r="D11" s="34">
        <v>-0.023</v>
      </c>
      <c r="E11" s="34">
        <v>-0.022</v>
      </c>
      <c r="F11" s="34">
        <v>-0.035</v>
      </c>
      <c r="G11" s="34">
        <v>-0.024</v>
      </c>
      <c r="H11" s="37">
        <v>-0.018</v>
      </c>
      <c r="J11" t="s">
        <v>51</v>
      </c>
    </row>
    <row r="12">
      <c r="B12" s="32" t="s">
        <v>52</v>
      </c>
      <c r="C12" s="34">
        <v>0.006</v>
      </c>
      <c r="D12" s="34">
        <v>0.008</v>
      </c>
      <c r="E12" s="34">
        <v>0.04</v>
      </c>
      <c r="F12" s="34">
        <v>0.04</v>
      </c>
      <c r="G12" s="34">
        <v>0.023</v>
      </c>
      <c r="H12" s="37">
        <v>0.014</v>
      </c>
      <c r="J12" t="s">
        <v>53</v>
      </c>
    </row>
    <row r="13">
      <c r="B13" s="32" t="s">
        <v>54</v>
      </c>
      <c r="C13" s="31">
        <f>(1+C11)*(1+C12)-1</f>
        <v>-0.010095999999999994</v>
      </c>
      <c r="D13" s="31">
        <f>(1+D11)*(1+D12)-1</f>
        <v>-0.015183999999999975</v>
      </c>
      <c r="E13" s="31">
        <f>(1+E11)*(1+E12)-1</f>
        <v>0.017120000000000024</v>
      </c>
      <c r="F13" s="31">
        <f>(1+F11)*(1+F12)-1</f>
        <v>0.0036000000000000476</v>
      </c>
      <c r="G13" s="31">
        <f>(1+G11)*(1+G12)-1</f>
        <v>-0.0015520000000001088</v>
      </c>
      <c r="H13" s="35">
        <f>(1+H11)*(1+H12)-1</f>
        <v>-0.0042520000000000335</v>
      </c>
      <c r="J13" t="s">
        <v>55</v>
      </c>
    </row>
    <row r="14">
      <c r="B14" s="32" t="s">
        <v>56</v>
      </c>
      <c r="C14" s="34">
        <v>-0.077</v>
      </c>
      <c r="D14" s="34">
        <v>-0.07</v>
      </c>
      <c r="E14" s="34">
        <v>-0.081</v>
      </c>
      <c r="F14" s="34">
        <v>-0.08</v>
      </c>
      <c r="G14" s="34">
        <v>-0.078</v>
      </c>
      <c r="H14" s="37">
        <v>-0.0135</v>
      </c>
      <c r="J14" t="s">
        <v>57</v>
      </c>
    </row>
    <row r="15">
      <c r="B15" s="32" t="s">
        <v>58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7">
        <v>0</v>
      </c>
      <c r="J15" t="s">
        <v>59</v>
      </c>
    </row>
    <row r="16">
      <c r="B16" s="32" t="s">
        <v>60</v>
      </c>
      <c r="C16" s="34">
        <v>0</v>
      </c>
      <c r="D16" s="34">
        <v>0</v>
      </c>
      <c r="E16" s="34">
        <v>0</v>
      </c>
      <c r="F16" s="34">
        <v>0.077</v>
      </c>
      <c r="G16" s="34">
        <v>0.018</v>
      </c>
      <c r="H16" s="37">
        <v>0</v>
      </c>
      <c r="J16" t="s">
        <v>61</v>
      </c>
    </row>
    <row r="17">
      <c r="B17" s="27" t="s">
        <v>62</v>
      </c>
      <c r="C17" s="23">
        <f>Inputs!K14</f>
        <v>1079.6</v>
      </c>
      <c r="D17" s="23">
        <f>Inputs!K15</f>
        <v>1209.1</v>
      </c>
      <c r="E17" s="23">
        <f>Inputs!K16</f>
        <v>1167.1</v>
      </c>
      <c r="F17" s="23">
        <f>Inputs!K17</f>
        <v>1154.3</v>
      </c>
      <c r="G17" s="23">
        <f>Inputs!K18</f>
        <v>4610.1</v>
      </c>
      <c r="H17" s="26">
        <f>H10*(1+H13)*(1+H14)*(1+H15)*(1+H16)</f>
        <v>1060.4969119992</v>
      </c>
      <c r="J17" t="s">
        <v>63</v>
      </c>
    </row>
    <row r="18">
      <c r="B18" s="32" t="s">
        <v>32</v>
      </c>
      <c r="C18" s="33">
        <f>C17/Inputs!K29-1</f>
        <v>-0.08717341675826507</v>
      </c>
      <c r="D18" s="33">
        <f>D17/Inputs!K30-1</f>
        <v>-0.08470855412566247</v>
      </c>
      <c r="E18" s="33">
        <f>E17/Inputs!K31-1</f>
        <v>-0.06287136662919557</v>
      </c>
      <c r="F18" s="33">
        <f>F17/Inputs!K32-1</f>
        <v>0.003564597461310992</v>
      </c>
      <c r="G18" s="33">
        <f>G17/Inputs!K33-1</f>
        <v>-0.05902884085481597</v>
      </c>
      <c r="H18" s="35">
        <f>H17/C17-1</f>
        <v>-0.01769459799999995</v>
      </c>
    </row>
    <row r="19">
      <c r="B19" s="32" t="s">
        <v>43</v>
      </c>
      <c r="C19" s="31"/>
      <c r="D19" s="31">
        <f>D17/C17-1</f>
        <v>0.11995183401259735</v>
      </c>
      <c r="E19" s="31">
        <f>E17/D17-1</f>
        <v>-0.034736580927962946</v>
      </c>
      <c r="F19" s="31">
        <f>F17/E17-1</f>
        <v>-0.010967354982435062</v>
      </c>
      <c r="G19" s="31"/>
      <c r="H19" s="35">
        <f>H17/F17-1</f>
        <v>-0.08126404574270119</v>
      </c>
    </row>
    <row r="20">
      <c r="B20" s="32" t="s">
        <v>64</v>
      </c>
      <c r="C20" s="33">
        <f>C17/'Revenue summary'!C29</f>
        <v>0.4100888855124212</v>
      </c>
      <c r="D20" s="33">
        <f>D17/'Revenue summary'!D29</f>
        <v>0.40586083045214993</v>
      </c>
      <c r="E20" s="33">
        <f>E17/'Revenue summary'!E29</f>
        <v>0.41864552693880475</v>
      </c>
      <c r="F20" s="33">
        <f>F17/'Revenue summary'!F29</f>
        <v>0.40050657506679155</v>
      </c>
      <c r="G20" s="33">
        <f>G17/'Revenue summary'!G29</f>
        <v>0.4086388455538222</v>
      </c>
      <c r="H20" s="30">
        <f>H17/'Revenue summary'!H29</f>
        <v>0.4094094173820129</v>
      </c>
    </row>
    <row r="21">
      <c r="B21" s="32" t="s">
        <v>65</v>
      </c>
      <c r="C21" s="11">
        <f>(1+C18)/((1+C14)*(1+C15)*(1+C16))-1</f>
        <v>-0.011022119998120417</v>
      </c>
      <c r="D21" s="31">
        <f>(1+D18)/((1+D14)*(1+D15)*(1+D16))-1</f>
        <v>-0.015815649597486492</v>
      </c>
      <c r="E21" s="31">
        <f>(1+E18)/((1+E14)*(1+E15)*(1+E16))-1</f>
        <v>0.019726478096631528</v>
      </c>
      <c r="F21" s="31">
        <f>(1+F18)/((1+F14)*(1+F15)*(1+F16))-1</f>
        <v>0.012842232309263846</v>
      </c>
      <c r="G21" s="11">
        <f>(1+G18)/((1+G14)*(1+G15)*(1+G16))-1</f>
        <v>0.002530544712723959</v>
      </c>
      <c r="H21" s="35">
        <f>(1+H18)/((1+H14)*(1+H15)*(1+H16))-1</f>
        <v>-0.0042520000000000335</v>
      </c>
    </row>
    <row r="22">
      <c r="B22" s="27" t="s">
        <v>66</v>
      </c>
      <c r="C22" s="25">
        <v>261.6</v>
      </c>
      <c r="D22" s="25">
        <v>229</v>
      </c>
      <c r="E22" s="25">
        <v>213.4</v>
      </c>
      <c r="F22" s="25">
        <v>-13</v>
      </c>
      <c r="G22" s="28">
        <f>SUM(C22:F22)</f>
        <v>691</v>
      </c>
      <c r="H22" s="26">
        <f>H17*H23</f>
        <v>203.6154071038464</v>
      </c>
    </row>
    <row r="23">
      <c r="B23" s="32" t="s">
        <v>67</v>
      </c>
      <c r="C23" s="31">
        <f>C22/C17</f>
        <v>0.24231196739533165</v>
      </c>
      <c r="D23" s="31">
        <f>D22/D17</f>
        <v>0.18939707220246466</v>
      </c>
      <c r="E23" s="31">
        <f>E22/E17</f>
        <v>0.1828463713477851</v>
      </c>
      <c r="F23" s="31">
        <f>F22/F17</f>
        <v>-0.011262236853504288</v>
      </c>
      <c r="G23" s="31">
        <f>G22/G17</f>
        <v>0.14988828875729376</v>
      </c>
      <c r="H23" s="37">
        <v>0.192</v>
      </c>
      <c r="J23" t="s">
        <v>68</v>
      </c>
    </row>
    <row r="24">
      <c r="B24" t="s">
        <v>69</v>
      </c>
      <c r="C24" s="42"/>
      <c r="D24" s="42">
        <f>(D23-C23)*10000</f>
        <v>-529.1489519286699</v>
      </c>
      <c r="E24" s="42">
        <f>(E23-D23)*10000</f>
        <v>-65.50700854679542</v>
      </c>
      <c r="F24" s="42">
        <f>(F23-E23)*10000</f>
        <v>-1941.086082012894</v>
      </c>
      <c r="G24" s="42"/>
      <c r="H24" s="39">
        <f>(H23-C23)*10000</f>
        <v>-503.1196739533164</v>
      </c>
    </row>
    <row r="25">
      <c r="B25" s="32" t="s">
        <v>70</v>
      </c>
      <c r="C25" s="31">
        <f>C21</f>
        <v>-0.011022119998120417</v>
      </c>
      <c r="D25" s="31">
        <f>D21</f>
        <v>-0.015815649597486492</v>
      </c>
      <c r="E25" s="31">
        <f>E21</f>
        <v>0.019726478096631528</v>
      </c>
      <c r="F25" s="31">
        <f>F21</f>
        <v>0.012842232309263846</v>
      </c>
      <c r="G25" s="31">
        <f>G21</f>
        <v>0.002530544712723959</v>
      </c>
      <c r="H25" s="35">
        <f>H21</f>
        <v>-0.0042520000000000335</v>
      </c>
    </row>
    <row r="26">
      <c r="B26" s="32" t="s">
        <v>71</v>
      </c>
      <c r="C26" s="31">
        <f>C14</f>
        <v>-0.077</v>
      </c>
      <c r="D26" s="31">
        <f>D14</f>
        <v>-0.07</v>
      </c>
      <c r="E26" s="31">
        <f>E14</f>
        <v>-0.081</v>
      </c>
      <c r="F26" s="31">
        <f>F14</f>
        <v>-0.08</v>
      </c>
      <c r="G26" s="31">
        <f>G14</f>
        <v>-0.078</v>
      </c>
      <c r="H26" s="35">
        <f>H14</f>
        <v>-0.0135</v>
      </c>
    </row>
    <row r="27">
      <c r="B27" s="32" t="s">
        <v>72</v>
      </c>
      <c r="C27" s="31">
        <f>C15</f>
        <v>0</v>
      </c>
      <c r="D27" s="31">
        <f>D15</f>
        <v>0</v>
      </c>
      <c r="E27" s="31">
        <f>E15</f>
        <v>0</v>
      </c>
      <c r="F27" s="31">
        <f>F15</f>
        <v>0</v>
      </c>
      <c r="G27" s="31">
        <f>G15</f>
        <v>0</v>
      </c>
      <c r="H27" s="35">
        <f>H15</f>
        <v>0</v>
      </c>
    </row>
    <row r="28">
      <c r="B28" s="32" t="s">
        <v>73</v>
      </c>
      <c r="C28" s="31">
        <f>C16</f>
        <v>0</v>
      </c>
      <c r="D28" s="31">
        <f>D16</f>
        <v>0</v>
      </c>
      <c r="E28" s="31">
        <f>E16</f>
        <v>0</v>
      </c>
      <c r="F28" s="31">
        <f>F16</f>
        <v>0.077</v>
      </c>
      <c r="G28" s="31">
        <f>G16</f>
        <v>0.018</v>
      </c>
      <c r="H28" s="35">
        <f>H16</f>
        <v>0</v>
      </c>
    </row>
    <row r="29">
      <c r="B29" s="32" t="s">
        <v>74</v>
      </c>
      <c r="C29" s="31">
        <f>C18</f>
        <v>-0.08717341675826507</v>
      </c>
      <c r="D29" s="31">
        <f>D18</f>
        <v>-0.08470855412566247</v>
      </c>
      <c r="E29" s="31">
        <f>E18</f>
        <v>-0.06287136662919557</v>
      </c>
      <c r="F29" s="31">
        <f>F18</f>
        <v>0.003564597461310992</v>
      </c>
      <c r="G29" s="31">
        <f>G18</f>
        <v>-0.05902884085481597</v>
      </c>
      <c r="H29" s="35">
        <f>H18</f>
        <v>-0.01769459799999995</v>
      </c>
    </row>
    <row r="30">
      <c r="B30" t="s">
        <v>75</v>
      </c>
      <c r="C30" s="8"/>
      <c r="D30" s="8"/>
      <c r="E30" s="8"/>
      <c r="F30" s="8"/>
      <c r="G30" s="8"/>
      <c r="H30" s="20"/>
    </row>
    <row r="31">
      <c r="B31" t="s">
        <v>76</v>
      </c>
      <c r="C31" s="8"/>
      <c r="D31" s="8">
        <f>(D11-C11)*10000</f>
        <v>-69.99999999999999</v>
      </c>
      <c r="E31" s="8">
        <f>(E11-D11)*10000</f>
        <v>10.000000000000009</v>
      </c>
      <c r="F31" s="8">
        <f>(F11-E11)*10000</f>
        <v>-130.00000000000006</v>
      </c>
      <c r="G31" s="8"/>
      <c r="H31" s="20">
        <f>(H11-F11)*10000</f>
        <v>170.00000000000006</v>
      </c>
    </row>
    <row r="32">
      <c r="B32" t="s">
        <v>77</v>
      </c>
      <c r="C32" s="8"/>
      <c r="D32" s="8">
        <f>(D12-C12)*10000</f>
        <v>20</v>
      </c>
      <c r="E32" s="8">
        <f>(E12-D12)*10000</f>
        <v>320</v>
      </c>
      <c r="F32" s="8">
        <f>(F12-E12)*10000</f>
        <v>0</v>
      </c>
      <c r="G32" s="8"/>
      <c r="H32" s="20">
        <f>(H12-F12)*10000</f>
        <v>-260</v>
      </c>
    </row>
    <row r="33">
      <c r="B33" t="s">
        <v>78</v>
      </c>
      <c r="C33" s="8"/>
      <c r="D33" s="8">
        <f>(D13-C13)*10000</f>
        <v>-50.87999999999981</v>
      </c>
      <c r="E33" s="8">
        <f>(E13-D13)*10000</f>
        <v>323.04</v>
      </c>
      <c r="F33" s="8">
        <f>(F13-E13)*10000</f>
        <v>-135.19999999999976</v>
      </c>
      <c r="G33" s="8"/>
      <c r="H33" s="20">
        <f>(H13-F13)*10000</f>
        <v>-78.5200000000008</v>
      </c>
    </row>
    <row r="34">
      <c r="B34" t="s">
        <v>79</v>
      </c>
      <c r="C34" s="8"/>
      <c r="D34" s="8">
        <f>(D14-C14)*10000</f>
        <v>69.99999999999993</v>
      </c>
      <c r="E34" s="8">
        <f>(E14-D14)*10000</f>
        <v>-109.99999999999996</v>
      </c>
      <c r="F34" s="8">
        <f>(F14-E14)*10000</f>
        <v>10.000000000000009</v>
      </c>
      <c r="G34" s="8"/>
      <c r="H34" s="20">
        <f>(H14-F14)*10000</f>
        <v>665</v>
      </c>
    </row>
    <row r="35">
      <c r="B35" t="s">
        <v>80</v>
      </c>
      <c r="C35" s="8"/>
      <c r="D35" s="8">
        <f>(D15-C15)*10000</f>
        <v>0</v>
      </c>
      <c r="E35" s="8">
        <f>(E15-D15)*10000</f>
        <v>0</v>
      </c>
      <c r="F35" s="8">
        <f>(F15-E15)*10000</f>
        <v>0</v>
      </c>
      <c r="G35" s="8"/>
      <c r="H35" s="20">
        <f>(H15-F15)*10000</f>
        <v>0</v>
      </c>
    </row>
    <row r="36">
      <c r="B36" t="s">
        <v>81</v>
      </c>
      <c r="C36" s="8"/>
      <c r="D36" s="8"/>
      <c r="E36" s="8"/>
      <c r="F36" s="8"/>
      <c r="G36" s="8"/>
      <c r="H36" s="20">
        <f>(H11-C11)*10000</f>
        <v>-19.999999999999982</v>
      </c>
    </row>
    <row r="37">
      <c r="B37" t="s">
        <v>82</v>
      </c>
      <c r="C37" s="8"/>
      <c r="D37" s="8"/>
      <c r="E37" s="8"/>
      <c r="F37" s="8"/>
      <c r="G37" s="8"/>
      <c r="H37" s="20">
        <f>(H12-C12)*10000</f>
        <v>80</v>
      </c>
    </row>
    <row r="38">
      <c r="B38" t="s">
        <v>83</v>
      </c>
      <c r="C38" s="8"/>
      <c r="D38" s="8">
        <f>D17-C17</f>
        <v>129.5</v>
      </c>
      <c r="E38" s="8">
        <f>E17-D17</f>
        <v>-42</v>
      </c>
      <c r="F38" s="8">
        <f>F17-E17</f>
        <v>-12.799999999999955</v>
      </c>
      <c r="G38" s="8"/>
      <c r="H38" s="20">
        <f>H17-F17</f>
        <v>-93.80308800080002</v>
      </c>
    </row>
    <row r="39">
      <c r="B39" t="s">
        <v>84</v>
      </c>
      <c r="C39" s="8"/>
      <c r="D39" s="8">
        <f>(D23-C23)*10000</f>
        <v>-529.1489519286699</v>
      </c>
      <c r="E39" s="8">
        <f>(E23-D23)*10000</f>
        <v>-65.50700854679542</v>
      </c>
      <c r="F39" s="8">
        <f>(F23-E23)*10000</f>
        <v>-1941.086082012894</v>
      </c>
      <c r="G39" s="8"/>
      <c r="H39" s="20">
        <f>(H23-F23)*10000</f>
        <v>2032.6223685350428</v>
      </c>
    </row>
    <row r="40">
      <c r="H40" s="1"/>
    </row>
    <row r="41">
      <c r="B41" t="s">
        <v>85</v>
      </c>
      <c r="C41" s="8"/>
      <c r="D41" s="8"/>
      <c r="E41" s="8"/>
      <c r="F41" s="8"/>
      <c r="G41" s="8"/>
      <c r="H41" s="20">
        <f>(H13-C13)*10000</f>
        <v>58.4399999999996</v>
      </c>
    </row>
    <row r="42">
      <c r="B42" t="s">
        <v>86</v>
      </c>
      <c r="C42" s="8"/>
      <c r="D42" s="8"/>
      <c r="E42" s="8"/>
      <c r="F42" s="8"/>
      <c r="G42" s="8"/>
      <c r="H42" s="20">
        <f>(H14-C14)*10000</f>
        <v>635</v>
      </c>
    </row>
    <row r="43">
      <c r="B43" t="s">
        <v>87</v>
      </c>
      <c r="C43" s="8"/>
      <c r="D43" s="8"/>
      <c r="E43" s="8"/>
      <c r="F43" s="8"/>
      <c r="G43" s="8"/>
      <c r="H43" s="20">
        <f>(H15-C15)*10000</f>
        <v>0</v>
      </c>
    </row>
    <row r="44">
      <c r="B44" t="s">
        <v>88</v>
      </c>
      <c r="C44" s="8"/>
      <c r="D44" s="8"/>
      <c r="E44" s="8"/>
      <c r="F44" s="8"/>
      <c r="G44" s="8"/>
      <c r="H44" s="20">
        <f>(H16-C16)*10000</f>
        <v>0</v>
      </c>
    </row>
    <row r="45">
      <c r="B45" t="s">
        <v>89</v>
      </c>
      <c r="C45" s="8"/>
      <c r="D45" s="8"/>
      <c r="E45" s="8"/>
      <c r="F45" s="8"/>
      <c r="G45" s="8"/>
      <c r="H45" s="20">
        <f>H17-C17</f>
        <v>-19.10308800079997</v>
      </c>
    </row>
    <row r="46">
      <c r="C46" s="8"/>
      <c r="D46" s="8"/>
      <c r="E46" s="8"/>
      <c r="F46" s="8"/>
      <c r="G46" s="8"/>
      <c r="H46" s="20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2:J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90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t="s">
        <v>47</v>
      </c>
      <c r="C9" s="8"/>
      <c r="D9" s="8"/>
      <c r="E9" s="8"/>
      <c r="F9" s="8"/>
      <c r="G9" s="8"/>
      <c r="H9" s="20"/>
    </row>
    <row r="10">
      <c r="B10" t="s">
        <v>48</v>
      </c>
      <c r="C10" s="3">
        <f>Inputs!L22</f>
        <v>1069</v>
      </c>
      <c r="D10" s="3">
        <f>Inputs!L23</f>
        <v>1318.8</v>
      </c>
      <c r="E10" s="3">
        <f>Inputs!L24</f>
        <v>1094.2</v>
      </c>
      <c r="F10" s="3">
        <f>Inputs!L25</f>
        <v>1103.5</v>
      </c>
      <c r="G10" s="3">
        <f>Inputs!L26</f>
        <v>4585.5</v>
      </c>
      <c r="H10" s="20">
        <f>C17</f>
        <v>1076.2</v>
      </c>
      <c r="J10" t="s">
        <v>49</v>
      </c>
    </row>
    <row r="11">
      <c r="B11" s="32" t="s">
        <v>50</v>
      </c>
      <c r="C11" s="34">
        <v>0.005</v>
      </c>
      <c r="D11" s="34">
        <v>-0.03</v>
      </c>
      <c r="E11" s="34">
        <v>0.039</v>
      </c>
      <c r="F11" s="34">
        <v>0.003</v>
      </c>
      <c r="G11" s="34">
        <v>0.003</v>
      </c>
      <c r="H11" s="37">
        <v>-0.044</v>
      </c>
      <c r="J11" t="s">
        <v>51</v>
      </c>
    </row>
    <row r="12">
      <c r="B12" s="32" t="s">
        <v>52</v>
      </c>
      <c r="C12" s="34">
        <v>-0.003</v>
      </c>
      <c r="D12" s="34">
        <v>-0.021</v>
      </c>
      <c r="E12" s="34">
        <v>-0.003</v>
      </c>
      <c r="F12" s="34">
        <v>-0.008</v>
      </c>
      <c r="G12" s="34">
        <v>-0.01</v>
      </c>
      <c r="H12" s="37">
        <v>0.017</v>
      </c>
      <c r="J12" t="s">
        <v>53</v>
      </c>
    </row>
    <row r="13">
      <c r="B13" s="32" t="s">
        <v>54</v>
      </c>
      <c r="C13" s="31">
        <f>(1+C11)*(1+C12)-1</f>
        <v>0.0019849999999999035</v>
      </c>
      <c r="D13" s="31">
        <f>(1+D11)*(1+D12)-1</f>
        <v>-0.050370000000000026</v>
      </c>
      <c r="E13" s="31">
        <f>(1+E11)*(1+E12)-1</f>
        <v>0.03588299999999989</v>
      </c>
      <c r="F13" s="31">
        <f>(1+F11)*(1+F12)-1</f>
        <v>-0.0050240000000001395</v>
      </c>
      <c r="G13" s="31">
        <f>(1+G11)*(1+G12)-1</f>
        <v>-0.007030000000000092</v>
      </c>
      <c r="H13" s="35">
        <f>(1+H11)*(1+H12)-1</f>
        <v>-0.027748000000000106</v>
      </c>
      <c r="J13" t="s">
        <v>55</v>
      </c>
    </row>
    <row r="14">
      <c r="B14" s="32" t="s">
        <v>56</v>
      </c>
      <c r="C14" s="34">
        <v>-0.011</v>
      </c>
      <c r="D14" s="34">
        <v>-0.014</v>
      </c>
      <c r="E14" s="34">
        <v>-0.02</v>
      </c>
      <c r="F14" s="34">
        <v>-0.018</v>
      </c>
      <c r="G14" s="34">
        <v>-0.015</v>
      </c>
      <c r="H14" s="37">
        <v>-0.0015</v>
      </c>
      <c r="J14" t="s">
        <v>57</v>
      </c>
    </row>
    <row r="15">
      <c r="B15" s="32" t="s">
        <v>58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7">
        <v>0</v>
      </c>
      <c r="J15" t="s">
        <v>59</v>
      </c>
    </row>
    <row r="16">
      <c r="B16" s="32" t="s">
        <v>60</v>
      </c>
      <c r="C16" s="34">
        <v>0</v>
      </c>
      <c r="D16" s="34">
        <v>0</v>
      </c>
      <c r="E16" s="34">
        <v>0</v>
      </c>
      <c r="F16" s="34">
        <v>0.077</v>
      </c>
      <c r="G16" s="34">
        <v>0.018</v>
      </c>
      <c r="H16" s="37">
        <v>0</v>
      </c>
      <c r="J16" t="s">
        <v>61</v>
      </c>
    </row>
    <row r="17">
      <c r="B17" s="27" t="s">
        <v>62</v>
      </c>
      <c r="C17" s="23">
        <f>Inputs!L14</f>
        <v>1076.2</v>
      </c>
      <c r="D17" s="23">
        <f>Inputs!L15</f>
        <v>1251.2</v>
      </c>
      <c r="E17" s="23">
        <f>Inputs!L16</f>
        <v>1133.2</v>
      </c>
      <c r="F17" s="23">
        <f>Inputs!L17</f>
        <v>1181.2</v>
      </c>
      <c r="G17" s="23">
        <f>Inputs!L18</f>
        <v>4641.8</v>
      </c>
      <c r="H17" s="26">
        <f>H10*(1+H13)*(1+H14)*(1+H15)*(1+H16)</f>
        <v>1044.7680959964</v>
      </c>
      <c r="J17" t="s">
        <v>63</v>
      </c>
    </row>
    <row r="18">
      <c r="B18" s="32" t="s">
        <v>32</v>
      </c>
      <c r="C18" s="33">
        <f>C17/Inputs!L29-1</f>
        <v>-0.009388807069219518</v>
      </c>
      <c r="D18" s="33">
        <f>D17/Inputs!L30-1</f>
        <v>-0.06522226372805373</v>
      </c>
      <c r="E18" s="33">
        <f>E17/Inputs!L31-1</f>
        <v>0.01577626389386899</v>
      </c>
      <c r="F18" s="33">
        <f>F17/Inputs!L32-1</f>
        <v>0.05295061508290266</v>
      </c>
      <c r="G18" s="33">
        <f>G17/Inputs!L33-1</f>
        <v>-0.004396971451858578</v>
      </c>
      <c r="H18" s="35">
        <f>H17/C17-1</f>
        <v>-0.029206378000000033</v>
      </c>
    </row>
    <row r="19">
      <c r="B19" s="32" t="s">
        <v>43</v>
      </c>
      <c r="C19" s="31"/>
      <c r="D19" s="31">
        <f>D17/C17-1</f>
        <v>0.1626091804497305</v>
      </c>
      <c r="E19" s="31">
        <f>E17/D17-1</f>
        <v>-0.09430946291560105</v>
      </c>
      <c r="F19" s="31">
        <f>F17/E17-1</f>
        <v>0.04235792446170139</v>
      </c>
      <c r="G19" s="31"/>
      <c r="H19" s="35">
        <f>H17/F17-1</f>
        <v>-0.11550279715848288</v>
      </c>
    </row>
    <row r="20">
      <c r="B20" s="32" t="s">
        <v>64</v>
      </c>
      <c r="C20" s="33">
        <f>C17/'Revenue summary'!C29</f>
        <v>0.4087973866139938</v>
      </c>
      <c r="D20" s="33">
        <f>D17/'Revenue summary'!D29</f>
        <v>0.4199926152193616</v>
      </c>
      <c r="E20" s="33">
        <f>E17/'Revenue summary'!E29</f>
        <v>0.4064854006743669</v>
      </c>
      <c r="F20" s="33">
        <f>F17/'Revenue summary'!F29</f>
        <v>0.40984004718781447</v>
      </c>
      <c r="G20" s="33">
        <f>G17/'Revenue summary'!G29</f>
        <v>0.4114487306764998</v>
      </c>
      <c r="H20" s="30">
        <f>H17/'Revenue summary'!H29</f>
        <v>0.4033372399688079</v>
      </c>
    </row>
    <row r="21">
      <c r="B21" s="32" t="s">
        <v>65</v>
      </c>
      <c r="C21" s="11">
        <f>(1+C18)/((1+C14)*(1+C15)*(1+C16))-1</f>
        <v>0.0016291131757133481</v>
      </c>
      <c r="D21" s="31">
        <f>(1+D18)/((1+D14)*(1+D15)*(1+D16))-1</f>
        <v>-0.05194955753352304</v>
      </c>
      <c r="E21" s="31">
        <f>(1+E18)/((1+E14)*(1+E15)*(1+E16))-1</f>
        <v>0.03650639172843784</v>
      </c>
      <c r="F21" s="31">
        <f>(1+F18)/((1+F14)*(1+F15)*(1+F16))-1</f>
        <v>-0.004409344918937519</v>
      </c>
      <c r="G21" s="11">
        <f>(1+G18)/((1+G14)*(1+G15)*(1+G16))-1</f>
        <v>-0.007107567791786895</v>
      </c>
      <c r="H21" s="35">
        <f>(1+H18)/((1+H14)*(1+H15)*(1+H16))-1</f>
        <v>-0.027748000000000106</v>
      </c>
    </row>
    <row r="22">
      <c r="B22" s="27" t="s">
        <v>66</v>
      </c>
      <c r="C22" s="25">
        <v>113</v>
      </c>
      <c r="D22" s="25">
        <v>-832</v>
      </c>
      <c r="E22" s="25">
        <v>100</v>
      </c>
      <c r="F22" s="25">
        <v>-1607</v>
      </c>
      <c r="G22" s="28">
        <f>SUM(C22:F22)</f>
        <v>-2226</v>
      </c>
      <c r="H22" s="26">
        <f>H17*H23</f>
        <v>96.1186648316688</v>
      </c>
    </row>
    <row r="23">
      <c r="B23" s="32" t="s">
        <v>67</v>
      </c>
      <c r="C23" s="31">
        <f>C22/C17</f>
        <v>0.10499907080468314</v>
      </c>
      <c r="D23" s="31">
        <f>D22/D17</f>
        <v>-0.6649616368286445</v>
      </c>
      <c r="E23" s="31">
        <f>E22/E17</f>
        <v>0.08824567596187786</v>
      </c>
      <c r="F23" s="31">
        <f>F22/F17</f>
        <v>-1.3604808669150017</v>
      </c>
      <c r="G23" s="31">
        <f>G22/G17</f>
        <v>-0.4795553449093024</v>
      </c>
      <c r="H23" s="37">
        <v>0.092</v>
      </c>
      <c r="J23" t="s">
        <v>68</v>
      </c>
    </row>
    <row r="24">
      <c r="B24" t="s">
        <v>69</v>
      </c>
      <c r="C24" s="42"/>
      <c r="D24" s="42">
        <f>(D23-C23)*10000</f>
        <v>-7699.607076333277</v>
      </c>
      <c r="E24" s="42">
        <f>(E23-D23)*10000</f>
        <v>7532.073127905223</v>
      </c>
      <c r="F24" s="42">
        <f>(F23-E23)*10000</f>
        <v>-14487.265428768796</v>
      </c>
      <c r="G24" s="42"/>
      <c r="H24" s="39">
        <f>(H23-C23)*10000</f>
        <v>-129.9907080468314</v>
      </c>
    </row>
    <row r="25">
      <c r="B25" s="32" t="s">
        <v>70</v>
      </c>
      <c r="C25" s="31">
        <f>C21</f>
        <v>0.0016291131757133481</v>
      </c>
      <c r="D25" s="31">
        <f>D21</f>
        <v>-0.05194955753352304</v>
      </c>
      <c r="E25" s="31">
        <f>E21</f>
        <v>0.03650639172843784</v>
      </c>
      <c r="F25" s="31">
        <f>F21</f>
        <v>-0.004409344918937519</v>
      </c>
      <c r="G25" s="31">
        <f>G21</f>
        <v>-0.007107567791786895</v>
      </c>
      <c r="H25" s="35">
        <f>H21</f>
        <v>-0.027748000000000106</v>
      </c>
    </row>
    <row r="26">
      <c r="B26" s="32" t="s">
        <v>71</v>
      </c>
      <c r="C26" s="31">
        <f>C14</f>
        <v>-0.011</v>
      </c>
      <c r="D26" s="31">
        <f>D14</f>
        <v>-0.014</v>
      </c>
      <c r="E26" s="31">
        <f>E14</f>
        <v>-0.02</v>
      </c>
      <c r="F26" s="31">
        <f>F14</f>
        <v>-0.018</v>
      </c>
      <c r="G26" s="31">
        <f>G14</f>
        <v>-0.015</v>
      </c>
      <c r="H26" s="35">
        <f>H14</f>
        <v>-0.0015</v>
      </c>
    </row>
    <row r="27">
      <c r="B27" s="32" t="s">
        <v>72</v>
      </c>
      <c r="C27" s="31">
        <f>C15</f>
        <v>0</v>
      </c>
      <c r="D27" s="31">
        <f>D15</f>
        <v>0</v>
      </c>
      <c r="E27" s="31">
        <f>E15</f>
        <v>0</v>
      </c>
      <c r="F27" s="31">
        <f>F15</f>
        <v>0</v>
      </c>
      <c r="G27" s="31">
        <f>G15</f>
        <v>0</v>
      </c>
      <c r="H27" s="35">
        <f>H15</f>
        <v>0</v>
      </c>
    </row>
    <row r="28">
      <c r="B28" s="32" t="s">
        <v>73</v>
      </c>
      <c r="C28" s="31">
        <f>C16</f>
        <v>0</v>
      </c>
      <c r="D28" s="31">
        <f>D16</f>
        <v>0</v>
      </c>
      <c r="E28" s="31">
        <f>E16</f>
        <v>0</v>
      </c>
      <c r="F28" s="31">
        <f>F16</f>
        <v>0.077</v>
      </c>
      <c r="G28" s="31">
        <f>G16</f>
        <v>0.018</v>
      </c>
      <c r="H28" s="35">
        <f>H16</f>
        <v>0</v>
      </c>
    </row>
    <row r="29">
      <c r="B29" s="32" t="s">
        <v>74</v>
      </c>
      <c r="C29" s="31">
        <f>C18</f>
        <v>-0.009388807069219518</v>
      </c>
      <c r="D29" s="31">
        <f>D18</f>
        <v>-0.06522226372805373</v>
      </c>
      <c r="E29" s="31">
        <f>E18</f>
        <v>0.01577626389386899</v>
      </c>
      <c r="F29" s="31">
        <f>F18</f>
        <v>0.05295061508290266</v>
      </c>
      <c r="G29" s="31">
        <f>G18</f>
        <v>-0.004396971451858578</v>
      </c>
      <c r="H29" s="35">
        <f>H18</f>
        <v>-0.029206378000000033</v>
      </c>
    </row>
    <row r="30">
      <c r="B30" t="s">
        <v>75</v>
      </c>
      <c r="C30" s="8"/>
      <c r="D30" s="8"/>
      <c r="E30" s="8"/>
      <c r="F30" s="8"/>
      <c r="G30" s="8"/>
      <c r="H30" s="20"/>
    </row>
    <row r="31">
      <c r="B31" t="s">
        <v>76</v>
      </c>
      <c r="C31" s="8"/>
      <c r="D31" s="8">
        <f>(D11-C11)*10000</f>
        <v>-349.99999999999994</v>
      </c>
      <c r="E31" s="8">
        <f>(E11-D11)*10000</f>
        <v>690.0000000000001</v>
      </c>
      <c r="F31" s="8">
        <f>(F11-E11)*10000</f>
        <v>-360</v>
      </c>
      <c r="G31" s="8"/>
      <c r="H31" s="20">
        <f>(H11-F11)*10000</f>
        <v>-470</v>
      </c>
    </row>
    <row r="32">
      <c r="B32" t="s">
        <v>77</v>
      </c>
      <c r="C32" s="8"/>
      <c r="D32" s="8">
        <f>(D12-C12)*10000</f>
        <v>-180.00000000000003</v>
      </c>
      <c r="E32" s="8">
        <f>(E12-D12)*10000</f>
        <v>180.00000000000003</v>
      </c>
      <c r="F32" s="8">
        <f>(F12-E12)*10000</f>
        <v>-50</v>
      </c>
      <c r="G32" s="8"/>
      <c r="H32" s="20">
        <f>(H12-F12)*10000</f>
        <v>250</v>
      </c>
    </row>
    <row r="33">
      <c r="B33" t="s">
        <v>78</v>
      </c>
      <c r="C33" s="8"/>
      <c r="D33" s="8">
        <f>(D13-C13)*10000</f>
        <v>-523.5499999999993</v>
      </c>
      <c r="E33" s="8">
        <f>(E13-D13)*10000</f>
        <v>862.5299999999992</v>
      </c>
      <c r="F33" s="8">
        <f>(F13-E13)*10000</f>
        <v>-409.0700000000003</v>
      </c>
      <c r="G33" s="8"/>
      <c r="H33" s="20">
        <f>(H13-F13)*10000</f>
        <v>-227.23999999999967</v>
      </c>
    </row>
    <row r="34">
      <c r="B34" t="s">
        <v>79</v>
      </c>
      <c r="C34" s="8"/>
      <c r="D34" s="8">
        <f>(D14-C14)*10000</f>
        <v>-30.00000000000001</v>
      </c>
      <c r="E34" s="8">
        <f>(E14-D14)*10000</f>
        <v>-60</v>
      </c>
      <c r="F34" s="8">
        <f>(F14-E14)*10000</f>
        <v>20.000000000000018</v>
      </c>
      <c r="G34" s="8"/>
      <c r="H34" s="20">
        <f>(H14-F14)*10000</f>
        <v>164.99999999999997</v>
      </c>
    </row>
    <row r="35">
      <c r="B35" t="s">
        <v>80</v>
      </c>
      <c r="C35" s="8"/>
      <c r="D35" s="8">
        <f>(D15-C15)*10000</f>
        <v>0</v>
      </c>
      <c r="E35" s="8">
        <f>(E15-D15)*10000</f>
        <v>0</v>
      </c>
      <c r="F35" s="8">
        <f>(F15-E15)*10000</f>
        <v>0</v>
      </c>
      <c r="G35" s="8"/>
      <c r="H35" s="20">
        <f>(H15-F15)*10000</f>
        <v>0</v>
      </c>
    </row>
    <row r="36">
      <c r="B36" t="s">
        <v>81</v>
      </c>
      <c r="C36" s="8"/>
      <c r="D36" s="8"/>
      <c r="E36" s="8"/>
      <c r="F36" s="8"/>
      <c r="G36" s="8"/>
      <c r="H36" s="20">
        <f>(H11-C11)*10000</f>
        <v>-489.99999999999994</v>
      </c>
    </row>
    <row r="37">
      <c r="B37" t="s">
        <v>82</v>
      </c>
      <c r="C37" s="8"/>
      <c r="D37" s="8"/>
      <c r="E37" s="8"/>
      <c r="F37" s="8"/>
      <c r="G37" s="8"/>
      <c r="H37" s="20">
        <f>(H12-C12)*10000</f>
        <v>200</v>
      </c>
    </row>
    <row r="38">
      <c r="B38" t="s">
        <v>83</v>
      </c>
      <c r="C38" s="8"/>
      <c r="D38" s="8">
        <f>D17-C17</f>
        <v>175</v>
      </c>
      <c r="E38" s="8">
        <f>E17-D17</f>
        <v>-118</v>
      </c>
      <c r="F38" s="8">
        <f>F17-E17</f>
        <v>48</v>
      </c>
      <c r="G38" s="8"/>
      <c r="H38" s="20">
        <f>H17-F17</f>
        <v>-136.43190400360004</v>
      </c>
    </row>
    <row r="39">
      <c r="B39" t="s">
        <v>84</v>
      </c>
      <c r="C39" s="8"/>
      <c r="D39" s="8">
        <f>(D23-C23)*10000</f>
        <v>-7699.607076333277</v>
      </c>
      <c r="E39" s="8">
        <f>(E23-D23)*10000</f>
        <v>7532.073127905223</v>
      </c>
      <c r="F39" s="8">
        <f>(F23-E23)*10000</f>
        <v>-14487.265428768796</v>
      </c>
      <c r="G39" s="8"/>
      <c r="H39" s="20">
        <f>(H23-F23)*10000</f>
        <v>14524.808669150018</v>
      </c>
    </row>
    <row r="40">
      <c r="H40" s="1"/>
    </row>
    <row r="41">
      <c r="B41" t="s">
        <v>85</v>
      </c>
      <c r="C41" s="8"/>
      <c r="D41" s="8"/>
      <c r="E41" s="8"/>
      <c r="F41" s="8"/>
      <c r="G41" s="8"/>
      <c r="H41" s="20">
        <f>(H13-C13)*10000</f>
        <v>-297.3300000000001</v>
      </c>
    </row>
    <row r="42">
      <c r="B42" t="s">
        <v>86</v>
      </c>
      <c r="C42" s="8"/>
      <c r="D42" s="8"/>
      <c r="E42" s="8"/>
      <c r="F42" s="8"/>
      <c r="G42" s="8"/>
      <c r="H42" s="20">
        <f>(H14-C14)*10000</f>
        <v>95</v>
      </c>
    </row>
    <row r="43">
      <c r="B43" t="s">
        <v>87</v>
      </c>
      <c r="C43" s="8"/>
      <c r="D43" s="8"/>
      <c r="E43" s="8"/>
      <c r="F43" s="8"/>
      <c r="G43" s="8"/>
      <c r="H43" s="20">
        <f>(H15-C15)*10000</f>
        <v>0</v>
      </c>
    </row>
    <row r="44">
      <c r="B44" t="s">
        <v>88</v>
      </c>
      <c r="C44" s="8"/>
      <c r="D44" s="8"/>
      <c r="E44" s="8"/>
      <c r="F44" s="8"/>
      <c r="G44" s="8"/>
      <c r="H44" s="20">
        <f>(H16-C16)*10000</f>
        <v>0</v>
      </c>
    </row>
    <row r="45">
      <c r="B45" t="s">
        <v>89</v>
      </c>
      <c r="C45" s="8"/>
      <c r="D45" s="8"/>
      <c r="E45" s="8"/>
      <c r="F45" s="8"/>
      <c r="G45" s="8"/>
      <c r="H45" s="20">
        <f>H17-C17</f>
        <v>-31.43190400360004</v>
      </c>
    </row>
    <row r="46">
      <c r="C46" s="8"/>
      <c r="D46" s="8"/>
      <c r="E46" s="8"/>
      <c r="F46" s="8"/>
      <c r="G46" s="8"/>
      <c r="H46" s="20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J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91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t="s">
        <v>47</v>
      </c>
      <c r="C9" s="8"/>
      <c r="D9" s="8"/>
      <c r="E9" s="8"/>
      <c r="F9" s="8"/>
      <c r="G9" s="8"/>
      <c r="H9" s="20"/>
    </row>
    <row r="10">
      <c r="B10" t="s">
        <v>48</v>
      </c>
      <c r="C10" s="3">
        <f>Inputs!M22</f>
        <v>221.9</v>
      </c>
      <c r="D10" s="3">
        <f>Inputs!M23</f>
        <v>233.3</v>
      </c>
      <c r="E10" s="3">
        <f>Inputs!M24</f>
        <v>214.7</v>
      </c>
      <c r="F10" s="3">
        <f>Inputs!M25</f>
        <v>219.9</v>
      </c>
      <c r="G10" s="3">
        <f>Inputs!M26</f>
        <v>889.8</v>
      </c>
      <c r="H10" s="20">
        <f>C17</f>
        <v>212.3</v>
      </c>
      <c r="J10" t="s">
        <v>49</v>
      </c>
    </row>
    <row r="11">
      <c r="B11" s="32" t="s">
        <v>50</v>
      </c>
      <c r="C11" s="34">
        <v>-0.052</v>
      </c>
      <c r="D11" s="34">
        <v>-0.064</v>
      </c>
      <c r="E11" s="34">
        <v>-0.02</v>
      </c>
      <c r="F11" s="34">
        <v>-0.03</v>
      </c>
      <c r="G11" s="34">
        <v>-0.042</v>
      </c>
      <c r="H11" s="37">
        <v>-0.001</v>
      </c>
      <c r="J11" t="s">
        <v>51</v>
      </c>
    </row>
    <row r="12">
      <c r="B12" s="32" t="s">
        <v>52</v>
      </c>
      <c r="C12" s="34">
        <v>0.017</v>
      </c>
      <c r="D12" s="34">
        <v>0.035</v>
      </c>
      <c r="E12" s="34">
        <v>0.008</v>
      </c>
      <c r="F12" s="34">
        <v>0.006</v>
      </c>
      <c r="G12" s="34">
        <v>0.017</v>
      </c>
      <c r="H12" s="37">
        <v>0.02</v>
      </c>
      <c r="J12" t="s">
        <v>53</v>
      </c>
    </row>
    <row r="13">
      <c r="B13" s="32" t="s">
        <v>54</v>
      </c>
      <c r="C13" s="31">
        <f>(1+C11)*(1+C12)-1</f>
        <v>-0.03588400000000014</v>
      </c>
      <c r="D13" s="31">
        <f>(1+D11)*(1+D12)-1</f>
        <v>-0.031240000000000157</v>
      </c>
      <c r="E13" s="31">
        <f>(1+E11)*(1+E12)-1</f>
        <v>-0.01216000000000006</v>
      </c>
      <c r="F13" s="31">
        <f>(1+F11)*(1+F12)-1</f>
        <v>-0.02417999999999998</v>
      </c>
      <c r="G13" s="31">
        <f>(1+G11)*(1+G12)-1</f>
        <v>-0.025714000000000126</v>
      </c>
      <c r="H13" s="35">
        <f>(1+H11)*(1+H12)-1</f>
        <v>0.018979999999999997</v>
      </c>
      <c r="J13" t="s">
        <v>55</v>
      </c>
    </row>
    <row r="14">
      <c r="B14" s="32" t="s">
        <v>56</v>
      </c>
      <c r="C14" s="34">
        <v>-0.132</v>
      </c>
      <c r="D14" s="34">
        <v>-0.041</v>
      </c>
      <c r="E14" s="34">
        <v>-0.043</v>
      </c>
      <c r="F14" s="34">
        <v>-0.049</v>
      </c>
      <c r="G14" s="34">
        <v>-0.07</v>
      </c>
      <c r="H14" s="37">
        <v>0</v>
      </c>
      <c r="J14" t="s">
        <v>57</v>
      </c>
    </row>
    <row r="15">
      <c r="B15" s="32" t="s">
        <v>58</v>
      </c>
      <c r="C15" s="34">
        <v>-0.013</v>
      </c>
      <c r="D15" s="34">
        <v>0.016</v>
      </c>
      <c r="E15" s="34">
        <v>0.068</v>
      </c>
      <c r="F15" s="34">
        <v>0.06</v>
      </c>
      <c r="G15" s="34">
        <v>0.032</v>
      </c>
      <c r="H15" s="37">
        <v>0.0075</v>
      </c>
      <c r="J15" t="s">
        <v>59</v>
      </c>
    </row>
    <row r="16">
      <c r="B16" s="32" t="s">
        <v>60</v>
      </c>
      <c r="C16" s="34">
        <v>0</v>
      </c>
      <c r="D16" s="34">
        <v>0</v>
      </c>
      <c r="E16" s="34">
        <v>0</v>
      </c>
      <c r="F16" s="34">
        <v>0.077</v>
      </c>
      <c r="G16" s="34">
        <v>0.018</v>
      </c>
      <c r="H16" s="37">
        <v>0</v>
      </c>
      <c r="J16" t="s">
        <v>61</v>
      </c>
    </row>
    <row r="17">
      <c r="B17" s="27" t="s">
        <v>62</v>
      </c>
      <c r="C17" s="23">
        <f>Inputs!M14</f>
        <v>212.3</v>
      </c>
      <c r="D17" s="23">
        <f>Inputs!M15</f>
        <v>230.4</v>
      </c>
      <c r="E17" s="23">
        <f>Inputs!M16</f>
        <v>226.8</v>
      </c>
      <c r="F17" s="23">
        <f>Inputs!M17</f>
        <v>244.4</v>
      </c>
      <c r="G17" s="23">
        <f>Inputs!M18</f>
        <v>913.9</v>
      </c>
      <c r="H17" s="26">
        <f>H10*(1+H13)*(1+H14)*(1+H15)*(1+H16)</f>
        <v>217.951924905</v>
      </c>
      <c r="J17" t="s">
        <v>63</v>
      </c>
    </row>
    <row r="18">
      <c r="B18" s="32" t="s">
        <v>32</v>
      </c>
      <c r="C18" s="33">
        <f>C17/Inputs!M29-1</f>
        <v>-0.18062524121960633</v>
      </c>
      <c r="D18" s="33">
        <f>D17/Inputs!M30-1</f>
        <v>-0.053410024650780596</v>
      </c>
      <c r="E18" s="33">
        <f>E17/Inputs!M31-1</f>
        <v>0.012952210808396591</v>
      </c>
      <c r="F18" s="33">
        <f>F17/Inputs!M32-1</f>
        <v>0.062146892655367214</v>
      </c>
      <c r="G18" s="33">
        <f>G17/Inputs!M33-1</f>
        <v>-0.044537375849451166</v>
      </c>
      <c r="H18" s="35">
        <f>H17/C17-1</f>
        <v>0.026622350000000017</v>
      </c>
    </row>
    <row r="19">
      <c r="B19" s="32" t="s">
        <v>43</v>
      </c>
      <c r="C19" s="31"/>
      <c r="D19" s="31">
        <f>D17/C17-1</f>
        <v>0.08525671219971742</v>
      </c>
      <c r="E19" s="31">
        <f>E17/D17-1</f>
        <v>-0.015625</v>
      </c>
      <c r="F19" s="31">
        <f>F17/E17-1</f>
        <v>0.07760141093474426</v>
      </c>
      <c r="G19" s="31"/>
      <c r="H19" s="35">
        <f>H17/F17-1</f>
        <v>-0.10821634654255319</v>
      </c>
    </row>
    <row r="20">
      <c r="B20" s="32" t="s">
        <v>64</v>
      </c>
      <c r="C20" s="33">
        <f>C17/'Revenue summary'!C29</f>
        <v>0.08064271062827623</v>
      </c>
      <c r="D20" s="33">
        <f>D17/'Revenue summary'!D29</f>
        <v>0.07733879359538116</v>
      </c>
      <c r="E20" s="33">
        <f>E17/'Revenue summary'!E29</f>
        <v>0.08135447306119521</v>
      </c>
      <c r="F20" s="33">
        <f>F17/'Revenue summary'!F29</f>
        <v>0.08479927830401444</v>
      </c>
      <c r="G20" s="33">
        <f>G17/'Revenue summary'!G29</f>
        <v>0.08100801304779463</v>
      </c>
      <c r="H20" s="30">
        <f>H17/'Revenue summary'!H29</f>
        <v>0.08414128281093156</v>
      </c>
    </row>
    <row r="21">
      <c r="B21" s="32" t="s">
        <v>65</v>
      </c>
      <c r="C21" s="11">
        <f>(1+C18)/((1+C14)*(1+C15)*(1+C16))-1</f>
        <v>-0.04358648749364591</v>
      </c>
      <c r="D21" s="31">
        <f>(1+D18)/((1+D14)*(1+D15)*(1+D16))-1</f>
        <v>-0.02848483148742187</v>
      </c>
      <c r="E21" s="31">
        <f>(1+E18)/((1+E14)*(1+E15)*(1+E16))-1</f>
        <v>-0.008926722857794722</v>
      </c>
      <c r="F21" s="31">
        <f>(1+F18)/((1+F14)*(1+F15)*(1+F16))-1</f>
        <v>-0.02167647364344849</v>
      </c>
      <c r="G21" s="11">
        <f>(1+G18)/((1+G14)*(1+G15)*(1+G16))-1</f>
        <v>-0.022080110574315137</v>
      </c>
      <c r="H21" s="35">
        <f>(1+H18)/((1+H14)*(1+H15)*(1+H16))-1</f>
        <v>0.018979999999999997</v>
      </c>
    </row>
    <row r="22">
      <c r="B22" s="27" t="s">
        <v>66</v>
      </c>
      <c r="C22" s="25">
        <v>37.4</v>
      </c>
      <c r="D22" s="25">
        <v>31.5</v>
      </c>
      <c r="E22" s="25">
        <v>32</v>
      </c>
      <c r="F22" s="25">
        <v>32.3</v>
      </c>
      <c r="G22" s="28">
        <f>SUM(C22:F22)</f>
        <v>133.2</v>
      </c>
      <c r="H22" s="26">
        <f>H17*H23</f>
        <v>30.513269486700004</v>
      </c>
    </row>
    <row r="23">
      <c r="B23" s="32" t="s">
        <v>67</v>
      </c>
      <c r="C23" s="31">
        <f>C22/C17</f>
        <v>0.17616580310880828</v>
      </c>
      <c r="D23" s="31">
        <f>D22/D17</f>
        <v>0.13671875</v>
      </c>
      <c r="E23" s="31">
        <f>E22/E17</f>
        <v>0.14109347442680775</v>
      </c>
      <c r="F23" s="31">
        <f>F22/F17</f>
        <v>0.13216039279869066</v>
      </c>
      <c r="G23" s="31">
        <f>G22/G17</f>
        <v>0.145748987854251</v>
      </c>
      <c r="H23" s="37">
        <v>0.14</v>
      </c>
      <c r="J23" t="s">
        <v>68</v>
      </c>
    </row>
    <row r="24">
      <c r="B24" t="s">
        <v>69</v>
      </c>
      <c r="C24" s="42"/>
      <c r="D24" s="42">
        <f>(D23-C23)*10000</f>
        <v>-394.4705310880828</v>
      </c>
      <c r="E24" s="42">
        <f>(E23-D23)*10000</f>
        <v>43.74724426807752</v>
      </c>
      <c r="F24" s="42">
        <f>(F23-E23)*10000</f>
        <v>-89.33081628117095</v>
      </c>
      <c r="G24" s="42"/>
      <c r="H24" s="39">
        <f>(H23-C23)*10000</f>
        <v>-361.6580310880826</v>
      </c>
    </row>
    <row r="25">
      <c r="B25" s="32" t="s">
        <v>70</v>
      </c>
      <c r="C25" s="31">
        <f>C21</f>
        <v>-0.04358648749364591</v>
      </c>
      <c r="D25" s="31">
        <f>D21</f>
        <v>-0.02848483148742187</v>
      </c>
      <c r="E25" s="31">
        <f>E21</f>
        <v>-0.008926722857794722</v>
      </c>
      <c r="F25" s="31">
        <f>F21</f>
        <v>-0.02167647364344849</v>
      </c>
      <c r="G25" s="31">
        <f>G21</f>
        <v>-0.022080110574315137</v>
      </c>
      <c r="H25" s="35">
        <f>H21</f>
        <v>0.018979999999999997</v>
      </c>
    </row>
    <row r="26">
      <c r="B26" s="32" t="s">
        <v>71</v>
      </c>
      <c r="C26" s="31">
        <f>C14</f>
        <v>-0.132</v>
      </c>
      <c r="D26" s="31">
        <f>D14</f>
        <v>-0.041</v>
      </c>
      <c r="E26" s="31">
        <f>E14</f>
        <v>-0.043</v>
      </c>
      <c r="F26" s="31">
        <f>F14</f>
        <v>-0.049</v>
      </c>
      <c r="G26" s="31">
        <f>G14</f>
        <v>-0.07</v>
      </c>
      <c r="H26" s="35">
        <f>H14</f>
        <v>0</v>
      </c>
    </row>
    <row r="27">
      <c r="B27" s="32" t="s">
        <v>72</v>
      </c>
      <c r="C27" s="31">
        <f>C15</f>
        <v>-0.013</v>
      </c>
      <c r="D27" s="31">
        <f>D15</f>
        <v>0.016</v>
      </c>
      <c r="E27" s="31">
        <f>E15</f>
        <v>0.068</v>
      </c>
      <c r="F27" s="31">
        <f>F15</f>
        <v>0.06</v>
      </c>
      <c r="G27" s="31">
        <f>G15</f>
        <v>0.032</v>
      </c>
      <c r="H27" s="35">
        <f>H15</f>
        <v>0.0075</v>
      </c>
    </row>
    <row r="28">
      <c r="B28" s="32" t="s">
        <v>73</v>
      </c>
      <c r="C28" s="31">
        <f>C16</f>
        <v>0</v>
      </c>
      <c r="D28" s="31">
        <f>D16</f>
        <v>0</v>
      </c>
      <c r="E28" s="31">
        <f>E16</f>
        <v>0</v>
      </c>
      <c r="F28" s="31">
        <f>F16</f>
        <v>0.077</v>
      </c>
      <c r="G28" s="31">
        <f>G16</f>
        <v>0.018</v>
      </c>
      <c r="H28" s="35">
        <f>H16</f>
        <v>0</v>
      </c>
    </row>
    <row r="29">
      <c r="B29" s="32" t="s">
        <v>74</v>
      </c>
      <c r="C29" s="31">
        <f>C18</f>
        <v>-0.18062524121960633</v>
      </c>
      <c r="D29" s="31">
        <f>D18</f>
        <v>-0.053410024650780596</v>
      </c>
      <c r="E29" s="31">
        <f>E18</f>
        <v>0.012952210808396591</v>
      </c>
      <c r="F29" s="31">
        <f>F18</f>
        <v>0.062146892655367214</v>
      </c>
      <c r="G29" s="31">
        <f>G18</f>
        <v>-0.044537375849451166</v>
      </c>
      <c r="H29" s="35">
        <f>H18</f>
        <v>0.026622350000000017</v>
      </c>
    </row>
    <row r="30">
      <c r="B30" t="s">
        <v>75</v>
      </c>
      <c r="C30" s="8"/>
      <c r="D30" s="8"/>
      <c r="E30" s="8"/>
      <c r="F30" s="8"/>
      <c r="G30" s="8"/>
      <c r="H30" s="20"/>
    </row>
    <row r="31">
      <c r="B31" t="s">
        <v>76</v>
      </c>
      <c r="C31" s="8"/>
      <c r="D31" s="8">
        <f>(D11-C11)*10000</f>
        <v>-120.00000000000004</v>
      </c>
      <c r="E31" s="8">
        <f>(E11-D11)*10000</f>
        <v>440</v>
      </c>
      <c r="F31" s="8">
        <f>(F11-E11)*10000</f>
        <v>-99.99999999999999</v>
      </c>
      <c r="G31" s="8"/>
      <c r="H31" s="20">
        <f>(H11-F11)*10000</f>
        <v>290</v>
      </c>
    </row>
    <row r="32">
      <c r="B32" t="s">
        <v>77</v>
      </c>
      <c r="C32" s="8"/>
      <c r="D32" s="8">
        <f>(D12-C12)*10000</f>
        <v>180.00000000000003</v>
      </c>
      <c r="E32" s="8">
        <f>(E12-D12)*10000</f>
        <v>-270.00000000000006</v>
      </c>
      <c r="F32" s="8">
        <f>(F12-E12)*10000</f>
        <v>-20</v>
      </c>
      <c r="G32" s="8"/>
      <c r="H32" s="20">
        <f>(H12-F12)*10000</f>
        <v>140</v>
      </c>
    </row>
    <row r="33">
      <c r="B33" t="s">
        <v>78</v>
      </c>
      <c r="C33" s="8"/>
      <c r="D33" s="8">
        <f>(D13-C13)*10000</f>
        <v>46.43999999999981</v>
      </c>
      <c r="E33" s="8">
        <f>(E13-D13)*10000</f>
        <v>190.80000000000098</v>
      </c>
      <c r="F33" s="8">
        <f>(F13-E13)*10000</f>
        <v>-120.19999999999919</v>
      </c>
      <c r="G33" s="8"/>
      <c r="H33" s="20">
        <f>(H13-F13)*10000</f>
        <v>431.59999999999974</v>
      </c>
    </row>
    <row r="34">
      <c r="B34" t="s">
        <v>79</v>
      </c>
      <c r="C34" s="8"/>
      <c r="D34" s="8">
        <f>(D14-C14)*10000</f>
        <v>910</v>
      </c>
      <c r="E34" s="8">
        <f>(E14-D14)*10000</f>
        <v>-19.999999999999947</v>
      </c>
      <c r="F34" s="8">
        <f>(F14-E14)*10000</f>
        <v>-60.00000000000006</v>
      </c>
      <c r="G34" s="8"/>
      <c r="H34" s="20">
        <f>(H14-F14)*10000</f>
        <v>490</v>
      </c>
    </row>
    <row r="35">
      <c r="B35" t="s">
        <v>80</v>
      </c>
      <c r="C35" s="8"/>
      <c r="D35" s="8">
        <f>(D15-C15)*10000</f>
        <v>290</v>
      </c>
      <c r="E35" s="8">
        <f>(E15-D15)*10000</f>
        <v>520</v>
      </c>
      <c r="F35" s="8">
        <f>(F15-E15)*10000</f>
        <v>-80.00000000000007</v>
      </c>
      <c r="G35" s="8"/>
      <c r="H35" s="20">
        <f>(H15-F15)*10000</f>
        <v>-525</v>
      </c>
    </row>
    <row r="36">
      <c r="B36" t="s">
        <v>81</v>
      </c>
      <c r="C36" s="8"/>
      <c r="D36" s="8"/>
      <c r="E36" s="8"/>
      <c r="F36" s="8"/>
      <c r="G36" s="8"/>
      <c r="H36" s="20">
        <f>(H11-C11)*10000</f>
        <v>509.99999999999994</v>
      </c>
    </row>
    <row r="37">
      <c r="B37" t="s">
        <v>82</v>
      </c>
      <c r="C37" s="8"/>
      <c r="D37" s="8"/>
      <c r="E37" s="8"/>
      <c r="F37" s="8"/>
      <c r="G37" s="8"/>
      <c r="H37" s="20">
        <f>(H12-C12)*10000</f>
        <v>29.999999999999993</v>
      </c>
    </row>
    <row r="38">
      <c r="B38" t="s">
        <v>83</v>
      </c>
      <c r="C38" s="8"/>
      <c r="D38" s="8">
        <f>D17-C17</f>
        <v>18.099999999999994</v>
      </c>
      <c r="E38" s="8">
        <f>E17-D17</f>
        <v>-3.5999999999999943</v>
      </c>
      <c r="F38" s="8">
        <f>F17-E17</f>
        <v>17.599999999999994</v>
      </c>
      <c r="G38" s="8"/>
      <c r="H38" s="20">
        <f>H17-F17</f>
        <v>-26.448075095000007</v>
      </c>
    </row>
    <row r="39">
      <c r="B39" t="s">
        <v>84</v>
      </c>
      <c r="C39" s="8"/>
      <c r="D39" s="8">
        <f>(D23-C23)*10000</f>
        <v>-394.4705310880828</v>
      </c>
      <c r="E39" s="8">
        <f>(E23-D23)*10000</f>
        <v>43.74724426807752</v>
      </c>
      <c r="F39" s="8">
        <f>(F23-E23)*10000</f>
        <v>-89.33081628117095</v>
      </c>
      <c r="G39" s="8"/>
      <c r="H39" s="20">
        <f>(H23-F23)*10000</f>
        <v>78.39607201309356</v>
      </c>
    </row>
    <row r="40">
      <c r="H40" s="1"/>
    </row>
    <row r="41">
      <c r="B41" t="s">
        <v>85</v>
      </c>
      <c r="C41" s="8"/>
      <c r="D41" s="8"/>
      <c r="E41" s="8"/>
      <c r="F41" s="8"/>
      <c r="G41" s="8"/>
      <c r="H41" s="20">
        <f>(H13-C13)*10000</f>
        <v>548.6400000000014</v>
      </c>
    </row>
    <row r="42">
      <c r="B42" t="s">
        <v>86</v>
      </c>
      <c r="C42" s="8"/>
      <c r="D42" s="8"/>
      <c r="E42" s="8"/>
      <c r="F42" s="8"/>
      <c r="G42" s="8"/>
      <c r="H42" s="20">
        <f>(H14-C14)*10000</f>
        <v>1320</v>
      </c>
    </row>
    <row r="43">
      <c r="B43" t="s">
        <v>87</v>
      </c>
      <c r="C43" s="8"/>
      <c r="D43" s="8"/>
      <c r="E43" s="8"/>
      <c r="F43" s="8"/>
      <c r="G43" s="8"/>
      <c r="H43" s="20">
        <f>(H15-C15)*10000</f>
        <v>204.99999999999997</v>
      </c>
    </row>
    <row r="44">
      <c r="B44" t="s">
        <v>88</v>
      </c>
      <c r="C44" s="8"/>
      <c r="D44" s="8"/>
      <c r="E44" s="8"/>
      <c r="F44" s="8"/>
      <c r="G44" s="8"/>
      <c r="H44" s="20">
        <f>(H16-C16)*10000</f>
        <v>0</v>
      </c>
    </row>
    <row r="45">
      <c r="B45" t="s">
        <v>89</v>
      </c>
      <c r="C45" s="8"/>
      <c r="D45" s="8"/>
      <c r="E45" s="8"/>
      <c r="F45" s="8"/>
      <c r="G45" s="8"/>
      <c r="H45" s="20">
        <f>H17-C17</f>
        <v>5.651924904999987</v>
      </c>
    </row>
    <row r="46">
      <c r="C46" s="8"/>
      <c r="D46" s="8"/>
      <c r="E46" s="8"/>
      <c r="F46" s="8"/>
      <c r="G46" s="8"/>
      <c r="H46" s="20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J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92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t="s">
        <v>47</v>
      </c>
      <c r="C9" s="8"/>
      <c r="D9" s="8"/>
      <c r="E9" s="8"/>
      <c r="F9" s="8"/>
      <c r="G9" s="8"/>
      <c r="H9" s="20"/>
    </row>
    <row r="10">
      <c r="B10" t="s">
        <v>48</v>
      </c>
      <c r="C10" s="3">
        <f>Inputs!N22</f>
        <v>263.1</v>
      </c>
      <c r="D10" s="3">
        <f>Inputs!N23</f>
        <v>287.8</v>
      </c>
      <c r="E10" s="3">
        <f>Inputs!N24</f>
        <v>251.5</v>
      </c>
      <c r="F10" s="3">
        <f>Inputs!N25</f>
        <v>276.1</v>
      </c>
      <c r="G10" s="3">
        <f>Inputs!N26</f>
        <v>1078.5</v>
      </c>
      <c r="H10" s="20">
        <f>C17</f>
        <v>264.5</v>
      </c>
      <c r="J10" t="s">
        <v>49</v>
      </c>
    </row>
    <row r="11">
      <c r="B11" s="32" t="s">
        <v>50</v>
      </c>
      <c r="C11" s="34">
        <v>-0.036</v>
      </c>
      <c r="D11" s="34">
        <v>-0.04</v>
      </c>
      <c r="E11" s="34">
        <v>-0.001</v>
      </c>
      <c r="F11" s="34">
        <v>-0.008</v>
      </c>
      <c r="G11" s="34">
        <v>-0.022</v>
      </c>
      <c r="H11" s="37">
        <v>-0.01</v>
      </c>
      <c r="J11" t="s">
        <v>51</v>
      </c>
    </row>
    <row r="12">
      <c r="B12" s="32" t="s">
        <v>52</v>
      </c>
      <c r="C12" s="34">
        <v>0.038</v>
      </c>
      <c r="D12" s="34">
        <v>0.042</v>
      </c>
      <c r="E12" s="34">
        <v>0.037</v>
      </c>
      <c r="F12" s="34">
        <v>0.026</v>
      </c>
      <c r="G12" s="34">
        <v>0.036</v>
      </c>
      <c r="H12" s="37">
        <v>0.02</v>
      </c>
      <c r="J12" t="s">
        <v>53</v>
      </c>
    </row>
    <row r="13">
      <c r="B13" s="32" t="s">
        <v>54</v>
      </c>
      <c r="C13" s="31">
        <f>(1+C11)*(1+C12)-1</f>
        <v>0.0006319999999999659</v>
      </c>
      <c r="D13" s="31">
        <f>(1+D11)*(1+D12)-1</f>
        <v>0.000320000000000098</v>
      </c>
      <c r="E13" s="31">
        <f>(1+E11)*(1+E12)-1</f>
        <v>0.03596299999999997</v>
      </c>
      <c r="F13" s="31">
        <f>(1+F11)*(1+F12)-1</f>
        <v>0.01779200000000003</v>
      </c>
      <c r="G13" s="31">
        <f>(1+G11)*(1+G12)-1</f>
        <v>0.013208000000000109</v>
      </c>
      <c r="H13" s="35">
        <f>(1+H11)*(1+H12)-1</f>
        <v>0.009800000000000031</v>
      </c>
      <c r="J13" t="s">
        <v>55</v>
      </c>
    </row>
    <row r="14">
      <c r="B14" s="32" t="s">
        <v>56</v>
      </c>
      <c r="C14" s="34">
        <v>-0.01</v>
      </c>
      <c r="D14" s="34">
        <v>-0.015</v>
      </c>
      <c r="E14" s="34">
        <v>-0.018</v>
      </c>
      <c r="F14" s="34">
        <v>-0.014</v>
      </c>
      <c r="G14" s="34">
        <v>-0.016</v>
      </c>
      <c r="H14" s="37">
        <v>0</v>
      </c>
      <c r="J14" t="s">
        <v>57</v>
      </c>
    </row>
    <row r="15">
      <c r="B15" s="32" t="s">
        <v>58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7">
        <v>0</v>
      </c>
      <c r="J15" t="s">
        <v>59</v>
      </c>
    </row>
    <row r="16">
      <c r="B16" s="32" t="s">
        <v>60</v>
      </c>
      <c r="C16" s="34">
        <v>0</v>
      </c>
      <c r="D16" s="34">
        <v>0</v>
      </c>
      <c r="E16" s="34">
        <v>0</v>
      </c>
      <c r="F16" s="34">
        <v>0.077</v>
      </c>
      <c r="G16" s="34">
        <v>0.018</v>
      </c>
      <c r="H16" s="37">
        <v>0</v>
      </c>
      <c r="J16" t="s">
        <v>61</v>
      </c>
    </row>
    <row r="17">
      <c r="B17" s="27" t="s">
        <v>62</v>
      </c>
      <c r="C17" s="23">
        <f>Inputs!N14</f>
        <v>264.5</v>
      </c>
      <c r="D17" s="23">
        <f>Inputs!N15</f>
        <v>288.4</v>
      </c>
      <c r="E17" s="23">
        <f>Inputs!N16</f>
        <v>260.7</v>
      </c>
      <c r="F17" s="23">
        <f>Inputs!N17</f>
        <v>302.2</v>
      </c>
      <c r="G17" s="23">
        <f>Inputs!N18</f>
        <v>1115.8</v>
      </c>
      <c r="H17" s="26">
        <f>H10*(1+H13)*(1+H14)*(1+H15)*(1+H16)</f>
        <v>267.0921</v>
      </c>
      <c r="J17" t="s">
        <v>63</v>
      </c>
    </row>
    <row r="18">
      <c r="B18" s="32" t="s">
        <v>32</v>
      </c>
      <c r="C18" s="33">
        <f>C17/Inputs!N29-1</f>
        <v>-0.00824896887889015</v>
      </c>
      <c r="D18" s="33">
        <f>D17/Inputs!N30-1</f>
        <v>-0.013004791238877544</v>
      </c>
      <c r="E18" s="33">
        <f>E17/Inputs!N31-1</f>
        <v>0.017961733697774207</v>
      </c>
      <c r="F18" s="33">
        <f>F17/Inputs!N32-1</f>
        <v>0.08044333214158028</v>
      </c>
      <c r="G18" s="33">
        <f>G17/Inputs!N33-1</f>
        <v>0.019274687128893575</v>
      </c>
      <c r="H18" s="35">
        <f>H17/C17-1</f>
        <v>0.009800000000000031</v>
      </c>
    </row>
    <row r="19">
      <c r="B19" s="32" t="s">
        <v>43</v>
      </c>
      <c r="C19" s="31"/>
      <c r="D19" s="31">
        <f>D17/C17-1</f>
        <v>0.09035916824196599</v>
      </c>
      <c r="E19" s="31">
        <f>E17/D17-1</f>
        <v>-0.09604715672676833</v>
      </c>
      <c r="F19" s="31">
        <f>F17/E17-1</f>
        <v>0.1591868047564251</v>
      </c>
      <c r="G19" s="31"/>
      <c r="H19" s="35">
        <f>H17/F17-1</f>
        <v>-0.1161743878226339</v>
      </c>
    </row>
    <row r="20">
      <c r="B20" s="32" t="s">
        <v>64</v>
      </c>
      <c r="C20" s="33">
        <f>C17/'Revenue summary'!C29</f>
        <v>0.10047101724530882</v>
      </c>
      <c r="D20" s="33">
        <f>D17/'Revenue summary'!D29</f>
        <v>0.0968077607331073</v>
      </c>
      <c r="E20" s="33">
        <f>E17/'Revenue summary'!E29</f>
        <v>0.09351459932563311</v>
      </c>
      <c r="F20" s="33">
        <f>F17/'Revenue summary'!F29</f>
        <v>0.10485409944137955</v>
      </c>
      <c r="G20" s="33">
        <f>G17/'Revenue summary'!G29</f>
        <v>0.09890441072188341</v>
      </c>
      <c r="H20" s="30">
        <f>H17/'Revenue summary'!H29</f>
        <v>0.10311205983824763</v>
      </c>
    </row>
    <row r="21">
      <c r="B21" s="32" t="s">
        <v>65</v>
      </c>
      <c r="C21" s="11">
        <f>(1+C18)/((1+C14)*(1+C15)*(1+C16))-1</f>
        <v>0.0017687183041512622</v>
      </c>
      <c r="D21" s="31">
        <f>(1+D18)/((1+D14)*(1+D15)*(1+D16))-1</f>
        <v>0.0020255926508858657</v>
      </c>
      <c r="E21" s="31">
        <f>(1+E18)/((1+E14)*(1+E15)*(1+E16))-1</f>
        <v>0.036620910079199875</v>
      </c>
      <c r="F21" s="31">
        <f>(1+F18)/((1+F14)*(1+F15)*(1+F16))-1</f>
        <v>0.01744133009917892</v>
      </c>
      <c r="G21" s="11">
        <f>(1+G18)/((1+G14)*(1+G15)*(1+G16))-1</f>
        <v>0.01753267119580637</v>
      </c>
      <c r="H21" s="35">
        <f>(1+H18)/((1+H14)*(1+H15)*(1+H16))-1</f>
        <v>0.009800000000000031</v>
      </c>
    </row>
    <row r="22">
      <c r="B22" s="27" t="s">
        <v>66</v>
      </c>
      <c r="C22" s="25">
        <v>27.7</v>
      </c>
      <c r="D22" s="25">
        <v>30.8</v>
      </c>
      <c r="E22" s="25">
        <v>25.7</v>
      </c>
      <c r="F22" s="25">
        <v>28.6</v>
      </c>
      <c r="G22" s="28">
        <f>SUM(C22:F22)</f>
        <v>112.8</v>
      </c>
      <c r="H22" s="26">
        <f>H17*H23</f>
        <v>25.373749500000002</v>
      </c>
    </row>
    <row r="23">
      <c r="B23" s="32" t="s">
        <v>67</v>
      </c>
      <c r="C23" s="31">
        <f>C22/C17</f>
        <v>0.10472589792060491</v>
      </c>
      <c r="D23" s="31">
        <f>D22/D17</f>
        <v>0.10679611650485438</v>
      </c>
      <c r="E23" s="31">
        <f>E22/E17</f>
        <v>0.0985807441503644</v>
      </c>
      <c r="F23" s="31">
        <f>F22/F17</f>
        <v>0.09463931171409663</v>
      </c>
      <c r="G23" s="31">
        <f>G22/G17</f>
        <v>0.10109338591145367</v>
      </c>
      <c r="H23" s="37">
        <v>0.095</v>
      </c>
      <c r="J23" t="s">
        <v>68</v>
      </c>
    </row>
    <row r="24">
      <c r="B24" t="s">
        <v>69</v>
      </c>
      <c r="C24" s="42"/>
      <c r="D24" s="42">
        <f>(D23-C23)*10000</f>
        <v>20.702185842494668</v>
      </c>
      <c r="E24" s="42">
        <f>(E23-D23)*10000</f>
        <v>-82.15372354489978</v>
      </c>
      <c r="F24" s="42">
        <f>(F23-E23)*10000</f>
        <v>-39.41432436267767</v>
      </c>
      <c r="G24" s="42"/>
      <c r="H24" s="39">
        <f>(H23-C23)*10000</f>
        <v>-97.25897920604909</v>
      </c>
    </row>
    <row r="25">
      <c r="B25" s="32" t="s">
        <v>70</v>
      </c>
      <c r="C25" s="31">
        <f>C21</f>
        <v>0.0017687183041512622</v>
      </c>
      <c r="D25" s="31">
        <f>D21</f>
        <v>0.0020255926508858657</v>
      </c>
      <c r="E25" s="31">
        <f>E21</f>
        <v>0.036620910079199875</v>
      </c>
      <c r="F25" s="31">
        <f>F21</f>
        <v>0.01744133009917892</v>
      </c>
      <c r="G25" s="31">
        <f>G21</f>
        <v>0.01753267119580637</v>
      </c>
      <c r="H25" s="35">
        <f>H21</f>
        <v>0.009800000000000031</v>
      </c>
    </row>
    <row r="26">
      <c r="B26" s="32" t="s">
        <v>71</v>
      </c>
      <c r="C26" s="31">
        <f>C14</f>
        <v>-0.01</v>
      </c>
      <c r="D26" s="31">
        <f>D14</f>
        <v>-0.015</v>
      </c>
      <c r="E26" s="31">
        <f>E14</f>
        <v>-0.018</v>
      </c>
      <c r="F26" s="31">
        <f>F14</f>
        <v>-0.014</v>
      </c>
      <c r="G26" s="31">
        <f>G14</f>
        <v>-0.016</v>
      </c>
      <c r="H26" s="35">
        <f>H14</f>
        <v>0</v>
      </c>
    </row>
    <row r="27">
      <c r="B27" s="32" t="s">
        <v>72</v>
      </c>
      <c r="C27" s="31">
        <f>C15</f>
        <v>0</v>
      </c>
      <c r="D27" s="31">
        <f>D15</f>
        <v>0</v>
      </c>
      <c r="E27" s="31">
        <f>E15</f>
        <v>0</v>
      </c>
      <c r="F27" s="31">
        <f>F15</f>
        <v>0</v>
      </c>
      <c r="G27" s="31">
        <f>G15</f>
        <v>0</v>
      </c>
      <c r="H27" s="35">
        <f>H15</f>
        <v>0</v>
      </c>
    </row>
    <row r="28">
      <c r="B28" s="32" t="s">
        <v>73</v>
      </c>
      <c r="C28" s="31">
        <f>C16</f>
        <v>0</v>
      </c>
      <c r="D28" s="31">
        <f>D16</f>
        <v>0</v>
      </c>
      <c r="E28" s="31">
        <f>E16</f>
        <v>0</v>
      </c>
      <c r="F28" s="31">
        <f>F16</f>
        <v>0.077</v>
      </c>
      <c r="G28" s="31">
        <f>G16</f>
        <v>0.018</v>
      </c>
      <c r="H28" s="35">
        <f>H16</f>
        <v>0</v>
      </c>
    </row>
    <row r="29">
      <c r="B29" s="32" t="s">
        <v>74</v>
      </c>
      <c r="C29" s="31">
        <f>C18</f>
        <v>-0.00824896887889015</v>
      </c>
      <c r="D29" s="31">
        <f>D18</f>
        <v>-0.013004791238877544</v>
      </c>
      <c r="E29" s="31">
        <f>E18</f>
        <v>0.017961733697774207</v>
      </c>
      <c r="F29" s="31">
        <f>F18</f>
        <v>0.08044333214158028</v>
      </c>
      <c r="G29" s="31">
        <f>G18</f>
        <v>0.019274687128893575</v>
      </c>
      <c r="H29" s="35">
        <f>H18</f>
        <v>0.009800000000000031</v>
      </c>
    </row>
    <row r="30">
      <c r="B30" t="s">
        <v>75</v>
      </c>
      <c r="C30" s="8"/>
      <c r="D30" s="8"/>
      <c r="E30" s="8"/>
      <c r="F30" s="8"/>
      <c r="G30" s="8"/>
      <c r="H30" s="20"/>
    </row>
    <row r="31">
      <c r="B31" t="s">
        <v>76</v>
      </c>
      <c r="C31" s="8"/>
      <c r="D31" s="8">
        <f>(D11-C11)*10000</f>
        <v>-40.000000000000036</v>
      </c>
      <c r="E31" s="8">
        <f>(E11-D11)*10000</f>
        <v>390</v>
      </c>
      <c r="F31" s="8">
        <f>(F11-E11)*10000</f>
        <v>-70</v>
      </c>
      <c r="G31" s="8"/>
      <c r="H31" s="20">
        <f>(H11-F11)*10000</f>
        <v>-20</v>
      </c>
    </row>
    <row r="32">
      <c r="B32" t="s">
        <v>77</v>
      </c>
      <c r="C32" s="8"/>
      <c r="D32" s="8">
        <f>(D12-C12)*10000</f>
        <v>40.000000000000036</v>
      </c>
      <c r="E32" s="8">
        <f>(E12-D12)*10000</f>
        <v>-50.00000000000004</v>
      </c>
      <c r="F32" s="8">
        <f>(F12-E12)*10000</f>
        <v>-110</v>
      </c>
      <c r="G32" s="8"/>
      <c r="H32" s="20">
        <f>(H12-F12)*10000</f>
        <v>-59.999999999999986</v>
      </c>
    </row>
    <row r="33">
      <c r="B33" t="s">
        <v>78</v>
      </c>
      <c r="C33" s="8"/>
      <c r="D33" s="8">
        <f>(D13-C13)*10000</f>
        <v>-3.1199999999986794</v>
      </c>
      <c r="E33" s="8">
        <f>(E13-D13)*10000</f>
        <v>356.4299999999987</v>
      </c>
      <c r="F33" s="8">
        <f>(F13-E13)*10000</f>
        <v>-181.70999999999938</v>
      </c>
      <c r="G33" s="8"/>
      <c r="H33" s="20">
        <f>(H13-F13)*10000</f>
        <v>-79.91999999999999</v>
      </c>
    </row>
    <row r="34">
      <c r="B34" t="s">
        <v>79</v>
      </c>
      <c r="C34" s="8"/>
      <c r="D34" s="8">
        <f>(D14-C14)*10000</f>
        <v>-49.99999999999999</v>
      </c>
      <c r="E34" s="8">
        <f>(E14-D14)*10000</f>
        <v>-29.999999999999993</v>
      </c>
      <c r="F34" s="8">
        <f>(F14-E14)*10000</f>
        <v>39.999999999999986</v>
      </c>
      <c r="G34" s="8"/>
      <c r="H34" s="20">
        <f>(H14-F14)*10000</f>
        <v>140</v>
      </c>
    </row>
    <row r="35">
      <c r="B35" t="s">
        <v>80</v>
      </c>
      <c r="C35" s="8"/>
      <c r="D35" s="8">
        <f>(D15-C15)*10000</f>
        <v>0</v>
      </c>
      <c r="E35" s="8">
        <f>(E15-D15)*10000</f>
        <v>0</v>
      </c>
      <c r="F35" s="8">
        <f>(F15-E15)*10000</f>
        <v>0</v>
      </c>
      <c r="G35" s="8"/>
      <c r="H35" s="20">
        <f>(H15-F15)*10000</f>
        <v>0</v>
      </c>
    </row>
    <row r="36">
      <c r="B36" t="s">
        <v>81</v>
      </c>
      <c r="C36" s="8"/>
      <c r="D36" s="8"/>
      <c r="E36" s="8"/>
      <c r="F36" s="8"/>
      <c r="G36" s="8"/>
      <c r="H36" s="20">
        <f>(H11-C11)*10000</f>
        <v>259.99999999999994</v>
      </c>
    </row>
    <row r="37">
      <c r="B37" t="s">
        <v>82</v>
      </c>
      <c r="C37" s="8"/>
      <c r="D37" s="8"/>
      <c r="E37" s="8"/>
      <c r="F37" s="8"/>
      <c r="G37" s="8"/>
      <c r="H37" s="20">
        <f>(H12-C12)*10000</f>
        <v>-180</v>
      </c>
    </row>
    <row r="38">
      <c r="B38" t="s">
        <v>83</v>
      </c>
      <c r="C38" s="8"/>
      <c r="D38" s="8">
        <f>D17-C17</f>
        <v>23.899999999999977</v>
      </c>
      <c r="E38" s="8">
        <f>E17-D17</f>
        <v>-27.69999999999999</v>
      </c>
      <c r="F38" s="8">
        <f>F17-E17</f>
        <v>41.5</v>
      </c>
      <c r="G38" s="8"/>
      <c r="H38" s="20">
        <f>H17-F17</f>
        <v>-35.10789999999997</v>
      </c>
    </row>
    <row r="39">
      <c r="B39" t="s">
        <v>84</v>
      </c>
      <c r="C39" s="8"/>
      <c r="D39" s="8">
        <f>(D23-C23)*10000</f>
        <v>20.702185842494668</v>
      </c>
      <c r="E39" s="8">
        <f>(E23-D23)*10000</f>
        <v>-82.15372354489978</v>
      </c>
      <c r="F39" s="8">
        <f>(F23-E23)*10000</f>
        <v>-39.41432436267767</v>
      </c>
      <c r="G39" s="8"/>
      <c r="H39" s="20">
        <f>(H23-F23)*10000</f>
        <v>3.606882859033683</v>
      </c>
    </row>
    <row r="40">
      <c r="H40" s="1"/>
    </row>
    <row r="41">
      <c r="B41" t="s">
        <v>85</v>
      </c>
      <c r="C41" s="8"/>
      <c r="D41" s="8"/>
      <c r="E41" s="8"/>
      <c r="F41" s="8"/>
      <c r="G41" s="8"/>
      <c r="H41" s="20">
        <f>(H13-C13)*10000</f>
        <v>91.68000000000065</v>
      </c>
    </row>
    <row r="42">
      <c r="B42" t="s">
        <v>86</v>
      </c>
      <c r="C42" s="8"/>
      <c r="D42" s="8"/>
      <c r="E42" s="8"/>
      <c r="F42" s="8"/>
      <c r="G42" s="8"/>
      <c r="H42" s="20">
        <f>(H14-C14)*10000</f>
        <v>100</v>
      </c>
    </row>
    <row r="43">
      <c r="B43" t="s">
        <v>87</v>
      </c>
      <c r="C43" s="8"/>
      <c r="D43" s="8"/>
      <c r="E43" s="8"/>
      <c r="F43" s="8"/>
      <c r="G43" s="8"/>
      <c r="H43" s="20">
        <f>(H15-C15)*10000</f>
        <v>0</v>
      </c>
    </row>
    <row r="44">
      <c r="B44" t="s">
        <v>88</v>
      </c>
      <c r="C44" s="8"/>
      <c r="D44" s="8"/>
      <c r="E44" s="8"/>
      <c r="F44" s="8"/>
      <c r="G44" s="8"/>
      <c r="H44" s="20">
        <f>(H16-C16)*10000</f>
        <v>0</v>
      </c>
    </row>
    <row r="45">
      <c r="B45" t="s">
        <v>89</v>
      </c>
      <c r="C45" s="8"/>
      <c r="D45" s="8"/>
      <c r="E45" s="8"/>
      <c r="F45" s="8"/>
      <c r="G45" s="8"/>
      <c r="H45" s="20">
        <f>H17-C17</f>
        <v>2.5921000000000163</v>
      </c>
    </row>
    <row r="46">
      <c r="C46" s="8"/>
      <c r="D46" s="8"/>
      <c r="E46" s="8"/>
      <c r="F46" s="8"/>
      <c r="G46" s="8"/>
      <c r="H46" s="20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2:J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93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s="48" t="s">
        <v>94</v>
      </c>
      <c r="C9" s="46">
        <f>'Revenue summary'!C29</f>
        <v>2632.6</v>
      </c>
      <c r="D9" s="46">
        <f>'Revenue summary'!D29</f>
        <v>2979.1</v>
      </c>
      <c r="E9" s="46">
        <f>'Revenue summary'!E29</f>
        <v>2787.8</v>
      </c>
      <c r="F9" s="46">
        <f>'Revenue summary'!F29</f>
        <v>2882.1</v>
      </c>
      <c r="G9" s="46">
        <f>'Revenue summary'!G29</f>
        <v>11281.6</v>
      </c>
      <c r="H9" s="50">
        <f>'Revenue summary'!H29</f>
        <v>2590.3090329006</v>
      </c>
    </row>
    <row r="10">
      <c r="B10" s="32" t="s">
        <v>95</v>
      </c>
      <c r="C10" s="33">
        <f>C9/Inputs!O45-1</f>
        <v>-0.058070056173745055</v>
      </c>
      <c r="D10" s="33">
        <f>D9/Inputs!O46-1</f>
        <v>-0.06760351788676411</v>
      </c>
      <c r="E10" s="33">
        <f>E9/Inputs!O47-1</f>
        <v>-0.018725800774375134</v>
      </c>
      <c r="F10" s="33">
        <f>F9/Inputs!O48-1</f>
        <v>0.036055791214321564</v>
      </c>
      <c r="G10" s="33">
        <f>G9/Inputs!O49-1</f>
        <v>-0.028520253513364513</v>
      </c>
      <c r="H10" s="35">
        <f>H9/C9-1</f>
        <v>-0.016064334535972002</v>
      </c>
    </row>
    <row r="11">
      <c r="B11" t="s">
        <v>96</v>
      </c>
      <c r="C11" s="9">
        <v>1992</v>
      </c>
      <c r="D11" s="9">
        <v>2283.1</v>
      </c>
      <c r="E11" s="9">
        <v>2130.1</v>
      </c>
      <c r="F11" s="9">
        <v>2178</v>
      </c>
      <c r="G11" s="9">
        <v>8583.2</v>
      </c>
      <c r="H11" s="20">
        <f>H9*(1-H42)</f>
        <v>2012.6701185637662</v>
      </c>
    </row>
    <row r="12">
      <c r="B12" s="48" t="s">
        <v>97</v>
      </c>
      <c r="C12" s="43">
        <f>C9-C11</f>
        <v>640.5999999999999</v>
      </c>
      <c r="D12" s="43">
        <f>D9-D11</f>
        <v>696</v>
      </c>
      <c r="E12" s="43">
        <f>E9-E11</f>
        <v>657.7000000000003</v>
      </c>
      <c r="F12" s="43">
        <f>F9-F11</f>
        <v>704.0999999999999</v>
      </c>
      <c r="G12" s="43">
        <f>G9-G11</f>
        <v>2698.3999999999996</v>
      </c>
      <c r="H12" s="49">
        <f>H9-H11</f>
        <v>577.6389143368337</v>
      </c>
    </row>
    <row r="13">
      <c r="B13" s="32" t="s">
        <v>98</v>
      </c>
      <c r="C13" s="31">
        <f>C12/C9</f>
        <v>0.24333358656841142</v>
      </c>
      <c r="D13" s="31">
        <f>D12/D9</f>
        <v>0.23362760565271393</v>
      </c>
      <c r="E13" s="31">
        <f>E12/E9</f>
        <v>0.23592079776167596</v>
      </c>
      <c r="F13" s="31">
        <f>F12/F9</f>
        <v>0.24430103049859475</v>
      </c>
      <c r="G13" s="31">
        <f>G12/G9</f>
        <v>0.23918593107360653</v>
      </c>
      <c r="H13" s="35">
        <f>H12/H9</f>
        <v>0.22299999999999998</v>
      </c>
    </row>
    <row r="14">
      <c r="B14" t="s">
        <v>99</v>
      </c>
      <c r="C14" s="9">
        <v>335.6</v>
      </c>
      <c r="D14" s="9">
        <v>325.1</v>
      </c>
      <c r="E14" s="9">
        <v>377.6</v>
      </c>
      <c r="F14" s="8">
        <f>G14-SUM(C14:E14)</f>
        <v>401.0999999999999</v>
      </c>
      <c r="G14" s="9">
        <v>1439.4</v>
      </c>
      <c r="H14" s="20">
        <f>H43+H44</f>
        <v>355.8</v>
      </c>
    </row>
    <row r="15">
      <c r="B15" t="s">
        <v>100</v>
      </c>
      <c r="C15" s="9">
        <v>0</v>
      </c>
      <c r="D15" s="9">
        <v>771.3</v>
      </c>
      <c r="E15" s="9">
        <v>0</v>
      </c>
      <c r="F15" s="8">
        <f>G15-D15</f>
        <v>1611.1000000000001</v>
      </c>
      <c r="G15" s="9">
        <v>2382.4</v>
      </c>
      <c r="H15" s="12">
        <v>0</v>
      </c>
    </row>
    <row r="16">
      <c r="B16" t="s">
        <v>101</v>
      </c>
      <c r="C16" s="9">
        <v>0</v>
      </c>
      <c r="D16" s="9">
        <v>197</v>
      </c>
      <c r="E16" s="9">
        <v>0</v>
      </c>
      <c r="F16" s="8">
        <f>G16-D16</f>
        <v>350.20000000000005</v>
      </c>
      <c r="G16" s="9">
        <v>547.2</v>
      </c>
      <c r="H16" s="12">
        <v>0</v>
      </c>
    </row>
    <row r="17">
      <c r="B17" t="s">
        <v>102</v>
      </c>
      <c r="C17" s="9">
        <v>-42.4</v>
      </c>
      <c r="D17" s="9">
        <v>0.2</v>
      </c>
      <c r="E17" s="9">
        <v>0</v>
      </c>
      <c r="F17" s="9">
        <v>0</v>
      </c>
      <c r="G17" s="9">
        <v>-42.2</v>
      </c>
      <c r="H17" s="12">
        <v>0</v>
      </c>
    </row>
    <row r="18">
      <c r="B18" s="48" t="s">
        <v>103</v>
      </c>
      <c r="C18" s="43">
        <f>C12-C14-C15-C16-C17</f>
        <v>347.39999999999986</v>
      </c>
      <c r="D18" s="43">
        <f>D12-D14-D15-D16-D17</f>
        <v>-597.6</v>
      </c>
      <c r="E18" s="43">
        <f>E12-E14-E15-E16-E17</f>
        <v>280.10000000000025</v>
      </c>
      <c r="F18" s="43">
        <f>F12-F14-F15-F16-F17</f>
        <v>-1658.3000000000002</v>
      </c>
      <c r="G18" s="43">
        <f>G12-G14-G15-G16-G17</f>
        <v>-1628.4000000000005</v>
      </c>
      <c r="H18" s="49">
        <f>H12-H14-H15-H16-H17</f>
        <v>221.83891433683374</v>
      </c>
    </row>
    <row r="19">
      <c r="B19" s="32" t="s">
        <v>104</v>
      </c>
      <c r="C19" s="31">
        <f>C18/C9</f>
        <v>0.1319607992099065</v>
      </c>
      <c r="D19" s="31">
        <f>D18/D9</f>
        <v>-0.2005974958880199</v>
      </c>
      <c r="E19" s="31">
        <f>E18/E9</f>
        <v>0.10047349164215519</v>
      </c>
      <c r="F19" s="31">
        <f>F18/F9</f>
        <v>-0.5753790638770342</v>
      </c>
      <c r="G19" s="31">
        <f>G18/G9</f>
        <v>-0.14434122819458237</v>
      </c>
      <c r="H19" s="35">
        <f>H18/H9</f>
        <v>0.08564187188446042</v>
      </c>
    </row>
    <row r="20">
      <c r="B20" t="s">
        <v>105</v>
      </c>
      <c r="C20" s="9">
        <v>6.1</v>
      </c>
      <c r="D20" s="9">
        <v>6.1</v>
      </c>
      <c r="E20" s="9">
        <v>6.1</v>
      </c>
      <c r="F20" s="9">
        <v>27.6</v>
      </c>
      <c r="G20" s="9">
        <v>45.9</v>
      </c>
      <c r="H20" s="12">
        <v>6</v>
      </c>
      <c r="J20" t="s">
        <v>106</v>
      </c>
    </row>
    <row r="21">
      <c r="B21" t="s">
        <v>107</v>
      </c>
      <c r="C21" s="9">
        <v>93.8</v>
      </c>
      <c r="D21" s="9">
        <v>96</v>
      </c>
      <c r="E21" s="9">
        <v>93.1</v>
      </c>
      <c r="F21" s="9">
        <v>99.7</v>
      </c>
      <c r="G21" s="9">
        <v>382.6</v>
      </c>
      <c r="H21" s="24">
        <f>Guidance!G16/Guidance!K25</f>
        <v>90</v>
      </c>
    </row>
    <row r="22">
      <c r="B22" t="s">
        <v>108</v>
      </c>
      <c r="C22" s="9">
        <v>29.4</v>
      </c>
      <c r="D22" s="9">
        <v>32.2</v>
      </c>
      <c r="E22" s="9">
        <v>36.5</v>
      </c>
      <c r="F22" s="9">
        <v>42.6</v>
      </c>
      <c r="G22" s="9">
        <v>140.7</v>
      </c>
      <c r="H22" s="24">
        <f>Guidance!G14/Guidance!K25</f>
        <v>35</v>
      </c>
    </row>
    <row r="23">
      <c r="B23" t="s">
        <v>109</v>
      </c>
      <c r="C23" s="8">
        <f>C18+C20-C21+C22</f>
        <v>289.09999999999985</v>
      </c>
      <c r="D23" s="8">
        <f>D18+D20-D21+D22</f>
        <v>-655.3</v>
      </c>
      <c r="E23" s="8">
        <f>E18+E20-E21+E22</f>
        <v>229.60000000000028</v>
      </c>
      <c r="F23" s="8">
        <f>F18+F20-F21+F22</f>
        <v>-1687.8000000000004</v>
      </c>
      <c r="G23" s="8">
        <f>G18+G20-G21+G22</f>
        <v>-1824.4000000000003</v>
      </c>
      <c r="H23" s="20">
        <f>H18+H20-H21+H22</f>
        <v>172.83891433683374</v>
      </c>
    </row>
    <row r="24">
      <c r="B24" t="s">
        <v>110</v>
      </c>
      <c r="C24" s="9">
        <v>124.6</v>
      </c>
      <c r="D24" s="9">
        <v>8.3</v>
      </c>
      <c r="E24" s="9">
        <v>29.8</v>
      </c>
      <c r="F24" s="9">
        <v>-70.9</v>
      </c>
      <c r="G24" s="9">
        <v>91.8</v>
      </c>
      <c r="H24" s="20">
        <f>H23*H45</f>
        <v>41.481339440840095</v>
      </c>
    </row>
    <row r="25">
      <c r="B25" s="48" t="s">
        <v>111</v>
      </c>
      <c r="C25" s="43">
        <f>C23-C24</f>
        <v>164.49999999999986</v>
      </c>
      <c r="D25" s="43">
        <f>D23-D24</f>
        <v>-663.5999999999999</v>
      </c>
      <c r="E25" s="43">
        <f>E23-E24</f>
        <v>199.80000000000027</v>
      </c>
      <c r="F25" s="43">
        <f>F23-F24</f>
        <v>-1616.9000000000003</v>
      </c>
      <c r="G25" s="43">
        <f>G23-G24</f>
        <v>-1916.2000000000003</v>
      </c>
      <c r="H25" s="49">
        <f>H23-H24</f>
        <v>131.35757489599365</v>
      </c>
    </row>
    <row r="26">
      <c r="B26" t="s">
        <v>112</v>
      </c>
      <c r="C26" s="3">
        <f>'Share Count'!C13</f>
        <v>479.6</v>
      </c>
      <c r="D26" s="3">
        <f>'Share Count'!D13</f>
        <v>479</v>
      </c>
      <c r="E26" s="3">
        <f>'Share Count'!E13</f>
        <v>479.8</v>
      </c>
      <c r="F26" s="3">
        <f>'Share Count'!F13</f>
        <v>479.8</v>
      </c>
      <c r="G26" s="3">
        <f>'Share Count'!G13</f>
        <v>479.1</v>
      </c>
      <c r="H26" s="24">
        <f>'Share Count'!H13</f>
        <v>479</v>
      </c>
    </row>
    <row r="27">
      <c r="B27" s="48" t="s">
        <v>113</v>
      </c>
      <c r="C27" s="47">
        <f>C25/C26</f>
        <v>0.34299416180150094</v>
      </c>
      <c r="D27" s="47">
        <f>D25/D26</f>
        <v>-1.385386221294363</v>
      </c>
      <c r="E27" s="47">
        <f>E25/E26</f>
        <v>0.41642350979574877</v>
      </c>
      <c r="F27" s="47">
        <f>F25/F26</f>
        <v>-3.3699458107544817</v>
      </c>
      <c r="G27" s="47">
        <f>G25/G26</f>
        <v>-3.999582550615738</v>
      </c>
      <c r="H27" s="51">
        <f>H25/H26</f>
        <v>0.2742329329770222</v>
      </c>
    </row>
    <row r="28">
      <c r="B28" t="s">
        <v>114</v>
      </c>
      <c r="C28" s="10">
        <f>Inputs!F16</f>
        <v>0.34</v>
      </c>
      <c r="D28" s="10">
        <f>Inputs!F17</f>
        <v>-1.39</v>
      </c>
      <c r="E28" s="10">
        <f>Inputs!F18</f>
        <v>0.42</v>
      </c>
      <c r="F28" s="10">
        <f>Inputs!F19</f>
        <v>-3.37</v>
      </c>
      <c r="G28" s="7"/>
      <c r="H28" s="40"/>
    </row>
    <row r="29">
      <c r="B29" t="s">
        <v>115</v>
      </c>
      <c r="C29" s="8">
        <f>C27-C25/C26</f>
        <v>0</v>
      </c>
      <c r="D29" s="8">
        <f>D27-D25/D26</f>
        <v>0</v>
      </c>
      <c r="E29" s="8">
        <f>E27-E25/E26</f>
        <v>0</v>
      </c>
      <c r="F29" s="8">
        <f>F27-F25/F26</f>
        <v>0</v>
      </c>
      <c r="G29" s="8">
        <f>G27-G25/G26</f>
        <v>0</v>
      </c>
      <c r="H29" s="20">
        <f>H27-H25/H26</f>
        <v>0</v>
      </c>
    </row>
    <row r="30">
      <c r="B30" t="s">
        <v>116</v>
      </c>
      <c r="H30" s="1"/>
    </row>
    <row r="31">
      <c r="B31" t="s">
        <v>117</v>
      </c>
      <c r="C31" s="9">
        <v>0</v>
      </c>
      <c r="D31" s="3">
        <f>Inputs!P46*D15/(D15+D16)</f>
        <v>719.2055871114324</v>
      </c>
      <c r="E31" s="9">
        <v>0</v>
      </c>
      <c r="F31" s="3">
        <f>Inputs!P47*F15/(F15+F16)</f>
        <v>1502.01210931525</v>
      </c>
      <c r="G31" s="3">
        <f>Inputs!P48*G15/(G15+G16)</f>
        <v>2221.220425996723</v>
      </c>
      <c r="H31" s="12">
        <v>0</v>
      </c>
      <c r="J31" t="s">
        <v>118</v>
      </c>
    </row>
    <row r="32">
      <c r="B32" t="s">
        <v>119</v>
      </c>
      <c r="C32" s="9">
        <v>0</v>
      </c>
      <c r="D32" s="3">
        <f>Inputs!P46-D31</f>
        <v>183.69441288856763</v>
      </c>
      <c r="E32" s="9">
        <v>0</v>
      </c>
      <c r="F32" s="3">
        <f>Inputs!P47-F31</f>
        <v>326.48789068475</v>
      </c>
      <c r="G32" s="3">
        <f>Inputs!P48-G31</f>
        <v>510.17957400327714</v>
      </c>
      <c r="H32" s="12">
        <v>0</v>
      </c>
    </row>
    <row r="33">
      <c r="B33" t="s">
        <v>120</v>
      </c>
      <c r="C33" s="9">
        <v>20.4</v>
      </c>
      <c r="D33" s="9">
        <v>0.2</v>
      </c>
      <c r="E33" s="9">
        <v>11.1</v>
      </c>
      <c r="F33" s="9">
        <v>0</v>
      </c>
      <c r="G33" s="9">
        <v>31.7</v>
      </c>
      <c r="H33" s="12">
        <v>0</v>
      </c>
    </row>
    <row r="34">
      <c r="B34" t="s">
        <v>121</v>
      </c>
      <c r="C34" s="9">
        <v>3.3</v>
      </c>
      <c r="D34" s="9">
        <v>-1.1</v>
      </c>
      <c r="E34" s="9">
        <v>9.8</v>
      </c>
      <c r="F34" s="9">
        <v>22.6</v>
      </c>
      <c r="G34" s="9">
        <v>34.6</v>
      </c>
      <c r="H34" s="20">
        <f>H44*(1-H45)</f>
        <v>7.6</v>
      </c>
    </row>
    <row r="35">
      <c r="B35" t="s">
        <v>122</v>
      </c>
      <c r="C35" s="9">
        <v>0</v>
      </c>
      <c r="D35" s="9">
        <v>0</v>
      </c>
      <c r="E35" s="9">
        <v>-33.9</v>
      </c>
      <c r="F35" s="9">
        <v>3</v>
      </c>
      <c r="G35" s="9">
        <v>-30.9</v>
      </c>
      <c r="H35" s="12">
        <v>0</v>
      </c>
    </row>
    <row r="36">
      <c r="B36" t="s">
        <v>123</v>
      </c>
      <c r="C36" s="8">
        <f>SUM(C47:C53)</f>
        <v>1</v>
      </c>
      <c r="D36" s="8">
        <f>SUM(D47:D53)</f>
        <v>-20.4</v>
      </c>
      <c r="E36" s="8">
        <f>SUM(E47:E53)</f>
        <v>1.3999999999999995</v>
      </c>
      <c r="F36" s="8">
        <f>SUM(F47:F53)</f>
        <v>-9.3</v>
      </c>
      <c r="G36" s="8">
        <f>SUM(G47:G53)</f>
        <v>-27.3</v>
      </c>
      <c r="H36" s="12">
        <f>SUM(H47:H53)</f>
        <v>0</v>
      </c>
    </row>
    <row r="37">
      <c r="B37" s="48" t="s">
        <v>124</v>
      </c>
      <c r="C37" s="46">
        <f>Inputs!L37</f>
        <v>189.2</v>
      </c>
      <c r="D37" s="46">
        <f>Inputs!L38</f>
        <v>218</v>
      </c>
      <c r="E37" s="46">
        <f>Inputs!L39</f>
        <v>188.2</v>
      </c>
      <c r="F37" s="46">
        <f>Inputs!L40</f>
        <v>227.9</v>
      </c>
      <c r="G37" s="46">
        <f>Inputs!L41</f>
        <v>823.3</v>
      </c>
      <c r="H37" s="49">
        <f>SUM(H25,H31:H36)</f>
        <v>138.95757489599364</v>
      </c>
    </row>
    <row r="38">
      <c r="B38" s="48" t="s">
        <v>125</v>
      </c>
      <c r="C38" s="44">
        <f>C37/'Share Count'!C16</f>
        <v>0.39449541284403666</v>
      </c>
      <c r="D38" s="44">
        <f>D37/'Share Count'!D16</f>
        <v>0.4543559816590246</v>
      </c>
      <c r="E38" s="44">
        <f>E37/'Share Count'!E16</f>
        <v>0.3922467694872863</v>
      </c>
      <c r="F38" s="44">
        <f>F37/'Share Count'!F16</f>
        <v>0.47479166666666667</v>
      </c>
      <c r="G38" s="44">
        <f>G37/'Share Count'!G16</f>
        <v>1.7166388657214344</v>
      </c>
      <c r="H38" s="52">
        <f>H37/'Share Count'!H16</f>
        <v>0.29009932128599925</v>
      </c>
    </row>
    <row r="39">
      <c r="B39" t="s">
        <v>126</v>
      </c>
      <c r="C39" s="10">
        <f>Inputs!D16</f>
        <v>0.39</v>
      </c>
      <c r="D39" s="10">
        <f>Inputs!D17</f>
        <v>0.45</v>
      </c>
      <c r="E39" s="10">
        <f>Inputs!D18</f>
        <v>0.39</v>
      </c>
      <c r="F39" s="10">
        <f>Inputs!D19</f>
        <v>0.47</v>
      </c>
      <c r="G39" s="7"/>
      <c r="H39" s="40"/>
    </row>
    <row r="40">
      <c r="B40" s="32" t="s">
        <v>127</v>
      </c>
      <c r="C40" s="31"/>
      <c r="D40" s="31"/>
      <c r="E40" s="31"/>
      <c r="F40" s="31"/>
      <c r="G40" s="31"/>
      <c r="H40" s="35">
        <f>(H12-H43)/H9</f>
        <v>0.0895024151142395</v>
      </c>
    </row>
    <row r="41">
      <c r="B41" t="s">
        <v>128</v>
      </c>
      <c r="C41" s="7">
        <f>C38-C39</f>
        <v>0.00449541284403665</v>
      </c>
      <c r="D41" s="7">
        <f>D38-D39</f>
        <v>0.004355981659024566</v>
      </c>
      <c r="E41" s="7">
        <f>E38-E39</f>
        <v>0.002246769487286304</v>
      </c>
      <c r="F41" s="7">
        <f>F38-F39</f>
        <v>0.004791666666666694</v>
      </c>
      <c r="G41" s="7"/>
      <c r="H41" s="40"/>
    </row>
    <row r="42">
      <c r="B42" s="32" t="s">
        <v>129</v>
      </c>
      <c r="C42" s="31"/>
      <c r="D42" s="31"/>
      <c r="E42" s="31"/>
      <c r="F42" s="31"/>
      <c r="G42" s="31"/>
      <c r="H42" s="37">
        <v>0.223</v>
      </c>
      <c r="J42" t="s">
        <v>130</v>
      </c>
    </row>
    <row r="43">
      <c r="B43" t="s">
        <v>131</v>
      </c>
      <c r="C43" s="8"/>
      <c r="D43" s="8"/>
      <c r="E43" s="8"/>
      <c r="F43" s="8"/>
      <c r="G43" s="8"/>
      <c r="H43" s="12">
        <v>345.8</v>
      </c>
      <c r="J43" t="s">
        <v>132</v>
      </c>
    </row>
    <row r="44">
      <c r="B44" t="s">
        <v>133</v>
      </c>
      <c r="C44" s="8"/>
      <c r="D44" s="8"/>
      <c r="E44" s="8"/>
      <c r="F44" s="8"/>
      <c r="G44" s="8"/>
      <c r="H44" s="12">
        <v>10</v>
      </c>
      <c r="J44" t="s">
        <v>134</v>
      </c>
    </row>
    <row r="45">
      <c r="B45" s="32" t="s">
        <v>135</v>
      </c>
      <c r="C45" s="31"/>
      <c r="D45" s="31"/>
      <c r="E45" s="31"/>
      <c r="F45" s="31"/>
      <c r="G45" s="31"/>
      <c r="H45" s="30">
        <f>Guidance!G17</f>
        <v>0.24</v>
      </c>
    </row>
    <row r="46">
      <c r="B46" t="s">
        <v>136</v>
      </c>
      <c r="H46" s="1"/>
    </row>
    <row r="47">
      <c r="B47" t="s">
        <v>137</v>
      </c>
      <c r="C47" s="9">
        <v>-1.8</v>
      </c>
      <c r="D47" s="9">
        <v>-26.5</v>
      </c>
      <c r="E47" s="9">
        <v>0</v>
      </c>
      <c r="F47" s="9">
        <v>0</v>
      </c>
      <c r="G47" s="8">
        <f>SUM(C47:F47)</f>
        <v>-28.3</v>
      </c>
      <c r="H47" s="12">
        <v>0</v>
      </c>
    </row>
    <row r="48">
      <c r="B48" t="s">
        <v>138</v>
      </c>
      <c r="C48" s="9">
        <v>1.7</v>
      </c>
      <c r="D48" s="9">
        <v>1</v>
      </c>
      <c r="E48" s="9">
        <v>-2</v>
      </c>
      <c r="F48" s="9">
        <v>-3.4</v>
      </c>
      <c r="G48" s="8">
        <f>SUM(C48:F48)</f>
        <v>-2.6999999999999997</v>
      </c>
      <c r="H48" s="12">
        <v>0</v>
      </c>
    </row>
    <row r="49">
      <c r="B49" t="s">
        <v>139</v>
      </c>
      <c r="C49" s="9">
        <v>0</v>
      </c>
      <c r="D49" s="9">
        <v>5.1</v>
      </c>
      <c r="E49" s="9">
        <v>-0.7</v>
      </c>
      <c r="F49" s="9">
        <v>3.1</v>
      </c>
      <c r="G49" s="8">
        <f>SUM(C49:F49)</f>
        <v>7.5</v>
      </c>
      <c r="H49" s="12">
        <v>0</v>
      </c>
    </row>
    <row r="50">
      <c r="B50" t="s">
        <v>140</v>
      </c>
      <c r="C50" s="9">
        <v>0</v>
      </c>
      <c r="D50" s="9">
        <v>0</v>
      </c>
      <c r="E50" s="9">
        <v>0</v>
      </c>
      <c r="F50" s="9">
        <v>8.1</v>
      </c>
      <c r="G50" s="8">
        <f>SUM(C50:F50)</f>
        <v>8.1</v>
      </c>
      <c r="H50" s="12">
        <v>0</v>
      </c>
    </row>
    <row r="51">
      <c r="B51" t="s">
        <v>141</v>
      </c>
      <c r="C51" s="9">
        <v>0</v>
      </c>
      <c r="D51" s="9">
        <v>0</v>
      </c>
      <c r="E51" s="9">
        <v>0</v>
      </c>
      <c r="F51" s="9">
        <v>-17.1</v>
      </c>
      <c r="G51" s="8">
        <f>SUM(C51:F51)</f>
        <v>-17.1</v>
      </c>
      <c r="H51" s="12">
        <v>0</v>
      </c>
    </row>
    <row r="52">
      <c r="B52" t="s">
        <v>142</v>
      </c>
      <c r="C52" s="9">
        <v>1.1</v>
      </c>
      <c r="D52" s="9">
        <v>0</v>
      </c>
      <c r="E52" s="9">
        <v>0</v>
      </c>
      <c r="F52" s="9">
        <v>0</v>
      </c>
      <c r="G52" s="8">
        <f>SUM(C52:F52)</f>
        <v>1.1</v>
      </c>
      <c r="H52" s="12">
        <v>0</v>
      </c>
    </row>
    <row r="53">
      <c r="B53" t="s">
        <v>143</v>
      </c>
      <c r="C53" s="9">
        <v>0</v>
      </c>
      <c r="D53" s="9">
        <v>0</v>
      </c>
      <c r="E53" s="9">
        <v>4.1</v>
      </c>
      <c r="F53" s="9">
        <v>0</v>
      </c>
      <c r="G53" s="8">
        <f>SUM(C53:F53)</f>
        <v>4.1</v>
      </c>
      <c r="H53" s="12">
        <v>0</v>
      </c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2:H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144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t="s">
        <v>145</v>
      </c>
      <c r="C9" s="9">
        <v>698.1</v>
      </c>
      <c r="D9" s="9">
        <v>46.6</v>
      </c>
      <c r="E9" s="9">
        <v>55.1</v>
      </c>
      <c r="F9" s="9">
        <v>218</v>
      </c>
      <c r="G9" s="8">
        <f>F9</f>
        <v>218</v>
      </c>
      <c r="H9" s="24">
        <f>'Cash Flow Statement'!H23</f>
        <v>167.6749999999999</v>
      </c>
    </row>
    <row r="10">
      <c r="B10" t="s">
        <v>146</v>
      </c>
      <c r="C10" s="8">
        <f>SUM(C20:C27)</f>
        <v>20474.7</v>
      </c>
      <c r="D10" s="8">
        <f>SUM(D20:D27)</f>
        <v>19493.7</v>
      </c>
      <c r="E10" s="8">
        <f>SUM(E20:E27)</f>
        <v>19157.2</v>
      </c>
      <c r="F10" s="8">
        <f>SUM(F20:F27)</f>
        <v>17056.4</v>
      </c>
      <c r="G10" s="8">
        <f>SUM(G20:G27)</f>
        <v>17056.4</v>
      </c>
      <c r="H10" s="20">
        <f>SUM(H20:H27)</f>
        <v>17129.257574895993</v>
      </c>
    </row>
    <row r="11">
      <c r="B11" s="27" t="s">
        <v>147</v>
      </c>
      <c r="C11" s="28">
        <f>SUM(C9:C10)</f>
        <v>21172.8</v>
      </c>
      <c r="D11" s="28">
        <f>SUM(D9:D10)</f>
        <v>19540.3</v>
      </c>
      <c r="E11" s="28">
        <f>SUM(E9:E10)</f>
        <v>19212.3</v>
      </c>
      <c r="F11" s="28">
        <f>SUM(F9:F10)</f>
        <v>17274.4</v>
      </c>
      <c r="G11" s="28">
        <f>SUM(G9:G10)</f>
        <v>17274.4</v>
      </c>
      <c r="H11" s="26">
        <f>SUM(H9:H10)</f>
        <v>17296.932574895993</v>
      </c>
    </row>
    <row r="12">
      <c r="C12" s="8"/>
      <c r="D12" s="8"/>
      <c r="E12" s="8"/>
      <c r="F12" s="8"/>
      <c r="G12" s="8"/>
      <c r="H12" s="20"/>
    </row>
    <row r="13">
      <c r="B13" s="27" t="s">
        <v>148</v>
      </c>
      <c r="C13" s="28">
        <f>SUM(C29:C36)</f>
        <v>12257</v>
      </c>
      <c r="D13" s="28">
        <f>SUM(D29:D36)</f>
        <v>11449.5</v>
      </c>
      <c r="E13" s="28">
        <f>SUM(E29:E36)</f>
        <v>11048.2</v>
      </c>
      <c r="F13" s="28">
        <f>SUM(F29:F36)</f>
        <v>10916.8</v>
      </c>
      <c r="G13" s="28">
        <f>SUM(G29:G36)</f>
        <v>10916.8</v>
      </c>
      <c r="H13" s="26">
        <f>SUM(H29:H36)</f>
        <v>10891.8</v>
      </c>
    </row>
    <row r="14">
      <c r="B14" s="27" t="s">
        <v>149</v>
      </c>
      <c r="C14" s="25">
        <v>8915.8</v>
      </c>
      <c r="D14" s="25">
        <v>8090.8</v>
      </c>
      <c r="E14" s="25">
        <v>8164.1</v>
      </c>
      <c r="F14" s="25">
        <v>6357.6</v>
      </c>
      <c r="G14" s="28">
        <f>F14</f>
        <v>6357.6</v>
      </c>
      <c r="H14" s="29">
        <f>F14+'Income Statement'!H25+'Cash Flow Statement'!H17</f>
        <v>6405.132574895994</v>
      </c>
    </row>
    <row r="15">
      <c r="B15" s="27" t="s">
        <v>150</v>
      </c>
      <c r="C15" s="28">
        <f>SUM(C13:C14)</f>
        <v>21172.8</v>
      </c>
      <c r="D15" s="28">
        <f>SUM(D13:D14)</f>
        <v>19540.3</v>
      </c>
      <c r="E15" s="28">
        <f>SUM(E13:E14)</f>
        <v>19212.300000000003</v>
      </c>
      <c r="F15" s="28">
        <f>SUM(F13:F14)</f>
        <v>17274.4</v>
      </c>
      <c r="G15" s="28">
        <f>SUM(G13:G14)</f>
        <v>17274.4</v>
      </c>
      <c r="H15" s="26">
        <f>SUM(H13:H14)</f>
        <v>17296.932574895993</v>
      </c>
    </row>
    <row r="16">
      <c r="B16" s="27" t="s">
        <v>151</v>
      </c>
      <c r="C16" s="28">
        <f>C11-C15</f>
        <v>0</v>
      </c>
      <c r="D16" s="28">
        <f>D11-D15</f>
        <v>0</v>
      </c>
      <c r="E16" s="28">
        <f>E11-E15</f>
        <v>0</v>
      </c>
      <c r="F16" s="28">
        <f>F11-F15</f>
        <v>0</v>
      </c>
      <c r="G16" s="28">
        <f>G11-G15</f>
        <v>0</v>
      </c>
      <c r="H16" s="26">
        <f>H11-H15</f>
        <v>0</v>
      </c>
    </row>
    <row r="17">
      <c r="C17" s="8"/>
      <c r="D17" s="8"/>
      <c r="E17" s="8"/>
      <c r="F17" s="8"/>
      <c r="G17" s="8"/>
      <c r="H17" s="20"/>
    </row>
    <row r="18">
      <c r="B18" t="s">
        <v>152</v>
      </c>
      <c r="C18" s="8"/>
      <c r="D18" s="8">
        <f>D10-C10</f>
        <v>-981</v>
      </c>
      <c r="E18" s="8">
        <f>E10-D10</f>
        <v>-336.5</v>
      </c>
      <c r="F18" s="8">
        <f>F10-E10</f>
        <v>-2100.7999999999993</v>
      </c>
      <c r="G18" s="8"/>
      <c r="H18" s="20">
        <f>H10-F10</f>
        <v>72.857574895992</v>
      </c>
    </row>
    <row r="19">
      <c r="B19" t="s">
        <v>153</v>
      </c>
      <c r="H19" s="1"/>
    </row>
    <row r="20">
      <c r="B20" t="s">
        <v>154</v>
      </c>
      <c r="C20" s="9">
        <v>756.5</v>
      </c>
      <c r="D20" s="9">
        <v>835.5</v>
      </c>
      <c r="E20" s="9">
        <v>757</v>
      </c>
      <c r="F20" s="9">
        <v>658.2</v>
      </c>
      <c r="G20" s="8">
        <f>F20</f>
        <v>658.2</v>
      </c>
      <c r="H20" s="24">
        <f>F20-'Cash Flow Statement'!H11</f>
        <v>690.0575748959936</v>
      </c>
    </row>
    <row r="21">
      <c r="B21" t="s">
        <v>155</v>
      </c>
      <c r="C21" s="9">
        <v>2258.2</v>
      </c>
      <c r="D21" s="9">
        <v>2199.8</v>
      </c>
      <c r="E21" s="9">
        <v>1943.6</v>
      </c>
      <c r="F21" s="9">
        <v>1905.4</v>
      </c>
      <c r="G21" s="8">
        <f>F21</f>
        <v>1905.4</v>
      </c>
      <c r="H21" s="20">
        <f>F21</f>
        <v>1905.4</v>
      </c>
    </row>
    <row r="22">
      <c r="B22" t="s">
        <v>156</v>
      </c>
      <c r="C22" s="9">
        <v>127.3</v>
      </c>
      <c r="D22" s="9">
        <v>144.4</v>
      </c>
      <c r="E22" s="9">
        <v>135.1</v>
      </c>
      <c r="F22" s="9">
        <v>100.5</v>
      </c>
      <c r="G22" s="8">
        <f>F22</f>
        <v>100.5</v>
      </c>
      <c r="H22" s="20">
        <f>F22</f>
        <v>100.5</v>
      </c>
    </row>
    <row r="23">
      <c r="B23" t="s">
        <v>157</v>
      </c>
      <c r="C23" s="9">
        <v>2815.8</v>
      </c>
      <c r="D23" s="9">
        <v>2801.7</v>
      </c>
      <c r="E23" s="9">
        <v>2800.6</v>
      </c>
      <c r="F23" s="9">
        <v>2862.9</v>
      </c>
      <c r="G23" s="8">
        <f>F23</f>
        <v>2862.9</v>
      </c>
      <c r="H23" s="24">
        <f>F23+'Cash Flow Statement'!H13-'Cash Flow Statement'!H10</f>
        <v>2903.9</v>
      </c>
    </row>
    <row r="24">
      <c r="B24" t="s">
        <v>158</v>
      </c>
      <c r="C24" s="9">
        <v>10501.6</v>
      </c>
      <c r="D24" s="9">
        <v>9729.4</v>
      </c>
      <c r="E24" s="9">
        <v>9730.7</v>
      </c>
      <c r="F24" s="9">
        <v>8119.3</v>
      </c>
      <c r="G24" s="8">
        <f>F24</f>
        <v>8119.3</v>
      </c>
      <c r="H24" s="20">
        <f>F24</f>
        <v>8119.3</v>
      </c>
    </row>
    <row r="25">
      <c r="B25" t="s">
        <v>159</v>
      </c>
      <c r="C25" s="9">
        <v>2410.2</v>
      </c>
      <c r="D25" s="9">
        <v>2202.3</v>
      </c>
      <c r="E25" s="9">
        <v>2191.8</v>
      </c>
      <c r="F25" s="9">
        <v>1830.7</v>
      </c>
      <c r="G25" s="8">
        <f>F25</f>
        <v>1830.7</v>
      </c>
      <c r="H25" s="20">
        <f>F25</f>
        <v>1830.7</v>
      </c>
    </row>
    <row r="26">
      <c r="B26" t="s">
        <v>160</v>
      </c>
      <c r="C26" s="9">
        <v>1579.5</v>
      </c>
      <c r="D26" s="9">
        <v>1576.2</v>
      </c>
      <c r="E26" s="9">
        <v>1585.4</v>
      </c>
      <c r="F26" s="9">
        <v>1566.4</v>
      </c>
      <c r="G26" s="8">
        <f>F26</f>
        <v>1566.4</v>
      </c>
      <c r="H26" s="20">
        <f>F26</f>
        <v>1566.4</v>
      </c>
    </row>
    <row r="27">
      <c r="B27" t="s">
        <v>161</v>
      </c>
      <c r="C27" s="9">
        <v>25.6</v>
      </c>
      <c r="D27" s="9">
        <v>4.4</v>
      </c>
      <c r="E27" s="9">
        <v>13</v>
      </c>
      <c r="F27" s="9">
        <v>13</v>
      </c>
      <c r="G27" s="8">
        <f>F27</f>
        <v>13</v>
      </c>
      <c r="H27" s="20">
        <f>F27</f>
        <v>13</v>
      </c>
    </row>
    <row r="28">
      <c r="B28" t="s">
        <v>162</v>
      </c>
      <c r="C28" s="8"/>
      <c r="D28" s="8"/>
      <c r="E28" s="8"/>
      <c r="F28" s="8"/>
      <c r="G28" s="8"/>
      <c r="H28" s="20"/>
    </row>
    <row r="29">
      <c r="B29" t="s">
        <v>163</v>
      </c>
      <c r="C29" s="9">
        <v>41.5</v>
      </c>
      <c r="D29" s="9">
        <v>388</v>
      </c>
      <c r="E29" s="9">
        <v>98.2</v>
      </c>
      <c r="F29" s="9">
        <v>34.2</v>
      </c>
      <c r="G29" s="8">
        <f>F29</f>
        <v>34.2</v>
      </c>
      <c r="H29" s="20">
        <f>F29</f>
        <v>34.2</v>
      </c>
    </row>
    <row r="30">
      <c r="B30" t="s">
        <v>164</v>
      </c>
      <c r="C30" s="9">
        <v>1015.7</v>
      </c>
      <c r="D30" s="9">
        <v>776.9</v>
      </c>
      <c r="E30" s="9">
        <v>777.1</v>
      </c>
      <c r="F30" s="9">
        <v>778.2</v>
      </c>
      <c r="G30" s="8">
        <f>F30</f>
        <v>778.2</v>
      </c>
      <c r="H30" s="20">
        <f>F30</f>
        <v>778.2</v>
      </c>
    </row>
    <row r="31">
      <c r="B31" t="s">
        <v>165</v>
      </c>
      <c r="C31" s="9">
        <v>1532.5</v>
      </c>
      <c r="D31" s="9">
        <v>1526.9</v>
      </c>
      <c r="E31" s="9">
        <v>1416.8</v>
      </c>
      <c r="F31" s="9">
        <v>1513.3</v>
      </c>
      <c r="G31" s="8">
        <f>F31</f>
        <v>1513.3</v>
      </c>
      <c r="H31" s="20">
        <f>F31</f>
        <v>1513.3</v>
      </c>
    </row>
    <row r="32">
      <c r="B32" t="s">
        <v>166</v>
      </c>
      <c r="C32" s="9">
        <v>113.5</v>
      </c>
      <c r="D32" s="9">
        <v>128.5</v>
      </c>
      <c r="E32" s="9">
        <v>166.1</v>
      </c>
      <c r="F32" s="9">
        <v>201.7</v>
      </c>
      <c r="G32" s="8">
        <f>F32</f>
        <v>201.7</v>
      </c>
      <c r="H32" s="20">
        <f>F32</f>
        <v>201.7</v>
      </c>
    </row>
    <row r="33">
      <c r="B33" t="s">
        <v>167</v>
      </c>
      <c r="C33" s="9">
        <v>926.4</v>
      </c>
      <c r="D33" s="9">
        <v>799.4</v>
      </c>
      <c r="E33" s="9">
        <v>749.9</v>
      </c>
      <c r="F33" s="9">
        <v>660.6</v>
      </c>
      <c r="G33" s="8">
        <f>F33</f>
        <v>660.6</v>
      </c>
      <c r="H33" s="20">
        <f>F33</f>
        <v>660.6</v>
      </c>
    </row>
    <row r="34">
      <c r="B34" t="s">
        <v>168</v>
      </c>
      <c r="C34" s="9">
        <v>7222.6</v>
      </c>
      <c r="D34" s="9">
        <v>6459</v>
      </c>
      <c r="E34" s="9">
        <v>6457.1</v>
      </c>
      <c r="F34" s="9">
        <v>6456</v>
      </c>
      <c r="G34" s="8">
        <f>F34</f>
        <v>6456</v>
      </c>
      <c r="H34" s="24">
        <f>F34+'Cash Flow Statement'!H16</f>
        <v>6431</v>
      </c>
    </row>
    <row r="35">
      <c r="B35" t="s">
        <v>169</v>
      </c>
      <c r="C35" s="9">
        <v>810.6</v>
      </c>
      <c r="D35" s="9">
        <v>784</v>
      </c>
      <c r="E35" s="9">
        <v>788.2</v>
      </c>
      <c r="F35" s="9">
        <v>693.4</v>
      </c>
      <c r="G35" s="8">
        <f>F35</f>
        <v>693.4</v>
      </c>
      <c r="H35" s="20">
        <f>F35</f>
        <v>693.4</v>
      </c>
    </row>
    <row r="36">
      <c r="B36" t="s">
        <v>170</v>
      </c>
      <c r="C36" s="9">
        <v>594.2</v>
      </c>
      <c r="D36" s="9">
        <v>586.8</v>
      </c>
      <c r="E36" s="9">
        <v>594.8</v>
      </c>
      <c r="F36" s="9">
        <v>579.4</v>
      </c>
      <c r="G36" s="8">
        <f>F36</f>
        <v>579.4</v>
      </c>
      <c r="H36" s="20">
        <f>F36</f>
        <v>579.4</v>
      </c>
    </row>
    <row r="37">
      <c r="H37" s="1"/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2:H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171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t="s">
        <v>172</v>
      </c>
      <c r="C9" s="3">
        <f>'Income Statement'!C25</f>
        <v>164.49999999999986</v>
      </c>
      <c r="D9" s="3">
        <f>'Income Statement'!D25</f>
        <v>-663.5999999999999</v>
      </c>
      <c r="E9" s="3">
        <f>'Income Statement'!E25</f>
        <v>199.80000000000027</v>
      </c>
      <c r="F9" s="3">
        <f>'Income Statement'!F25</f>
        <v>-1616.9000000000003</v>
      </c>
      <c r="G9" s="3">
        <f>'Income Statement'!G25</f>
        <v>-1916.2000000000003</v>
      </c>
      <c r="H9" s="24">
        <f>'Income Statement'!H25</f>
        <v>131.35757489599365</v>
      </c>
    </row>
    <row r="10">
      <c r="B10" t="s">
        <v>173</v>
      </c>
      <c r="C10" s="9">
        <v>95.3</v>
      </c>
      <c r="D10" s="9">
        <v>97</v>
      </c>
      <c r="E10" s="9">
        <v>101.4</v>
      </c>
      <c r="F10" s="9">
        <v>102.3</v>
      </c>
      <c r="G10" s="9">
        <v>396</v>
      </c>
      <c r="H10" s="24">
        <f>Inputs!C66</f>
        <v>96.5</v>
      </c>
    </row>
    <row r="11">
      <c r="B11" t="s">
        <v>174</v>
      </c>
      <c r="C11" s="8">
        <f>C12-C9-C10</f>
        <v>-139.19999999999987</v>
      </c>
      <c r="D11" s="8">
        <f>D12-D9-D10</f>
        <v>777.1999999999999</v>
      </c>
      <c r="E11" s="8">
        <f>E12-E9-E10</f>
        <v>263.1999999999997</v>
      </c>
      <c r="F11" s="8">
        <f>F12-F9-F10</f>
        <v>2021.1000000000006</v>
      </c>
      <c r="G11" s="8">
        <f>G12-G9-G10</f>
        <v>2922.3</v>
      </c>
      <c r="H11" s="20">
        <f>H12-H9-H10</f>
        <v>-31.85757489599365</v>
      </c>
    </row>
    <row r="12">
      <c r="B12" s="27" t="s">
        <v>175</v>
      </c>
      <c r="C12" s="25">
        <v>120.6</v>
      </c>
      <c r="D12" s="25">
        <v>210.6</v>
      </c>
      <c r="E12" s="25">
        <v>564.4</v>
      </c>
      <c r="F12" s="25">
        <v>506.5</v>
      </c>
      <c r="G12" s="25">
        <v>1402.1</v>
      </c>
      <c r="H12" s="29">
        <f>Inputs!C65</f>
        <v>196</v>
      </c>
    </row>
    <row r="13">
      <c r="B13" t="s">
        <v>176</v>
      </c>
      <c r="C13" s="9">
        <v>146.8</v>
      </c>
      <c r="D13" s="9">
        <v>71.8</v>
      </c>
      <c r="E13" s="9">
        <v>95.4</v>
      </c>
      <c r="F13" s="9">
        <v>109</v>
      </c>
      <c r="G13" s="9">
        <v>423</v>
      </c>
      <c r="H13" s="24">
        <f>Guidance!G18/Guidance!K25</f>
        <v>137.5</v>
      </c>
    </row>
    <row r="14">
      <c r="B14" t="s">
        <v>177</v>
      </c>
      <c r="C14" s="8">
        <f>C15+C13</f>
        <v>648.8</v>
      </c>
      <c r="D14" s="8">
        <f>D15+D13</f>
        <v>37</v>
      </c>
      <c r="E14" s="8">
        <f>E15+E13</f>
        <v>-0.6999999999999886</v>
      </c>
      <c r="F14" s="8">
        <f>F15+F13</f>
        <v>0.5</v>
      </c>
      <c r="G14" s="8">
        <f>G15+G13</f>
        <v>685.6</v>
      </c>
      <c r="H14" s="12">
        <v>0</v>
      </c>
    </row>
    <row r="15">
      <c r="B15" s="27" t="s">
        <v>178</v>
      </c>
      <c r="C15" s="25">
        <v>502</v>
      </c>
      <c r="D15" s="25">
        <v>-34.8</v>
      </c>
      <c r="E15" s="25">
        <v>-96.1</v>
      </c>
      <c r="F15" s="25">
        <v>-108.5</v>
      </c>
      <c r="G15" s="25">
        <v>262.6</v>
      </c>
      <c r="H15" s="26">
        <f>H14-H13</f>
        <v>-137.5</v>
      </c>
    </row>
    <row r="16">
      <c r="B16" t="s">
        <v>179</v>
      </c>
      <c r="C16" s="8">
        <f>C19-C17-C18</f>
        <v>174.29999999999998</v>
      </c>
      <c r="D16" s="8">
        <f>D19-D17-D18</f>
        <v>-659.4000000000001</v>
      </c>
      <c r="E16" s="8">
        <f>E19-E17-E18</f>
        <v>-294.20000000000005</v>
      </c>
      <c r="F16" s="8">
        <f>F19-F17-F18</f>
        <v>-67.19999999999999</v>
      </c>
      <c r="G16" s="8">
        <f>G19-G17-G18</f>
        <v>-846.4999999999999</v>
      </c>
      <c r="H16" s="12">
        <v>-25</v>
      </c>
    </row>
    <row r="17">
      <c r="B17" t="s">
        <v>180</v>
      </c>
      <c r="C17" s="9">
        <v>-167.1</v>
      </c>
      <c r="D17" s="9">
        <v>-167.7</v>
      </c>
      <c r="E17" s="9">
        <v>-167.4</v>
      </c>
      <c r="F17" s="9">
        <v>-167.4</v>
      </c>
      <c r="G17" s="9">
        <v>-669.6</v>
      </c>
      <c r="H17" s="24">
        <f>-'Share Count'!H13*'Share Count'!H18</f>
        <v>-83.82499999999999</v>
      </c>
    </row>
    <row r="18">
      <c r="B18" t="s">
        <v>181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12">
        <v>0</v>
      </c>
    </row>
    <row r="19">
      <c r="B19" s="27" t="s">
        <v>182</v>
      </c>
      <c r="C19" s="25">
        <v>7.2</v>
      </c>
      <c r="D19" s="25">
        <v>-827.1</v>
      </c>
      <c r="E19" s="25">
        <v>-461.6</v>
      </c>
      <c r="F19" s="25">
        <v>-234.6</v>
      </c>
      <c r="G19" s="25">
        <v>-1516.1</v>
      </c>
      <c r="H19" s="26">
        <f>SUM(H16:H18)</f>
        <v>-108.82499999999999</v>
      </c>
    </row>
    <row r="20">
      <c r="B20" t="s">
        <v>183</v>
      </c>
      <c r="C20" s="9"/>
      <c r="D20" s="9"/>
      <c r="E20" s="9"/>
      <c r="F20" s="9"/>
      <c r="G20" s="9"/>
      <c r="H20" s="12">
        <v>0</v>
      </c>
    </row>
    <row r="21">
      <c r="B21" s="27" t="s">
        <v>184</v>
      </c>
      <c r="C21" s="28">
        <f>SUM(C12,C15,C19,C20)</f>
        <v>630.1</v>
      </c>
      <c r="D21" s="28">
        <f>SUM(D12,D15,D19,D20)</f>
        <v>-651.5000000000001</v>
      </c>
      <c r="E21" s="28">
        <f>SUM(E12,E15,E19,E20)</f>
        <v>8.5</v>
      </c>
      <c r="F21" s="28">
        <f>SUM(F12,F15,F19,F20)</f>
        <v>162.89999999999998</v>
      </c>
      <c r="G21" s="28">
        <f>SUM(G12,G15,G19,G20)</f>
        <v>150</v>
      </c>
      <c r="H21" s="26">
        <f>SUM(H12,H15,H19,H20)</f>
        <v>-50.32499999999999</v>
      </c>
    </row>
    <row r="22">
      <c r="B22" t="s">
        <v>185</v>
      </c>
      <c r="C22" s="9">
        <v>68</v>
      </c>
      <c r="D22" s="8">
        <f>C23</f>
        <v>698.1</v>
      </c>
      <c r="E22" s="8">
        <f>D23</f>
        <v>46.59999999999991</v>
      </c>
      <c r="F22" s="8">
        <f>E23</f>
        <v>55.09999999999991</v>
      </c>
      <c r="G22" s="9">
        <v>68</v>
      </c>
      <c r="H22" s="20">
        <f>F23</f>
        <v>217.9999999999999</v>
      </c>
    </row>
    <row r="23">
      <c r="B23" s="27" t="s">
        <v>186</v>
      </c>
      <c r="C23" s="28">
        <f>C22+C21</f>
        <v>698.1</v>
      </c>
      <c r="D23" s="28">
        <f>D22+D21</f>
        <v>46.59999999999991</v>
      </c>
      <c r="E23" s="28">
        <f>E22+E21</f>
        <v>55.09999999999991</v>
      </c>
      <c r="F23" s="28">
        <f>F22+F21</f>
        <v>217.9999999999999</v>
      </c>
      <c r="G23" s="28">
        <f>G22+G21</f>
        <v>218</v>
      </c>
      <c r="H23" s="26">
        <f>H22+H21</f>
        <v>167.6749999999999</v>
      </c>
    </row>
    <row r="24">
      <c r="B24" s="27" t="s">
        <v>187</v>
      </c>
      <c r="C24" s="23">
        <f>C23-'Balance Sheet'!C9</f>
        <v>0</v>
      </c>
      <c r="D24" s="23">
        <f>D23-'Balance Sheet'!D9</f>
        <v>0</v>
      </c>
      <c r="E24" s="23">
        <f>E23-'Balance Sheet'!E9</f>
        <v>0</v>
      </c>
      <c r="F24" s="23">
        <f>F23-'Balance Sheet'!F9</f>
        <v>0</v>
      </c>
      <c r="G24" s="23">
        <f>G23-'Balance Sheet'!G9</f>
        <v>0</v>
      </c>
      <c r="H24" s="29">
        <f>H23-'Balance Sheet'!H9</f>
        <v>0</v>
      </c>
    </row>
    <row r="25">
      <c r="B25" s="27" t="s">
        <v>188</v>
      </c>
      <c r="C25" s="28">
        <f>C12-C13</f>
        <v>-26.200000000000017</v>
      </c>
      <c r="D25" s="28">
        <f>D12-D13</f>
        <v>138.8</v>
      </c>
      <c r="E25" s="28">
        <f>E12-E13</f>
        <v>469</v>
      </c>
      <c r="F25" s="28">
        <f>F12-F13</f>
        <v>397.5</v>
      </c>
      <c r="G25" s="28">
        <f>G12-G13</f>
        <v>979.0999999999999</v>
      </c>
      <c r="H25" s="26">
        <f>H12-H13</f>
        <v>58.5</v>
      </c>
    </row>
    <row r="26">
      <c r="H26" s="1"/>
    </row>
    <row r="27">
      <c r="H27" s="1"/>
    </row>
    <row r="28">
      <c r="H28" s="1"/>
    </row>
    <row r="29">
      <c r="H29" s="1"/>
    </row>
    <row r="30">
      <c r="H30" s="1"/>
    </row>
    <row r="31">
      <c r="H31" s="1"/>
    </row>
    <row r="32">
      <c r="H32" s="1"/>
    </row>
    <row r="33">
      <c r="H33" s="1"/>
    </row>
    <row r="34">
      <c r="H34" s="1"/>
    </row>
    <row r="35">
      <c r="H35" s="1"/>
    </row>
    <row r="36">
      <c r="H36" s="1"/>
    </row>
    <row r="37">
      <c r="H37" s="1"/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2:H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189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B9" t="s">
        <v>190</v>
      </c>
      <c r="C9" s="8"/>
      <c r="D9" s="8"/>
      <c r="E9" s="8"/>
      <c r="F9" s="8"/>
      <c r="G9" s="8"/>
      <c r="H9" s="20">
        <f>F12</f>
        <v>479.8</v>
      </c>
    </row>
    <row r="10">
      <c r="B10" t="s">
        <v>191</v>
      </c>
      <c r="C10" s="8"/>
      <c r="D10" s="8"/>
      <c r="E10" s="8"/>
      <c r="F10" s="8"/>
      <c r="G10" s="8"/>
      <c r="H10" s="12">
        <v>0</v>
      </c>
    </row>
    <row r="11">
      <c r="B11" t="s">
        <v>192</v>
      </c>
      <c r="C11" s="8"/>
      <c r="D11" s="8"/>
      <c r="E11" s="8"/>
      <c r="F11" s="8"/>
      <c r="G11" s="8"/>
      <c r="H11" s="20">
        <f>H12-H9-H10</f>
        <v>-1</v>
      </c>
    </row>
    <row r="12">
      <c r="B12" t="s">
        <v>193</v>
      </c>
      <c r="C12" s="9">
        <v>478.7</v>
      </c>
      <c r="D12" s="9">
        <v>479</v>
      </c>
      <c r="E12" s="9">
        <v>479</v>
      </c>
      <c r="F12" s="9">
        <v>479.8</v>
      </c>
      <c r="G12" s="9">
        <v>479.1</v>
      </c>
      <c r="H12" s="12">
        <v>478.8</v>
      </c>
    </row>
    <row r="13">
      <c r="B13" t="s">
        <v>194</v>
      </c>
      <c r="C13" s="9">
        <v>479.6</v>
      </c>
      <c r="D13" s="9">
        <v>479</v>
      </c>
      <c r="E13" s="9">
        <v>479.8</v>
      </c>
      <c r="F13" s="9">
        <v>479.8</v>
      </c>
      <c r="G13" s="9">
        <v>479.1</v>
      </c>
      <c r="H13" s="12">
        <v>479</v>
      </c>
    </row>
    <row r="14">
      <c r="B14" t="s">
        <v>195</v>
      </c>
      <c r="C14" s="8">
        <f>C13-C12</f>
        <v>0.9000000000000341</v>
      </c>
      <c r="D14" s="8">
        <f>D13-D12</f>
        <v>0</v>
      </c>
      <c r="E14" s="8">
        <f>E13-E12</f>
        <v>0.8000000000000114</v>
      </c>
      <c r="F14" s="8">
        <f>F13-F12</f>
        <v>0</v>
      </c>
      <c r="G14" s="8">
        <f>G13-G12</f>
        <v>0</v>
      </c>
      <c r="H14" s="20">
        <f>H13-H12</f>
        <v>0.19999999999998863</v>
      </c>
    </row>
    <row r="15">
      <c r="B15" t="s">
        <v>196</v>
      </c>
      <c r="C15" s="9">
        <v>15</v>
      </c>
      <c r="D15" s="9">
        <v>0.3</v>
      </c>
      <c r="E15" s="9">
        <v>0</v>
      </c>
      <c r="F15" s="9">
        <v>0</v>
      </c>
      <c r="G15" s="9">
        <v>15.3</v>
      </c>
      <c r="H15" s="12">
        <v>0</v>
      </c>
    </row>
    <row r="16">
      <c r="B16" t="s">
        <v>197</v>
      </c>
      <c r="C16" s="8">
        <f>C13</f>
        <v>479.6</v>
      </c>
      <c r="D16" s="9">
        <v>479.8</v>
      </c>
      <c r="E16" s="8">
        <f>E13</f>
        <v>479.8</v>
      </c>
      <c r="F16" s="9">
        <v>480</v>
      </c>
      <c r="G16" s="9">
        <v>479.6</v>
      </c>
      <c r="H16" s="20">
        <f>H13</f>
        <v>479</v>
      </c>
    </row>
    <row r="17">
      <c r="B17" t="s">
        <v>198</v>
      </c>
      <c r="H17" s="1"/>
    </row>
    <row r="18">
      <c r="B18" t="s">
        <v>199</v>
      </c>
      <c r="H18" s="15">
        <v>0.175</v>
      </c>
    </row>
    <row r="19">
      <c r="H19" s="1"/>
    </row>
    <row r="20">
      <c r="H20" s="1"/>
    </row>
    <row r="21">
      <c r="H21" s="1"/>
    </row>
    <row r="22">
      <c r="H22" s="1"/>
    </row>
    <row r="23">
      <c r="H23" s="1"/>
    </row>
    <row r="24">
      <c r="H24" s="1"/>
    </row>
    <row r="25">
      <c r="H25" s="1"/>
    </row>
    <row r="26">
      <c r="H26" s="1"/>
    </row>
    <row r="27">
      <c r="H27" s="1"/>
    </row>
    <row r="28">
      <c r="H28" s="1"/>
    </row>
    <row r="29">
      <c r="H29" s="1"/>
    </row>
    <row r="30">
      <c r="H30" s="1"/>
    </row>
    <row r="31">
      <c r="H31" s="1"/>
    </row>
    <row r="32">
      <c r="H32" s="1"/>
    </row>
    <row r="33">
      <c r="H33" s="1"/>
    </row>
    <row r="34">
      <c r="H34" s="1"/>
    </row>
    <row r="35">
      <c r="H35" s="1"/>
    </row>
    <row r="36">
      <c r="H36" s="1"/>
    </row>
    <row r="37">
      <c r="H37" s="1"/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2:K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200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H9" s="1"/>
    </row>
    <row r="10">
      <c r="B10" t="s">
        <v>201</v>
      </c>
      <c r="C10" t="s">
        <v>202</v>
      </c>
      <c r="D10" t="s">
        <v>203</v>
      </c>
      <c r="E10" t="s">
        <v>204</v>
      </c>
      <c r="F10" t="s">
        <v>205</v>
      </c>
      <c r="G10" t="s">
        <v>206</v>
      </c>
      <c r="H10" s="1" t="s">
        <v>207</v>
      </c>
      <c r="I10" t="s">
        <v>208</v>
      </c>
    </row>
    <row r="11">
      <c r="B11" s="4">
        <v>46218</v>
      </c>
      <c r="C11" t="s">
        <v>209</v>
      </c>
      <c r="D11" t="s">
        <v>210</v>
      </c>
      <c r="E11" s="14">
        <v>-0.03</v>
      </c>
      <c r="F11" s="14">
        <v>-0.01</v>
      </c>
      <c r="G11" s="11">
        <f>IF(AND(ISNUMBER(E11),ISNUMBER(F11)),(E11+F11)/2,"")</f>
        <v>-0.02</v>
      </c>
      <c r="H11" s="19"/>
      <c r="I11" s="11"/>
      <c r="J11" t="s">
        <v>211</v>
      </c>
    </row>
    <row r="12">
      <c r="B12" s="4">
        <v>46218</v>
      </c>
      <c r="C12" t="s">
        <v>209</v>
      </c>
      <c r="D12" t="s">
        <v>212</v>
      </c>
      <c r="E12" s="14">
        <v>0.1</v>
      </c>
      <c r="F12" s="14">
        <v>0.105</v>
      </c>
      <c r="G12" s="11">
        <f>IF(AND(ISNUMBER(E12),ISNUMBER(F12)),(E12+F12)/2,"")</f>
        <v>0.10250000000000001</v>
      </c>
      <c r="H12" s="19"/>
      <c r="I12" s="11"/>
    </row>
    <row r="13">
      <c r="B13" s="4">
        <v>46218</v>
      </c>
      <c r="C13" t="s">
        <v>209</v>
      </c>
      <c r="D13" t="s">
        <v>213</v>
      </c>
      <c r="E13" s="18">
        <v>1.4</v>
      </c>
      <c r="F13" s="18">
        <v>1.5</v>
      </c>
      <c r="G13" s="7">
        <f>IF(AND(ISNUMBER(E13),ISNUMBER(F13)),(E13+F13)/2,"")</f>
        <v>1.45</v>
      </c>
      <c r="H13" s="40"/>
      <c r="I13" s="7"/>
    </row>
    <row r="14">
      <c r="B14" s="4">
        <v>46218</v>
      </c>
      <c r="C14" t="s">
        <v>209</v>
      </c>
      <c r="D14" t="s">
        <v>214</v>
      </c>
      <c r="E14" s="9">
        <v>140</v>
      </c>
      <c r="F14" s="9">
        <v>140</v>
      </c>
      <c r="G14" s="8">
        <f>IF(AND(ISNUMBER(E14),ISNUMBER(F14)),(E14+F14)/2,"")</f>
        <v>140</v>
      </c>
      <c r="H14" s="20"/>
      <c r="I14" s="8"/>
    </row>
    <row r="15">
      <c r="B15" s="4">
        <v>46218</v>
      </c>
      <c r="C15" t="s">
        <v>209</v>
      </c>
      <c r="D15" t="s">
        <v>215</v>
      </c>
      <c r="E15" s="9">
        <v>25</v>
      </c>
      <c r="F15" s="9">
        <v>25</v>
      </c>
      <c r="G15" s="8">
        <f>IF(AND(ISNUMBER(E15),ISNUMBER(F15)),(E15+F15)/2,"")</f>
        <v>25</v>
      </c>
      <c r="H15" s="20"/>
      <c r="I15" s="8"/>
    </row>
    <row r="16">
      <c r="B16" s="4">
        <v>46218</v>
      </c>
      <c r="C16" t="s">
        <v>209</v>
      </c>
      <c r="D16" t="s">
        <v>216</v>
      </c>
      <c r="E16" s="9">
        <v>360</v>
      </c>
      <c r="F16" s="9">
        <v>360</v>
      </c>
      <c r="G16" s="8">
        <f>IF(AND(ISNUMBER(E16),ISNUMBER(F16)),(E16+F16)/2,"")</f>
        <v>360</v>
      </c>
      <c r="H16" s="20"/>
      <c r="I16" s="8"/>
    </row>
    <row r="17">
      <c r="B17" s="4">
        <v>46218</v>
      </c>
      <c r="C17" t="s">
        <v>209</v>
      </c>
      <c r="D17" t="s">
        <v>217</v>
      </c>
      <c r="E17" s="14">
        <v>0.24</v>
      </c>
      <c r="F17" s="14">
        <v>0.24</v>
      </c>
      <c r="G17" s="11">
        <f>IF(AND(ISNUMBER(E17),ISNUMBER(F17)),(E17+F17)/2,"")</f>
        <v>0.24</v>
      </c>
      <c r="H17" s="19"/>
      <c r="I17" s="11"/>
    </row>
    <row r="18">
      <c r="B18" s="4">
        <v>46218</v>
      </c>
      <c r="C18" t="s">
        <v>209</v>
      </c>
      <c r="D18" t="s">
        <v>218</v>
      </c>
      <c r="E18" s="9">
        <v>550</v>
      </c>
      <c r="F18" s="9">
        <v>550</v>
      </c>
      <c r="G18" s="8">
        <f>IF(AND(ISNUMBER(E18),ISNUMBER(F18)),(E18+F18)/2,"")</f>
        <v>550</v>
      </c>
      <c r="H18" s="20"/>
      <c r="I18" s="8"/>
    </row>
    <row r="19">
      <c r="B19" s="4">
        <v>46218</v>
      </c>
      <c r="C19" t="s">
        <v>209</v>
      </c>
      <c r="D19" t="s">
        <v>219</v>
      </c>
      <c r="E19" s="14">
        <v>0.9</v>
      </c>
      <c r="F19" s="11"/>
      <c r="G19" s="11" t="str">
        <f>IF(AND(ISNUMBER(E19),ISNUMBER(F19)),(E19+F19)/2,"")</f>
        <v/>
      </c>
      <c r="H19" s="19"/>
      <c r="I19" s="11"/>
      <c r="J19" t="s">
        <v>220</v>
      </c>
    </row>
    <row r="20">
      <c r="B20" s="4">
        <v>46218</v>
      </c>
      <c r="C20" t="s">
        <v>209</v>
      </c>
      <c r="D20" t="s">
        <v>221</v>
      </c>
      <c r="E20" s="38">
        <v>4</v>
      </c>
      <c r="F20" s="38">
        <v>4</v>
      </c>
      <c r="G20" s="36">
        <f>IF(AND(ISNUMBER(E20),ISNUMBER(F20)),(E20+F20)/2,"")</f>
        <v>4</v>
      </c>
      <c r="H20" s="13"/>
      <c r="I20" s="36"/>
    </row>
    <row r="21">
      <c r="B21" s="4">
        <v>45931</v>
      </c>
      <c r="C21" t="s">
        <v>222</v>
      </c>
      <c r="D21" t="s">
        <v>213</v>
      </c>
      <c r="E21" s="18">
        <v>1.7</v>
      </c>
      <c r="F21" s="18">
        <v>1.85</v>
      </c>
      <c r="G21" s="7">
        <f>IF(AND(ISNUMBER(E21),ISNUMBER(F21)),(E21+F21)/2,"")</f>
        <v>1.775</v>
      </c>
      <c r="H21" s="45">
        <v>1.72</v>
      </c>
      <c r="I21" s="7">
        <f>H21-G21</f>
        <v>-0.05499999999999994</v>
      </c>
    </row>
    <row r="22">
      <c r="B22" s="4">
        <v>45931</v>
      </c>
      <c r="C22" t="s">
        <v>222</v>
      </c>
      <c r="D22" t="s">
        <v>210</v>
      </c>
      <c r="E22" s="14">
        <v>-0.01</v>
      </c>
      <c r="F22" s="14">
        <v>0.01</v>
      </c>
      <c r="G22" s="11">
        <f>IF(AND(ISNUMBER(E22),ISNUMBER(F22)),(E22+F22)/2,"")</f>
        <v>0</v>
      </c>
      <c r="H22" s="41">
        <v>-0.004</v>
      </c>
      <c r="I22" s="11">
        <f>H22-G22</f>
        <v>-0.004</v>
      </c>
    </row>
    <row r="23">
      <c r="B23" s="4">
        <v>45931</v>
      </c>
      <c r="C23" t="s">
        <v>222</v>
      </c>
      <c r="D23" t="s">
        <v>212</v>
      </c>
      <c r="E23" s="14">
        <v>0.11</v>
      </c>
      <c r="F23" s="14">
        <v>0.115</v>
      </c>
      <c r="G23" s="11">
        <f>IF(AND(ISNUMBER(E23),ISNUMBER(F23)),(E23+F23)/2,"")</f>
        <v>0.1125</v>
      </c>
      <c r="H23" s="41">
        <v>0.113</v>
      </c>
      <c r="I23" s="11">
        <f>H23-G23</f>
        <v>0.0005000000000000004</v>
      </c>
    </row>
    <row r="24">
      <c r="H24" s="1"/>
    </row>
    <row r="25">
      <c r="H25" s="1"/>
      <c r="J25" t="s">
        <v>223</v>
      </c>
      <c r="K25">
        <v>4</v>
      </c>
    </row>
    <row r="26">
      <c r="H26" s="1"/>
    </row>
    <row r="27">
      <c r="H27" s="1"/>
    </row>
    <row r="28">
      <c r="H28" s="1"/>
    </row>
    <row r="29">
      <c r="H29" s="1"/>
    </row>
    <row r="30">
      <c r="H30" s="1"/>
    </row>
    <row r="31">
      <c r="H31" s="1"/>
    </row>
    <row r="32">
      <c r="H32" s="1"/>
    </row>
    <row r="33">
      <c r="H33" s="1"/>
    </row>
    <row r="34">
      <c r="H34" s="1"/>
    </row>
    <row r="35">
      <c r="H35" s="1"/>
    </row>
    <row r="36">
      <c r="H36" s="1"/>
    </row>
    <row r="37">
      <c r="H37" s="1"/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2:J9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4" customWidth="1"/>
    <col min="10" max="10" width="16" customWidth="1"/>
  </cols>
  <sheetData>
    <row r="2">
      <c r="B2" t="s">
        <v>0</v>
      </c>
    </row>
    <row r="3">
      <c r="B3" t="s">
        <v>224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H8" s="1"/>
    </row>
    <row r="9">
      <c r="H9" s="1"/>
    </row>
    <row r="10">
      <c r="B10" t="s">
        <v>225</v>
      </c>
      <c r="C10" t="s">
        <v>226</v>
      </c>
      <c r="D10" t="s">
        <v>227</v>
      </c>
      <c r="E10" t="s">
        <v>228</v>
      </c>
      <c r="F10" t="s">
        <v>229</v>
      </c>
      <c r="H10" s="1"/>
    </row>
    <row r="11">
      <c r="B11" t="s">
        <v>230</v>
      </c>
      <c r="C11" s="4">
        <v>46218</v>
      </c>
      <c r="D11" t="s">
        <v>231</v>
      </c>
      <c r="E11" t="s">
        <v>232</v>
      </c>
      <c r="F11" t="s">
        <v>233</v>
      </c>
      <c r="H11" s="1"/>
    </row>
    <row r="12">
      <c r="B12" t="s">
        <v>234</v>
      </c>
      <c r="C12" s="4">
        <v>46218</v>
      </c>
      <c r="D12" t="s">
        <v>235</v>
      </c>
      <c r="E12" t="s">
        <v>236</v>
      </c>
      <c r="F12" t="s">
        <v>237</v>
      </c>
      <c r="H12" s="1"/>
    </row>
    <row r="13">
      <c r="B13" t="s">
        <v>238</v>
      </c>
      <c r="C13" s="4">
        <v>45931</v>
      </c>
      <c r="D13" t="s">
        <v>239</v>
      </c>
      <c r="E13" t="s">
        <v>240</v>
      </c>
      <c r="F13" t="s">
        <v>241</v>
      </c>
      <c r="H13" s="1"/>
    </row>
    <row r="14">
      <c r="B14" t="s">
        <v>242</v>
      </c>
      <c r="C14" s="4">
        <v>46010</v>
      </c>
      <c r="D14" t="s">
        <v>239</v>
      </c>
      <c r="E14" t="s">
        <v>243</v>
      </c>
      <c r="F14" t="s">
        <v>244</v>
      </c>
      <c r="H14" s="1"/>
    </row>
    <row r="15">
      <c r="B15" t="s">
        <v>245</v>
      </c>
      <c r="C15" s="4">
        <v>46113</v>
      </c>
      <c r="D15" t="s">
        <v>239</v>
      </c>
      <c r="E15" t="s">
        <v>246</v>
      </c>
      <c r="F15" t="s">
        <v>247</v>
      </c>
      <c r="H15" s="1"/>
    </row>
    <row r="16">
      <c r="B16" t="s">
        <v>248</v>
      </c>
      <c r="C16" s="4">
        <v>45931</v>
      </c>
      <c r="D16" t="s">
        <v>231</v>
      </c>
      <c r="E16" t="s">
        <v>249</v>
      </c>
      <c r="F16" t="s">
        <v>250</v>
      </c>
      <c r="H16" s="1"/>
    </row>
    <row r="17">
      <c r="B17" t="s">
        <v>251</v>
      </c>
      <c r="C17" s="4">
        <v>46010</v>
      </c>
      <c r="D17" t="s">
        <v>231</v>
      </c>
      <c r="E17" t="s">
        <v>252</v>
      </c>
      <c r="F17" t="s">
        <v>253</v>
      </c>
      <c r="H17" s="1"/>
    </row>
    <row r="18">
      <c r="B18" t="s">
        <v>254</v>
      </c>
      <c r="C18" s="4">
        <v>46113</v>
      </c>
      <c r="D18" t="s">
        <v>231</v>
      </c>
      <c r="E18" t="s">
        <v>255</v>
      </c>
      <c r="F18" t="s">
        <v>256</v>
      </c>
      <c r="H18" s="1"/>
    </row>
    <row r="19">
      <c r="B19" t="s">
        <v>257</v>
      </c>
      <c r="C19" s="4">
        <v>46288</v>
      </c>
      <c r="D19" t="s">
        <v>258</v>
      </c>
      <c r="E19" t="s">
        <v>259</v>
      </c>
      <c r="F19" t="s">
        <v>260</v>
      </c>
      <c r="H19" s="1"/>
    </row>
    <row r="20">
      <c r="B20" t="s">
        <v>261</v>
      </c>
      <c r="C20" s="4">
        <v>46288</v>
      </c>
      <c r="D20" t="s">
        <v>262</v>
      </c>
      <c r="E20" t="s">
        <v>263</v>
      </c>
      <c r="F20" t="s">
        <v>264</v>
      </c>
      <c r="H20" s="1"/>
    </row>
    <row r="21">
      <c r="B21" t="s">
        <v>265</v>
      </c>
      <c r="C21" s="4">
        <v>46268</v>
      </c>
      <c r="D21" t="s">
        <v>266</v>
      </c>
      <c r="E21" t="s">
        <v>267</v>
      </c>
      <c r="F21" t="s">
        <v>268</v>
      </c>
      <c r="H21" s="1"/>
    </row>
    <row r="22">
      <c r="B22" t="s">
        <v>269</v>
      </c>
      <c r="C22" s="4">
        <v>46276</v>
      </c>
      <c r="D22" t="s">
        <v>270</v>
      </c>
      <c r="E22" t="s">
        <v>271</v>
      </c>
      <c r="F22" t="s">
        <v>272</v>
      </c>
      <c r="H22" s="1"/>
    </row>
    <row r="23">
      <c r="B23" t="s">
        <v>273</v>
      </c>
      <c r="C23" s="4">
        <v>46289</v>
      </c>
      <c r="D23" t="s">
        <v>274</v>
      </c>
      <c r="E23" t="s">
        <v>275</v>
      </c>
      <c r="F23" t="s">
        <v>276</v>
      </c>
      <c r="H23" s="1"/>
    </row>
    <row r="24">
      <c r="B24" t="s">
        <v>277</v>
      </c>
      <c r="C24" s="4">
        <v>46289</v>
      </c>
      <c r="D24" t="s">
        <v>274</v>
      </c>
      <c r="E24" t="s">
        <v>278</v>
      </c>
      <c r="F24" t="s">
        <v>279</v>
      </c>
      <c r="H24" s="1"/>
    </row>
    <row r="25">
      <c r="H25" s="1"/>
    </row>
    <row r="26">
      <c r="B26" t="s">
        <v>280</v>
      </c>
      <c r="H26" s="1"/>
    </row>
    <row r="27">
      <c r="B27" t="s">
        <v>281</v>
      </c>
      <c r="D27" t="s">
        <v>282</v>
      </c>
      <c r="H27" s="1"/>
    </row>
    <row r="28">
      <c r="B28" t="s">
        <v>283</v>
      </c>
      <c r="D28" t="s">
        <v>284</v>
      </c>
      <c r="H28" s="1"/>
    </row>
    <row r="29">
      <c r="H29" s="1"/>
    </row>
    <row r="30">
      <c r="B30" t="s">
        <v>285</v>
      </c>
      <c r="H30" s="1"/>
      <c r="J30" t="s">
        <v>286</v>
      </c>
    </row>
    <row r="31">
      <c r="B31" t="s">
        <v>287</v>
      </c>
      <c r="H31" s="1"/>
      <c r="J31" t="s">
        <v>288</v>
      </c>
    </row>
    <row r="32">
      <c r="B32" t="s">
        <v>289</v>
      </c>
      <c r="H32" s="1"/>
      <c r="J32" t="s">
        <v>290</v>
      </c>
    </row>
    <row r="33">
      <c r="B33" t="s">
        <v>291</v>
      </c>
      <c r="H33" s="1"/>
      <c r="J33" t="s">
        <v>292</v>
      </c>
    </row>
    <row r="34">
      <c r="B34" t="s">
        <v>293</v>
      </c>
      <c r="H34" s="1"/>
      <c r="J34" t="s">
        <v>294</v>
      </c>
    </row>
    <row r="35">
      <c r="B35" t="s">
        <v>295</v>
      </c>
      <c r="H35" s="1"/>
      <c r="J35" t="s">
        <v>296</v>
      </c>
    </row>
    <row r="36">
      <c r="B36" t="s">
        <v>297</v>
      </c>
      <c r="H36" s="1"/>
      <c r="J36" t="s">
        <v>298</v>
      </c>
    </row>
    <row r="37">
      <c r="B37" t="s">
        <v>299</v>
      </c>
      <c r="H37" s="1"/>
      <c r="J37" t="s">
        <v>300</v>
      </c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</sheetData>
  <hyperlinks>
    <hyperlink ref="E11" r:id="rId1" display="Open S01"/>
    <hyperlink ref="E12" r:id="rId2" display="Open S02"/>
    <hyperlink ref="E13" r:id="rId3" display="Open S03"/>
    <hyperlink ref="E14" r:id="rId4" display="Open S04"/>
    <hyperlink ref="E15" r:id="rId5" display="Open S05"/>
    <hyperlink ref="E16" r:id="rId6" display="Open S06"/>
    <hyperlink ref="E17" r:id="rId7" display="Open S07"/>
    <hyperlink ref="E18" r:id="rId8" display="Open S08"/>
    <hyperlink ref="E19" r:id="rId9" display="Open S09"/>
    <hyperlink ref="E20" r:id="rId10" display="Open S10"/>
    <hyperlink ref="E21" r:id="rId11" display="Open S11"/>
    <hyperlink ref="E22" r:id="rId12" display="Open S12"/>
  </hyperlinks>
</worksheet>
</file>

<file path=xl/worksheets/sheet13.xml><?xml version="1.0" encoding="utf-8"?>
<worksheet xmlns="http://schemas.openxmlformats.org/spreadsheetml/2006/main" xmlns:r="http://schemas.openxmlformats.org/officeDocument/2006/relationships">
  <dimension ref="B2:P76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2" max="2" width="35" customWidth="1"/>
    <col min="3" max="8" width="14" customWidth="1"/>
    <col min="9" max="9" width="17" customWidth="1"/>
    <col min="10" max="10" width="40" customWidth="1"/>
    <col min="11" max="11" width="19" customWidth="1"/>
    <col min="12" max="12" width="20" customWidth="1"/>
    <col min="13" max="15" width="19" customWidth="1"/>
  </cols>
  <sheetData>
    <row r="2">
      <c r="B2" t="s">
        <v>0</v>
      </c>
    </row>
    <row r="3">
      <c r="B3" t="s">
        <v>301</v>
      </c>
    </row>
    <row r="4">
      <c r="B4" t="s">
        <v>2</v>
      </c>
    </row>
    <row r="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>
      <c r="B6" s="2" t="s">
        <v>10</v>
      </c>
      <c r="C6" s="6">
        <v>45893</v>
      </c>
      <c r="D6" s="6">
        <v>45984</v>
      </c>
      <c r="E6" s="6">
        <v>46075</v>
      </c>
      <c r="F6" s="6">
        <v>46173</v>
      </c>
      <c r="G6" s="6">
        <v>46173</v>
      </c>
      <c r="H6" s="6">
        <v>46264</v>
      </c>
    </row>
    <row r="7">
      <c r="B7" s="2" t="s">
        <v>11</v>
      </c>
      <c r="C7" s="5">
        <v>91</v>
      </c>
      <c r="D7" s="5">
        <v>91</v>
      </c>
      <c r="E7" s="5">
        <v>91</v>
      </c>
      <c r="F7" s="5">
        <v>98</v>
      </c>
      <c r="G7" s="5">
        <v>371</v>
      </c>
      <c r="H7" s="5">
        <v>91</v>
      </c>
    </row>
    <row r="8">
      <c r="B8" t="s">
        <v>302</v>
      </c>
    </row>
    <row r="9">
      <c r="B9" t="s">
        <v>303</v>
      </c>
      <c r="C9" s="16">
        <v>46289</v>
      </c>
    </row>
    <row r="10">
      <c r="B10" t="s">
        <v>304</v>
      </c>
      <c r="C10" t="s">
        <v>282</v>
      </c>
    </row>
    <row r="11">
      <c r="B11" t="s">
        <v>305</v>
      </c>
      <c r="C11" t="s">
        <v>284</v>
      </c>
    </row>
    <row r="12">
      <c r="B12" t="s">
        <v>306</v>
      </c>
    </row>
    <row r="13">
      <c r="B13" t="s">
        <v>307</v>
      </c>
      <c r="C13" t="s">
        <v>308</v>
      </c>
      <c r="D13" t="s">
        <v>309</v>
      </c>
      <c r="E13" t="s">
        <v>310</v>
      </c>
      <c r="F13" t="s">
        <v>311</v>
      </c>
      <c r="G13" t="s">
        <v>312</v>
      </c>
      <c r="H13" t="s">
        <v>313</v>
      </c>
      <c r="I13" t="s">
        <v>314</v>
      </c>
      <c r="J13" t="s">
        <v>315</v>
      </c>
      <c r="K13" t="s">
        <v>31</v>
      </c>
      <c r="L13" t="s">
        <v>36</v>
      </c>
      <c r="M13" t="s">
        <v>37</v>
      </c>
      <c r="N13" t="s">
        <v>38</v>
      </c>
    </row>
    <row r="14">
      <c r="B14" s="4">
        <v>45716</v>
      </c>
      <c r="C14" s="16">
        <v>0.53</v>
      </c>
      <c r="D14" s="16">
        <v>0.51</v>
      </c>
      <c r="E14" s="16">
        <v>0.56</v>
      </c>
      <c r="F14" s="16">
        <v>0.3</v>
      </c>
      <c r="G14" s="16">
        <v>2903.82</v>
      </c>
      <c r="H14" s="16">
        <v>2841</v>
      </c>
      <c r="I14" s="4">
        <v>45750</v>
      </c>
      <c r="J14" t="s">
        <v>316</v>
      </c>
      <c r="K14" s="16">
        <v>1079.6</v>
      </c>
      <c r="L14" s="16">
        <v>1076.2</v>
      </c>
      <c r="M14" s="16">
        <v>212.3</v>
      </c>
      <c r="N14" s="16">
        <v>264.5</v>
      </c>
    </row>
    <row r="15">
      <c r="B15" s="4">
        <v>45808</v>
      </c>
      <c r="C15" s="16">
        <v>0.58</v>
      </c>
      <c r="D15" s="16">
        <v>0.56</v>
      </c>
      <c r="E15" s="16">
        <v>0.56</v>
      </c>
      <c r="F15" s="16">
        <v>0.53</v>
      </c>
      <c r="G15" s="16">
        <v>2839.88</v>
      </c>
      <c r="H15" s="16">
        <v>2781.8</v>
      </c>
      <c r="I15" s="4">
        <v>45848</v>
      </c>
      <c r="J15" t="s">
        <v>317</v>
      </c>
      <c r="K15" s="16">
        <v>1209.1</v>
      </c>
      <c r="L15" s="16">
        <v>1251.2</v>
      </c>
      <c r="M15" s="16">
        <v>230.4</v>
      </c>
      <c r="N15" s="16">
        <v>288.4</v>
      </c>
    </row>
    <row r="16">
      <c r="B16" s="4">
        <v>45900</v>
      </c>
      <c r="C16" s="16">
        <v>0.33</v>
      </c>
      <c r="D16" s="16">
        <v>0.39</v>
      </c>
      <c r="E16" s="16">
        <v>0.34</v>
      </c>
      <c r="F16" s="16">
        <v>0.34</v>
      </c>
      <c r="G16" s="16">
        <v>2617.5</v>
      </c>
      <c r="H16" s="16">
        <v>2632.6</v>
      </c>
      <c r="I16" s="4">
        <v>45931</v>
      </c>
      <c r="J16" t="s">
        <v>318</v>
      </c>
      <c r="K16" s="16">
        <v>1167.1</v>
      </c>
      <c r="L16" s="16">
        <v>1133.2</v>
      </c>
      <c r="M16" s="16">
        <v>226.8</v>
      </c>
      <c r="N16" s="16">
        <v>260.7</v>
      </c>
    </row>
    <row r="17">
      <c r="B17" s="4">
        <v>45991</v>
      </c>
      <c r="C17" s="16">
        <v>0.44</v>
      </c>
      <c r="D17" s="16">
        <v>0.45</v>
      </c>
      <c r="E17" s="16">
        <v>0.44</v>
      </c>
      <c r="F17" s="16">
        <v>-1.39</v>
      </c>
      <c r="G17" s="16">
        <v>2983.42</v>
      </c>
      <c r="H17" s="16">
        <v>2979.1</v>
      </c>
      <c r="I17" s="4">
        <v>46010</v>
      </c>
      <c r="J17" t="s">
        <v>319</v>
      </c>
      <c r="K17" s="16">
        <v>1154.3</v>
      </c>
      <c r="L17" s="16">
        <v>1181.2</v>
      </c>
      <c r="M17" s="16">
        <v>244.4</v>
      </c>
      <c r="N17" s="16">
        <v>302.2</v>
      </c>
    </row>
    <row r="18">
      <c r="B18" s="4">
        <v>46081</v>
      </c>
      <c r="C18" s="16">
        <v>0.4</v>
      </c>
      <c r="D18" s="16">
        <v>0.39</v>
      </c>
      <c r="E18" s="16">
        <v>0.41</v>
      </c>
      <c r="F18" s="16">
        <v>0.42</v>
      </c>
      <c r="G18" s="16">
        <v>2760.4</v>
      </c>
      <c r="H18" s="16">
        <v>2787.8</v>
      </c>
      <c r="I18" s="4">
        <v>46113</v>
      </c>
      <c r="J18" t="s">
        <v>320</v>
      </c>
      <c r="K18" s="16">
        <v>4610.1</v>
      </c>
      <c r="L18" s="16">
        <v>4641.8</v>
      </c>
      <c r="M18" s="16">
        <v>913.9</v>
      </c>
      <c r="N18" s="16">
        <v>1115.8</v>
      </c>
    </row>
    <row r="19">
      <c r="B19" s="4">
        <v>46173</v>
      </c>
      <c r="C19" s="16">
        <v>0.46</v>
      </c>
      <c r="D19" s="16">
        <v>0.47</v>
      </c>
      <c r="E19" s="16">
        <v>0.47</v>
      </c>
      <c r="F19" s="16">
        <v>-3.37</v>
      </c>
      <c r="G19" s="16">
        <v>2890.73</v>
      </c>
      <c r="H19" s="16">
        <v>2882.1</v>
      </c>
      <c r="I19" s="4">
        <v>46218</v>
      </c>
      <c r="J19" t="s">
        <v>321</v>
      </c>
    </row>
    <row r="20">
      <c r="J20" t="s">
        <v>322</v>
      </c>
    </row>
    <row r="21">
      <c r="K21" t="s">
        <v>323</v>
      </c>
      <c r="L21" t="s">
        <v>324</v>
      </c>
      <c r="M21" t="s">
        <v>37</v>
      </c>
      <c r="N21" t="s">
        <v>38</v>
      </c>
    </row>
    <row r="22">
      <c r="B22" t="s">
        <v>325</v>
      </c>
      <c r="K22" s="16">
        <v>1072.6</v>
      </c>
      <c r="L22" s="16">
        <v>1069</v>
      </c>
      <c r="M22" s="16">
        <v>221.9</v>
      </c>
      <c r="N22" s="16">
        <v>263.1</v>
      </c>
    </row>
    <row r="23">
      <c r="B23" t="s">
        <v>326</v>
      </c>
      <c r="C23" t="s">
        <v>327</v>
      </c>
      <c r="K23" s="16">
        <v>1227.9</v>
      </c>
      <c r="L23" s="16">
        <v>1318.8</v>
      </c>
      <c r="M23" s="16">
        <v>233.3</v>
      </c>
      <c r="N23" s="16">
        <v>287.8</v>
      </c>
    </row>
    <row r="24">
      <c r="B24" t="s">
        <v>328</v>
      </c>
      <c r="C24" t="s">
        <v>329</v>
      </c>
      <c r="K24" s="16">
        <v>1146.8</v>
      </c>
      <c r="L24" s="16">
        <v>1094.2</v>
      </c>
      <c r="M24" s="16">
        <v>214.7</v>
      </c>
      <c r="N24" s="16">
        <v>251.5</v>
      </c>
    </row>
    <row r="25">
      <c r="B25" t="s">
        <v>330</v>
      </c>
      <c r="C25" t="s">
        <v>331</v>
      </c>
      <c r="K25" s="16">
        <v>1066.1</v>
      </c>
      <c r="L25" s="16">
        <v>1103.5</v>
      </c>
      <c r="M25" s="16">
        <v>219.9</v>
      </c>
      <c r="N25" s="16">
        <v>276.1</v>
      </c>
    </row>
    <row r="26">
      <c r="B26" t="s">
        <v>332</v>
      </c>
      <c r="C26" s="16">
        <v>26893</v>
      </c>
      <c r="K26" s="16">
        <v>4513.4</v>
      </c>
      <c r="L26" s="16">
        <v>4585.5</v>
      </c>
      <c r="M26" s="16">
        <v>889.8</v>
      </c>
      <c r="N26" s="16">
        <v>1078.5</v>
      </c>
    </row>
    <row r="27">
      <c r="B27" t="s">
        <v>333</v>
      </c>
      <c r="C27" s="16">
        <v>18</v>
      </c>
    </row>
    <row r="28">
      <c r="B28" t="s">
        <v>334</v>
      </c>
      <c r="C28" t="s">
        <v>335</v>
      </c>
    </row>
    <row r="29">
      <c r="B29" t="s">
        <v>336</v>
      </c>
      <c r="C29" t="s">
        <v>337</v>
      </c>
      <c r="K29" s="16">
        <v>1182.7</v>
      </c>
      <c r="L29" s="16">
        <v>1086.4</v>
      </c>
      <c r="M29" s="16">
        <v>259.1</v>
      </c>
      <c r="N29" s="16">
        <v>266.7</v>
      </c>
    </row>
    <row r="30">
      <c r="B30" t="s">
        <v>307</v>
      </c>
      <c r="C30" s="4">
        <v>46265</v>
      </c>
      <c r="K30" s="16">
        <v>1321</v>
      </c>
      <c r="L30" s="16">
        <v>1338.5</v>
      </c>
      <c r="M30" s="16">
        <v>243.4</v>
      </c>
      <c r="N30" s="16">
        <v>292.2</v>
      </c>
    </row>
    <row r="31">
      <c r="B31" t="s">
        <v>338</v>
      </c>
      <c r="C31" s="4">
        <v>46295</v>
      </c>
      <c r="K31" s="16">
        <v>1245.4</v>
      </c>
      <c r="L31" s="16">
        <v>1115.6</v>
      </c>
      <c r="M31" s="16">
        <v>223.9</v>
      </c>
      <c r="N31" s="16">
        <v>256.1</v>
      </c>
    </row>
    <row r="32">
      <c r="B32" t="s">
        <v>339</v>
      </c>
      <c r="C32" s="16">
        <v>0.28</v>
      </c>
      <c r="K32" s="16">
        <v>1150.2</v>
      </c>
      <c r="L32" s="16">
        <v>1121.8</v>
      </c>
      <c r="M32" s="16">
        <v>230.1</v>
      </c>
      <c r="N32" s="16">
        <v>279.7</v>
      </c>
    </row>
    <row r="33">
      <c r="B33" t="s">
        <v>340</v>
      </c>
      <c r="C33" s="16">
        <v>0.28</v>
      </c>
      <c r="K33" s="16">
        <v>4899.3</v>
      </c>
      <c r="L33" s="16">
        <v>4662.3</v>
      </c>
      <c r="M33" s="16">
        <v>956.5</v>
      </c>
      <c r="N33" s="16">
        <v>1094.7</v>
      </c>
    </row>
    <row r="34">
      <c r="B34" t="s">
        <v>341</v>
      </c>
      <c r="C34" s="16">
        <v>0.32</v>
      </c>
    </row>
    <row r="35">
      <c r="B35" t="s">
        <v>342</v>
      </c>
      <c r="C35" s="16">
        <v>0.25</v>
      </c>
      <c r="O35" t="s">
        <v>343</v>
      </c>
    </row>
    <row r="36">
      <c r="B36" t="s">
        <v>344</v>
      </c>
      <c r="C36" s="16">
        <v>0.02</v>
      </c>
      <c r="K36" t="s">
        <v>3</v>
      </c>
      <c r="L36" t="s">
        <v>345</v>
      </c>
      <c r="O36" s="16">
        <v>21172.8</v>
      </c>
    </row>
    <row r="37">
      <c r="B37" t="s">
        <v>346</v>
      </c>
      <c r="C37" s="16">
        <v>12</v>
      </c>
      <c r="K37" t="s">
        <v>347</v>
      </c>
      <c r="L37" s="16">
        <v>189.2</v>
      </c>
      <c r="O37" s="16">
        <v>19540.3</v>
      </c>
    </row>
    <row r="38">
      <c r="B38" t="s">
        <v>348</v>
      </c>
      <c r="K38" t="s">
        <v>349</v>
      </c>
      <c r="L38" s="16">
        <v>218</v>
      </c>
      <c r="O38" s="16">
        <v>19212.3</v>
      </c>
    </row>
    <row r="39">
      <c r="B39" t="s">
        <v>350</v>
      </c>
      <c r="K39" t="s">
        <v>351</v>
      </c>
      <c r="L39" s="16">
        <v>188.2</v>
      </c>
      <c r="O39" s="16">
        <v>17274.4</v>
      </c>
    </row>
    <row r="40">
      <c r="B40" t="s">
        <v>352</v>
      </c>
      <c r="K40" t="s">
        <v>353</v>
      </c>
      <c r="L40" s="16">
        <v>227.9</v>
      </c>
    </row>
    <row r="41">
      <c r="B41" t="s">
        <v>354</v>
      </c>
      <c r="C41" s="16">
        <v>0.28</v>
      </c>
      <c r="K41" t="s">
        <v>355</v>
      </c>
      <c r="L41" s="22">
        <f>SUM(L37:L40)</f>
        <v>823.3</v>
      </c>
    </row>
    <row r="42">
      <c r="B42" t="s">
        <v>356</v>
      </c>
      <c r="C42" s="16">
        <v>0.28</v>
      </c>
    </row>
    <row r="43">
      <c r="B43" t="s">
        <v>357</v>
      </c>
      <c r="C43" s="16">
        <v>0.29</v>
      </c>
    </row>
    <row r="44">
      <c r="B44" t="s">
        <v>358</v>
      </c>
      <c r="C44" s="16">
        <v>0.26</v>
      </c>
      <c r="O44" t="s">
        <v>359</v>
      </c>
    </row>
    <row r="45">
      <c r="B45" t="s">
        <v>360</v>
      </c>
      <c r="C45" s="16">
        <v>0.02</v>
      </c>
      <c r="O45" s="16">
        <v>2794.9</v>
      </c>
      <c r="P45" t="s">
        <v>361</v>
      </c>
    </row>
    <row r="46">
      <c r="B46" t="s">
        <v>362</v>
      </c>
      <c r="C46" s="16">
        <v>2</v>
      </c>
      <c r="O46" s="16">
        <v>3195.1</v>
      </c>
      <c r="P46" s="16">
        <v>902.9</v>
      </c>
    </row>
    <row r="47">
      <c r="B47" t="s">
        <v>363</v>
      </c>
      <c r="O47" s="16">
        <v>2841</v>
      </c>
      <c r="P47" s="16">
        <v>1828.5</v>
      </c>
    </row>
    <row r="48">
      <c r="B48" t="s">
        <v>364</v>
      </c>
      <c r="O48" s="16">
        <v>2781.8</v>
      </c>
      <c r="P48" s="16">
        <v>2731.4</v>
      </c>
    </row>
    <row r="49">
      <c r="B49" t="s">
        <v>365</v>
      </c>
      <c r="C49" s="16">
        <v>2588.02</v>
      </c>
      <c r="O49" s="16">
        <v>11612.8</v>
      </c>
    </row>
    <row r="50">
      <c r="B50" t="s">
        <v>366</v>
      </c>
      <c r="C50" s="16">
        <v>2590.3</v>
      </c>
    </row>
    <row r="51">
      <c r="B51" t="s">
        <v>367</v>
      </c>
      <c r="C51" s="16">
        <v>2607</v>
      </c>
      <c r="O51" s="16">
        <v>11281.6</v>
      </c>
    </row>
    <row r="52">
      <c r="B52" t="s">
        <v>368</v>
      </c>
      <c r="C52" s="16">
        <v>2565</v>
      </c>
    </row>
    <row r="53">
      <c r="B53" t="s">
        <v>369</v>
      </c>
      <c r="C53" s="16">
        <v>10.58</v>
      </c>
    </row>
    <row r="54">
      <c r="B54" t="s">
        <v>370</v>
      </c>
      <c r="C54" s="16">
        <v>11</v>
      </c>
      <c r="O54" t="s">
        <v>371</v>
      </c>
    </row>
    <row r="55">
      <c r="B55" t="s">
        <v>372</v>
      </c>
      <c r="O55" s="16">
        <v>12257</v>
      </c>
    </row>
    <row r="56">
      <c r="B56" t="s">
        <v>373</v>
      </c>
      <c r="O56" s="16">
        <v>11449.5</v>
      </c>
    </row>
    <row r="57">
      <c r="B57" t="s">
        <v>374</v>
      </c>
      <c r="C57" s="16">
        <v>345.81</v>
      </c>
      <c r="O57" s="16">
        <v>11048.2</v>
      </c>
    </row>
    <row r="58">
      <c r="B58" t="s">
        <v>375</v>
      </c>
      <c r="C58" s="16">
        <v>234.76</v>
      </c>
      <c r="O58" s="16">
        <v>10916.8</v>
      </c>
    </row>
    <row r="59">
      <c r="B59" t="s">
        <v>376</v>
      </c>
      <c r="C59" s="16">
        <v>136.92</v>
      </c>
    </row>
    <row r="60">
      <c r="B60" t="s">
        <v>377</v>
      </c>
      <c r="C60" s="16">
        <v>107.4</v>
      </c>
    </row>
    <row r="61">
      <c r="B61" t="s">
        <v>378</v>
      </c>
      <c r="C61" s="16">
        <v>22.25</v>
      </c>
    </row>
    <row r="62">
      <c r="B62" t="s">
        <v>379</v>
      </c>
      <c r="C62" s="16">
        <v>23.9</v>
      </c>
    </row>
    <row r="63">
      <c r="B63" t="s">
        <v>380</v>
      </c>
      <c r="C63" s="16">
        <v>-141.78</v>
      </c>
    </row>
    <row r="64">
      <c r="B64" t="s">
        <v>381</v>
      </c>
      <c r="C64" s="16">
        <v>56</v>
      </c>
    </row>
    <row r="65">
      <c r="B65" t="s">
        <v>382</v>
      </c>
      <c r="C65" s="16">
        <v>196</v>
      </c>
    </row>
    <row r="66">
      <c r="B66" t="s">
        <v>383</v>
      </c>
      <c r="C66" s="16">
        <v>96.5</v>
      </c>
    </row>
    <row r="67">
      <c r="B67" t="s">
        <v>384</v>
      </c>
      <c r="C67" s="16">
        <v>14.41</v>
      </c>
    </row>
    <row r="68">
      <c r="B68" t="s">
        <v>385</v>
      </c>
      <c r="C68" s="16">
        <v>14</v>
      </c>
    </row>
    <row r="69">
      <c r="B69" t="s">
        <v>386</v>
      </c>
      <c r="C69" s="16">
        <v>23</v>
      </c>
    </row>
    <row r="70">
      <c r="B70" t="s">
        <v>387</v>
      </c>
      <c r="C70" s="16">
        <v>12</v>
      </c>
    </row>
    <row r="71">
      <c r="B71" t="s">
        <v>388</v>
      </c>
      <c r="C71" s="16">
        <v>2.49</v>
      </c>
    </row>
    <row r="72">
      <c r="B72" t="s">
        <v>389</v>
      </c>
      <c r="C72" s="16">
        <v>16</v>
      </c>
    </row>
    <row r="73">
      <c r="B73" t="s">
        <v>390</v>
      </c>
      <c r="C73" t="s">
        <v>391</v>
      </c>
    </row>
    <row r="74">
      <c r="B74" t="s">
        <v>392</v>
      </c>
      <c r="C74" s="16">
        <v>3.29</v>
      </c>
    </row>
    <row r="75">
      <c r="B75" t="s">
        <v>393</v>
      </c>
      <c r="C75" s="16">
        <v>14.67</v>
      </c>
    </row>
    <row r="76">
      <c r="B76" t="s">
        <v>394</v>
      </c>
      <c r="C76" t="s">
        <v>395</v>
      </c>
    </row>
  </sheetData>
  <legacyDrawing r:id="rId2"/>
</worksheet>
</file>