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North America" sheetId="3" r:id="rId4"/>
    <sheet name="Segment - Europe" sheetId="4" r:id="rId5"/>
    <sheet name="Segment - Cruise Support" sheetId="5" r:id="rId6"/>
    <sheet name="Segment - Tour and Other" sheetId="6" r:id="rId7"/>
    <sheet name="Income Statement" sheetId="7" r:id="rId8"/>
    <sheet name="Balance Sheet" sheetId="8" r:id="rId9"/>
    <sheet name="Cash Flow Statement" sheetId="9" r:id="rId10"/>
    <sheet name="Geo" sheetId="10" r:id="rId11"/>
    <sheet name="Share Count" sheetId="11" r:id="rId12"/>
    <sheet name="Guidance" sheetId="12" r:id="rId13"/>
    <sheet name="Sources" sheetId="13" r:id="rId14"/>
    <sheet name="Inputs" sheetId="14" r:id="rId15"/>
  </sheets>
  <calcPr calcId="0"/>
</workbook>
</file>

<file path=xl/sharedStrings.xml><?xml version="1.0" encoding="utf-8"?>
<sst xmlns="http://schemas.openxmlformats.org/spreadsheetml/2006/main" count="1017" uniqueCount="548">
  <si>
    <t>Carnival Corporation Ltd.</t>
  </si>
  <si>
    <t>Company Model — built by Shortcut</t>
  </si>
  <si>
    <t>$ millions, except per share</t>
  </si>
  <si>
    <t>Period</t>
  </si>
  <si>
    <t>3Q25A</t>
  </si>
  <si>
    <t>4Q25A</t>
  </si>
  <si>
    <t>1Q26A</t>
  </si>
  <si>
    <t>2Q26A</t>
  </si>
  <si>
    <t>FY25A</t>
  </si>
  <si>
    <t>3Q26E</t>
  </si>
  <si>
    <t>Period end</t>
  </si>
  <si>
    <t>Days in period</t>
  </si>
  <si>
    <t>CCL  |  NYSE:CCL  |  USD / common share</t>
  </si>
  <si>
    <t>Fiscal year ends November 30  •  Bermuda incorporation</t>
  </si>
  <si>
    <t>Information cutoff (UTC)</t>
  </si>
  <si>
    <t>2026-09-26 18:44:22 UTC</t>
  </si>
  <si>
    <t>Expected earnings report</t>
  </si>
  <si>
    <t>EPS basis</t>
  </si>
  <si>
    <t>Adjusted / normalized diluted USD per common share</t>
  </si>
  <si>
    <t>FQ3 2026 - Aug 2026</t>
  </si>
  <si>
    <t>METRIC</t>
  </si>
  <si>
    <t>Shortcut</t>
  </si>
  <si>
    <t>Consensus</t>
  </si>
  <si>
    <t>Δ vs Street</t>
  </si>
  <si>
    <t>Guidance</t>
  </si>
  <si>
    <t>Revenue ($m)</t>
  </si>
  <si>
    <t>unavailable</t>
  </si>
  <si>
    <t>Adjusted net income ($m)</t>
  </si>
  <si>
    <t>Normalized diluted EPS ($)</t>
  </si>
  <si>
    <t>GAAP diluted EPS ($)</t>
  </si>
  <si>
    <t>GAAP net income ($m)</t>
  </si>
  <si>
    <t>Overall checks</t>
  </si>
  <si>
    <t>P(beat consensus EPS)</t>
  </si>
  <si>
    <t>Confidence</t>
  </si>
  <si>
    <t>Forecast commentary</t>
  </si>
  <si>
    <t>Forecast reflects elevated fuel and Europe pricing risk; consensus anchored at September 24, 2026.</t>
  </si>
  <si>
    <t>Revenue summary</t>
  </si>
  <si>
    <t>REPORTED OPERATING SEGMENTS</t>
  </si>
  <si>
    <t>North America cruise</t>
  </si>
  <si>
    <t>Europe cruise</t>
  </si>
  <si>
    <t>Cruise Support</t>
  </si>
  <si>
    <t>Tour and Other</t>
  </si>
  <si>
    <t>Segment sum</t>
  </si>
  <si>
    <t>SEC segment rounding</t>
  </si>
  <si>
    <t>Total revenue</t>
  </si>
  <si>
    <t>Revenue YoY</t>
  </si>
  <si>
    <t>Revenue QoQ</t>
  </si>
  <si>
    <t>Passenger ticket</t>
  </si>
  <si>
    <t>Onboard and other</t>
  </si>
  <si>
    <t>Ticket share</t>
  </si>
  <si>
    <t>ALBD (millions)</t>
  </si>
  <si>
    <t>PCD (millions)</t>
  </si>
  <si>
    <t>Occupancy</t>
  </si>
  <si>
    <t>Revenue per PCD</t>
  </si>
  <si>
    <t>Net yield / ALBD proxy</t>
  </si>
  <si>
    <t>Segment / total reconciliation</t>
  </si>
  <si>
    <t>Tickets / onboard reconciliation</t>
  </si>
  <si>
    <t>North America revenue</t>
  </si>
  <si>
    <t xml:space="preserve">    YoY</t>
  </si>
  <si>
    <t xml:space="preserve">    QoQ</t>
  </si>
  <si>
    <t xml:space="preserve">    % of total</t>
  </si>
  <si>
    <t>Europe revenue</t>
  </si>
  <si>
    <t>Cruise Support revenue</t>
  </si>
  <si>
    <t>Tour and Other revenue</t>
  </si>
  <si>
    <t>PRODUCT REVENUE GROWTH DECOMPOSITION</t>
  </si>
  <si>
    <t>Passenger ticket revenue</t>
  </si>
  <si>
    <t xml:space="preserve">    Total YoY growth</t>
  </si>
  <si>
    <t xml:space="preserve">    M&amp;A / scope: forecast zero assumed</t>
  </si>
  <si>
    <t xml:space="preserve">    FX: forecast zero assumed</t>
  </si>
  <si>
    <t xml:space="preserve">    Constant-scope/FX growth proxy</t>
  </si>
  <si>
    <t xml:space="preserve">    Absolute sequential change</t>
  </si>
  <si>
    <t>Onboard and other revenue</t>
  </si>
  <si>
    <t>GROUP VOLUME, OCCUPANCY AND PRICE LADDER</t>
  </si>
  <si>
    <t>Available lower berth days</t>
  </si>
  <si>
    <t xml:space="preserve">    YoY change (%)</t>
  </si>
  <si>
    <t xml:space="preserve">    Sequential absolute change</t>
  </si>
  <si>
    <t>Passenger cruise days</t>
  </si>
  <si>
    <t>Occupancy rate</t>
  </si>
  <si>
    <t xml:space="preserve">    YoY change (bp)</t>
  </si>
  <si>
    <t xml:space="preserve">    Sequential change (bp)</t>
  </si>
  <si>
    <t>Revenue per ALBD proxy</t>
  </si>
  <si>
    <t>REPORTED SEGMENT REVENUE GROWTH BRIDGES</t>
  </si>
  <si>
    <t xml:space="preserve">    M&amp;A/scope: zero assumed</t>
  </si>
  <si>
    <t xml:space="preserve">    FX: zero assumed</t>
  </si>
  <si>
    <t>Segment - North America</t>
  </si>
  <si>
    <t>CAPACITY / GUEST DRIVER LADDER</t>
  </si>
  <si>
    <t>Segment-specific passenger counts, bookings and product splits unavailable; allocated group PCD and assumed unit-price growth are illustrative.</t>
  </si>
  <si>
    <t>Prior-quarter average ALBD exposure</t>
  </si>
  <si>
    <t>Positive change in average ALBDs (implied)</t>
  </si>
  <si>
    <t>Gross ship additions/removals are unavailable by segment; positive/negative net change calculated from group ALBD allocation.</t>
  </si>
  <si>
    <t>Negative change in average ALBDs (implied)</t>
  </si>
  <si>
    <t>Actual segment-specific opening/closing stock and gross additions/retirements are not disclosed; changes in period-average berth days are NOT customer churn or ship additions.</t>
  </si>
  <si>
    <t>Net change in average ALBD exposure</t>
  </si>
  <si>
    <t>Current-quarter ALBD exposure (NOT end stock)</t>
  </si>
  <si>
    <t>Group ALBD × illustrative segment mix</t>
  </si>
  <si>
    <t>ALBD YoY change</t>
  </si>
  <si>
    <t>ALBD sequential change</t>
  </si>
  <si>
    <t>Passenger cruise days allocated m</t>
  </si>
  <si>
    <t>PCD YoY change</t>
  </si>
  <si>
    <t>PCD sequential change</t>
  </si>
  <si>
    <t>Occupancy / load factor</t>
  </si>
  <si>
    <t>Occupancy YoY bp</t>
  </si>
  <si>
    <t>Ticket per PCD ($)</t>
  </si>
  <si>
    <t>Ticket yield YoY change</t>
  </si>
  <si>
    <t>Onboard revenue per PCD ($)</t>
  </si>
  <si>
    <t>Onboard yield YoY change</t>
  </si>
  <si>
    <t>Cruise revenue subtotal</t>
  </si>
  <si>
    <t>Non-cruise / destination revenue</t>
  </si>
  <si>
    <t>Segment revenue</t>
  </si>
  <si>
    <t>Constant-scope/FX growth proxy (estimated)</t>
  </si>
  <si>
    <t>M&amp;A / scope effect: 0% assumed, not disclosed</t>
  </si>
  <si>
    <t>FX effect: 0% assumed, not disclosed</t>
  </si>
  <si>
    <t>Total revenue YoY</t>
  </si>
  <si>
    <t>Total revenue QoQ</t>
  </si>
  <si>
    <t>Segment share of group revenue</t>
  </si>
  <si>
    <t>Cruise operating expense</t>
  </si>
  <si>
    <t>Selling and administrative</t>
  </si>
  <si>
    <t>Depreciation</t>
  </si>
  <si>
    <t>Segment operating profit</t>
  </si>
  <si>
    <t>Operating margin</t>
  </si>
  <si>
    <t>Margin YoY bp</t>
  </si>
  <si>
    <t>Disclosure / presentation rounding</t>
  </si>
  <si>
    <t>DRIVER CHANGE LADDER (reported periods vs forecast)</t>
  </si>
  <si>
    <t>Passenger cruise days (allocated)</t>
  </si>
  <si>
    <t>Ticket price per PCD (allocated)</t>
  </si>
  <si>
    <t>Onboard price per PCD (allocated)</t>
  </si>
  <si>
    <t>Total segment revenue</t>
  </si>
  <si>
    <t>Segment operating margin</t>
  </si>
  <si>
    <t>SEGMENT PRODUCT REVENUE BRIDGES</t>
  </si>
  <si>
    <t>Ticket revenue</t>
  </si>
  <si>
    <t xml:space="preserve">    Total revenue YoY</t>
  </si>
  <si>
    <t xml:space="preserve">    M&amp;A / scope (undisclosed)</t>
  </si>
  <si>
    <t xml:space="preserve">    FX effect (undisclosed)</t>
  </si>
  <si>
    <t xml:space="preserve">    Constant-scope/FX growth proxy (assumed)</t>
  </si>
  <si>
    <t>Segment - Europe</t>
  </si>
  <si>
    <t>Segment - Cruise Support</t>
  </si>
  <si>
    <t>SEGMENT REVENUE / OBSERVED GROUP PCD EXPOSURE</t>
  </si>
  <si>
    <t>No segment-specific guest counts, gross additions, terminations or ticket/onboard split disclosed. Group passenger cruise days are an exposure proxy, not reported segment units.</t>
  </si>
  <si>
    <t>Segment-specific visit volume: unavailable</t>
  </si>
  <si>
    <t>No segment-specific guest volume or subscriber stock in the May 2026 10-Q; company PCD is a proxy, not a reported destination/tour count.</t>
  </si>
  <si>
    <t>Opening subscriber/customer stock: not applicable</t>
  </si>
  <si>
    <t>Gross adds / churn: not applicable</t>
  </si>
  <si>
    <t>Group PCD used as exposure proxy below</t>
  </si>
  <si>
    <t>Group passenger cruise days — exposure proxy</t>
  </si>
  <si>
    <t xml:space="preserve">    Group PCD YoY change</t>
  </si>
  <si>
    <t xml:space="preserve">    Group PCD sequential absolute change</t>
  </si>
  <si>
    <t>Segment occupancy: unavailable</t>
  </si>
  <si>
    <t>Segment-level churn / occupancy rate: unavailable</t>
  </si>
  <si>
    <t>Estimated segment revenue from PCD × unit price</t>
  </si>
  <si>
    <t>Segment realized revenue per group PCD proxy</t>
  </si>
  <si>
    <t>Other disclosed product component: unavailable</t>
  </si>
  <si>
    <t>Segment revenue (product split unavailable)</t>
  </si>
  <si>
    <t>Other separately modeled segment revenue: none</t>
  </si>
  <si>
    <t>Segment - Tour and Other</t>
  </si>
  <si>
    <t>Income Statement</t>
  </si>
  <si>
    <t>REVENUE</t>
  </si>
  <si>
    <t>Revenue margin</t>
  </si>
  <si>
    <t>OPERATING EXPENSES</t>
  </si>
  <si>
    <t>Commissions and transportation</t>
  </si>
  <si>
    <t>Onboard and other expense</t>
  </si>
  <si>
    <t>Payroll and related</t>
  </si>
  <si>
    <t>Fuel</t>
  </si>
  <si>
    <t>Food</t>
  </si>
  <si>
    <t>Other operating</t>
  </si>
  <si>
    <t>Cruise and tour expenses</t>
  </si>
  <si>
    <t>Depreciation and amortization</t>
  </si>
  <si>
    <t>Operating income</t>
  </si>
  <si>
    <t>Interest income</t>
  </si>
  <si>
    <t>Interest expense</t>
  </si>
  <si>
    <t>Debt extinguishment costs</t>
  </si>
  <si>
    <t>Other income (expense)</t>
  </si>
  <si>
    <t>Income before tax</t>
  </si>
  <si>
    <t>Income tax (expense) / benefit</t>
  </si>
  <si>
    <t>Consolidated net income</t>
  </si>
  <si>
    <t>Less: noncontrolling interests</t>
  </si>
  <si>
    <t>GAAP attributable net income</t>
  </si>
  <si>
    <t>Basic weighted shares (m)</t>
  </si>
  <si>
    <t>Diluted weighted shares (m)</t>
  </si>
  <si>
    <t>Convertible note dilutive interest</t>
  </si>
  <si>
    <t>GAAP diluted EPS</t>
  </si>
  <si>
    <t>Ship sales / impairments adj.</t>
  </si>
  <si>
    <t>Debt extinguishment adj.</t>
  </si>
  <si>
    <t>Restructuring adj.</t>
  </si>
  <si>
    <t>Other non-recurring adj.</t>
  </si>
  <si>
    <t>Adjusted / normalized net income</t>
  </si>
  <si>
    <t>Adjusted diluted EPS</t>
  </si>
  <si>
    <t>Normalized EPS vs CapIQ</t>
  </si>
  <si>
    <t>GAAP EPS vs CapIQ</t>
  </si>
  <si>
    <t>EPS x diluted shares check</t>
  </si>
  <si>
    <t>Net income margin</t>
  </si>
  <si>
    <t>Adjusted EBITDA</t>
  </si>
  <si>
    <t>Published adjusted-income rounding</t>
  </si>
  <si>
    <t>Historical normalized consensus (CapIQ)</t>
  </si>
  <si>
    <t>Historical GAAP consensus (CapIQ)</t>
  </si>
  <si>
    <t>Historical revenue consensus (CapIQ)</t>
  </si>
  <si>
    <t>Reported revenue vs CapIQ history</t>
  </si>
  <si>
    <t>Consolidated revenue presentation rounding</t>
  </si>
  <si>
    <t>REPORTED REVENUE COMPONENT GROWTH</t>
  </si>
  <si>
    <t>Balance Sheet</t>
  </si>
  <si>
    <t>ASSETS</t>
  </si>
  <si>
    <t>Cash and cash equivalents</t>
  </si>
  <si>
    <t>Receivables</t>
  </si>
  <si>
    <t>Inventory</t>
  </si>
  <si>
    <t>Prepaid and other current</t>
  </si>
  <si>
    <t>Current asset rounding</t>
  </si>
  <si>
    <t>Total current assets</t>
  </si>
  <si>
    <t>Property and equipment, net</t>
  </si>
  <si>
    <t>Right-of-use assets</t>
  </si>
  <si>
    <t>Goodwill</t>
  </si>
  <si>
    <t>Other intangibles</t>
  </si>
  <si>
    <t>Other noncurrent assets</t>
  </si>
  <si>
    <t>Noncurrent asset rounding</t>
  </si>
  <si>
    <t>Total assets</t>
  </si>
  <si>
    <t>LIABILITIES</t>
  </si>
  <si>
    <t>Current debt</t>
  </si>
  <si>
    <t>Current lease liabilities</t>
  </si>
  <si>
    <t>Accounts payable</t>
  </si>
  <si>
    <t>Accrued liabilities</t>
  </si>
  <si>
    <t>Customer deposits</t>
  </si>
  <si>
    <t>Current liability rounding</t>
  </si>
  <si>
    <t>Total current liabilities</t>
  </si>
  <si>
    <t>Long-term debt</t>
  </si>
  <si>
    <t>Long-term lease liabilities</t>
  </si>
  <si>
    <t>Other long-term liabilities</t>
  </si>
  <si>
    <t>Total liabilities</t>
  </si>
  <si>
    <t>Shareholders equity including NCI</t>
  </si>
  <si>
    <t>Assets - liabilities - equity</t>
  </si>
  <si>
    <t>Customer deposits YoY / forecast change</t>
  </si>
  <si>
    <t>Debt total</t>
  </si>
  <si>
    <t>Equity change / forecast rollforward</t>
  </si>
  <si>
    <t>Filed total presentation rounding</t>
  </si>
  <si>
    <t>Cash Flow Statement</t>
  </si>
  <si>
    <t>CASH FLOWS</t>
  </si>
  <si>
    <t>Opening cash and equivalents</t>
  </si>
  <si>
    <t>Net income / operating base</t>
  </si>
  <si>
    <t>D&amp;A add-back</t>
  </si>
  <si>
    <t>Capital expenditure</t>
  </si>
  <si>
    <t>Change in customer deposits</t>
  </si>
  <si>
    <t>Other operating movements</t>
  </si>
  <si>
    <t>Net cash from operating</t>
  </si>
  <si>
    <t>Cash from investing</t>
  </si>
  <si>
    <t>Debt repayment and repurchases</t>
  </si>
  <si>
    <t>Dividends paid</t>
  </si>
  <si>
    <t>Cash from financing</t>
  </si>
  <si>
    <t>Foreign exchange / restricted cash</t>
  </si>
  <si>
    <t>Net change in cash</t>
  </si>
  <si>
    <t>Closing cash</t>
  </si>
  <si>
    <t>Balance sheet closing cash</t>
  </si>
  <si>
    <t>Change in cash ties to balance sheet</t>
  </si>
  <si>
    <t>Change in restricted cash (reconciliation)</t>
  </si>
  <si>
    <t>Geo</t>
  </si>
  <si>
    <t>GUEST SOURCE GEOGRAPHY (as disclosed)</t>
  </si>
  <si>
    <t>United States (guest source)</t>
  </si>
  <si>
    <t>Germany (guest source)</t>
  </si>
  <si>
    <t>3Q25 classifications are regional; 4Q25 country breakdown not available; country forecast uses 2Q26 mix.</t>
  </si>
  <si>
    <t>United Kingdom (guest source)</t>
  </si>
  <si>
    <t>Other countries (not separately reported)</t>
  </si>
  <si>
    <t>Geographic revenue subtotal</t>
  </si>
  <si>
    <t>Geo disclosure rounding</t>
  </si>
  <si>
    <t>Geo vs total revenue check</t>
  </si>
  <si>
    <t>U.S. guest-sourced share</t>
  </si>
  <si>
    <t>Germany guest-sourced share</t>
  </si>
  <si>
    <t>3Q25 LEGACY REGIONAL CLASSIFICATION</t>
  </si>
  <si>
    <t>North America region</t>
  </si>
  <si>
    <t>Europe region</t>
  </si>
  <si>
    <t>Australia region</t>
  </si>
  <si>
    <t>Other regions</t>
  </si>
  <si>
    <t>Legacy regional total</t>
  </si>
  <si>
    <t>4Q25 country / region detail: unavailable</t>
  </si>
  <si>
    <t>Share Count</t>
  </si>
  <si>
    <t>SHARE COUNT / DILUTION</t>
  </si>
  <si>
    <t>Weighted-average basic shares (m)</t>
  </si>
  <si>
    <t>Weighted-average diluted shares (m)</t>
  </si>
  <si>
    <t>Incremental dilution (m)</t>
  </si>
  <si>
    <t>Basic shares YoY change</t>
  </si>
  <si>
    <t>Diluted shares YoY change</t>
  </si>
  <si>
    <t>GAAP EPS share count</t>
  </si>
  <si>
    <t>Adjusted EPS share count</t>
  </si>
  <si>
    <t>Share repurchases ($m)</t>
  </si>
  <si>
    <t>Shares retired (m) — not disclosed</t>
  </si>
  <si>
    <t>Share issuance (m) — not disclosed</t>
  </si>
  <si>
    <t>Weighted share count behind estimate</t>
  </si>
  <si>
    <t>Date</t>
  </si>
  <si>
    <t>Metric</t>
  </si>
  <si>
    <t>Low</t>
  </si>
  <si>
    <t>High</t>
  </si>
  <si>
    <t>Midpoint</t>
  </si>
  <si>
    <t>Reported actual</t>
  </si>
  <si>
    <t>Beat / miss</t>
  </si>
  <si>
    <t>3Q26</t>
  </si>
  <si>
    <t>Net yield, current dollars (%)</t>
  </si>
  <si>
    <t>not issued</t>
  </si>
  <si>
    <t>Net yield, constant currency (%)</t>
  </si>
  <si>
    <t>Adjusted cruise costs ex fuel / ALBD (%)</t>
  </si>
  <si>
    <t>ALBDs (m)</t>
  </si>
  <si>
    <t>Fuel consumption (m tons)</t>
  </si>
  <si>
    <t>Fuel cost per ton ($)</t>
  </si>
  <si>
    <t>Fuel expense ($m)</t>
  </si>
  <si>
    <t>D&amp;A expense ($m)</t>
  </si>
  <si>
    <t>Net interest expense ($m)</t>
  </si>
  <si>
    <t>Adjusted diluted EPS ($)</t>
  </si>
  <si>
    <t>Basic shares (m)</t>
  </si>
  <si>
    <t>Diluted shares (m)</t>
  </si>
  <si>
    <t>FY26</t>
  </si>
  <si>
    <t>Net yield current dollars (%)</t>
  </si>
  <si>
    <t>Net yield constant currency (%)</t>
  </si>
  <si>
    <t>Adjusted EBITDA ($m)</t>
  </si>
  <si>
    <t>4Q25</t>
  </si>
  <si>
    <t>1Q26</t>
  </si>
  <si>
    <t>2Q26</t>
  </si>
  <si>
    <t>Sources</t>
  </si>
  <si>
    <t>ID</t>
  </si>
  <si>
    <t>Published</t>
  </si>
  <si>
    <t>Publisher</t>
  </si>
  <si>
    <t>URL / file</t>
  </si>
  <si>
    <t>Feeds</t>
  </si>
  <si>
    <t>S0</t>
  </si>
  <si>
    <t>S&amp;P Capital IQ</t>
  </si>
  <si>
    <t>CCL_history.csv; CCL_consensus.json</t>
  </si>
  <si>
    <t>Inputs!B10:I16, B19:C65; Cover</t>
  </si>
  <si>
    <t>S1</t>
  </si>
  <si>
    <t>SEC / Carnival</t>
  </si>
  <si>
    <t>Open source 1</t>
  </si>
  <si>
    <t>3Q25 income, segments, geography, cash</t>
  </si>
  <si>
    <t>S2</t>
  </si>
  <si>
    <t>Open source 2</t>
  </si>
  <si>
    <t>4Q25 income, adjusted bridge</t>
  </si>
  <si>
    <t>S3</t>
  </si>
  <si>
    <t>Open source 3</t>
  </si>
  <si>
    <t>1Q26 statements, segments, geography</t>
  </si>
  <si>
    <t>S4</t>
  </si>
  <si>
    <t>Open source 4</t>
  </si>
  <si>
    <t>2Q26 statements, segments, geography</t>
  </si>
  <si>
    <t>S5</t>
  </si>
  <si>
    <t>Open source 5</t>
  </si>
  <si>
    <t>FY25 reported segments and countries</t>
  </si>
  <si>
    <t>S6</t>
  </si>
  <si>
    <t>Open source 6</t>
  </si>
  <si>
    <t>Q3 operating and adjusted EPS guidance</t>
  </si>
  <si>
    <t>S7</t>
  </si>
  <si>
    <t>Proactive Investors / Jefferies</t>
  </si>
  <si>
    <t>Open source 7</t>
  </si>
  <si>
    <t>Fuel and advertised fare downside</t>
  </si>
  <si>
    <t>S8</t>
  </si>
  <si>
    <t>Zacks / Yahoo</t>
  </si>
  <si>
    <t>Open source 8</t>
  </si>
  <si>
    <t>Estimate revisions / operating expectations</t>
  </si>
  <si>
    <t>S9</t>
  </si>
  <si>
    <t>Royal Caribbean / SEC</t>
  </si>
  <si>
    <t>Open source 9</t>
  </si>
  <si>
    <t>Cruise peer close-in booking trends</t>
  </si>
  <si>
    <t>CapIQ history SHA256</t>
  </si>
  <si>
    <t>CapIQ consensus SHA256</t>
  </si>
  <si>
    <t>Consensus captured</t>
  </si>
  <si>
    <t>Omitted tabs</t>
  </si>
  <si>
    <t>None</t>
  </si>
  <si>
    <t>None: 2026-05-31 10-Q reports four segments and multiple guest-source countries.</t>
  </si>
  <si>
    <t>Historical Geo limitation</t>
  </si>
  <si>
    <t>See Notes I26</t>
  </si>
  <si>
    <t>3Q25 10-Q grouped regions; 4Q25 country-quarter data unavailable; not inferred.</t>
  </si>
  <si>
    <t>FY25 segments rounding</t>
  </si>
  <si>
    <t>See Notes I27</t>
  </si>
  <si>
    <t>SEC segment lines total 26,621 vs 26,622 consolidated; explicit $1m reconciliation.</t>
  </si>
  <si>
    <t>Business structure</t>
  </si>
  <si>
    <t>See Notes I28</t>
  </si>
  <si>
    <t>May 2026 merger eliminated the prior dual listing; NYSE:CCL common share in USD per 2026-05-31 10-Q.</t>
  </si>
  <si>
    <t>Guidance range availability</t>
  </si>
  <si>
    <t>The June 23, 2026 earnings release gave approximate point guidance, not low/high ranges. Low/high recorded as not issued.</t>
  </si>
  <si>
    <t>Historical geographic gap</t>
  </si>
  <si>
    <t>Quarterly 4Q25 countries were not disclosed in an available filing; Geo!D10:D16 intentionally unavailable.</t>
  </si>
  <si>
    <t>Annual comparator position</t>
  </si>
  <si>
    <t>FY25A is a standalone annual comparator following four contiguous reported quarter columns; not a fifth chronological quarter.</t>
  </si>
  <si>
    <t>Revenue guidance availability</t>
  </si>
  <si>
    <t>Issuer did not issue explicit Q3 revenue or net-income GAAP guidance; Cover!F18,F21:F22 unavailable, not inferred.</t>
  </si>
  <si>
    <t>Scope / FX assumptions</t>
  </si>
  <si>
    <t>No standalone segment-specific M&amp;A or FX bridge was published. Zero inputs at Inputs!H200 are hypothetical forecast assumptions; organic-style rates are constant-scope/FX proxies, not measured issuer organic growth.</t>
  </si>
  <si>
    <t>Expected report-date discrepancy</t>
  </si>
  <si>
    <t>Issuer events page listed September 29, 2026; CapIQ calendar also listed September 25, 2026. Cover uses the supplied September 29 expected date. Neither date is a target-quarter result.</t>
  </si>
  <si>
    <t>Inputs</t>
  </si>
  <si>
    <t>CapIQ history: supplied original six quarters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</si>
  <si>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</si>
  <si>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</si>
  <si>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</si>
  <si>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</si>
  <si>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</si>
  <si>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</si>
  <si>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</si>
  <si>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report_date</t>
  </si>
  <si>
    <t>CapIQ summary: captured 2026-09-24 (date precision only)</t>
  </si>
  <si>
    <t>ticker</t>
  </si>
  <si>
    <t>CCL</t>
  </si>
  <si>
    <t>company</t>
  </si>
  <si>
    <t>exchange_ticker</t>
  </si>
  <si>
    <t>NYSE:CCL</t>
  </si>
  <si>
    <t>capiq_company_id</t>
  </si>
  <si>
    <t>analyst_count</t>
  </si>
  <si>
    <t>fiscal_year_end</t>
  </si>
  <si>
    <t>Nov-30</t>
  </si>
  <si>
    <t>forward_quarter_label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</si>
  <si>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</si>
  <si>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</si>
  <si>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</si>
  <si>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</si>
  <si>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</si>
  <si>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</si>
  <si>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</si>
  <si>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</si>
  <si>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</si>
  <si>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</si>
  <si>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</si>
  <si>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</si>
  <si>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</si>
  <si>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</si>
  <si>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</si>
  <si>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</si>
  <si>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</si>
  <si>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</si>
  <si>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</si>
  <si>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</si>
  <si>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</si>
  <si>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</si>
  <si>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</si>
  <si>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</si>
  <si>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</si>
  <si>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</si>
  <si>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</si>
  <si>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</si>
  <si>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</si>
  <si>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</si>
  <si>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</si>
  <si>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</si>
  <si>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</si>
  <si>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</si>
  <si>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</si>
  <si>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</si>
  <si>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recommendation</t>
  </si>
  <si>
    <t>Outperform</t>
  </si>
  <si>
    <t>recommendation_score</t>
  </si>
  <si>
    <t>last_close_price</t>
  </si>
  <si>
    <t>notes</t>
  </si>
  <si>
    <t>See Notes I67</t>
  </si>
  <si>
    <t>Dual-listed (NYSE:CCL and LSE:CCL); figures are the NYSE:CCL USD line. Company has guided FQ3 2026 normalized EPS to 1.35, exactly in line with consensus. CapIQ's calendar shows an FQ3 release date of Sep-25-2026, one business day earlier than the Sep-29 date on the company's events page.</t>
  </si>
  <si>
    <t>CapIQ SHA256 history</t>
  </si>
  <si>
    <t>5878d1c026b559ca3e07b3ee641e8f2e781c3657825755ea7115506452d670e3</t>
  </si>
  <si>
    <t>CapIQ SHA256 summary</t>
  </si>
  <si>
    <t>d91285c4cdd11a6f0e954e2f62a2500352c60492e368759884a0e1249590fe94</t>
  </si>
  <si>
    <t>Consensus capture date</t>
  </si>
  <si>
    <t>Segment revenue: North America</t>
  </si>
  <si>
    <t>Segment revenue: Europe</t>
  </si>
  <si>
    <t>Segment revenue: Cruise Support</t>
  </si>
  <si>
    <t>Segment revenue: Tour and Other</t>
  </si>
  <si>
    <t>Reported total revenue</t>
  </si>
  <si>
    <t>Fuel expense</t>
  </si>
  <si>
    <t>Food expense</t>
  </si>
  <si>
    <t>Other operating expense</t>
  </si>
  <si>
    <t>SG&amp;A</t>
  </si>
  <si>
    <t>Other income/expense</t>
  </si>
  <si>
    <t>Income taxes</t>
  </si>
  <si>
    <t>Noncontrolling income</t>
  </si>
  <si>
    <t>Diluted convertible interest addback</t>
  </si>
  <si>
    <t>Basic weighted average shares</t>
  </si>
  <si>
    <t>Diluted weighted average shares</t>
  </si>
  <si>
    <t>Adjusted net income</t>
  </si>
  <si>
    <t>PCD millions</t>
  </si>
  <si>
    <t>ALBD millions</t>
  </si>
  <si>
    <t>Guests carried millions</t>
  </si>
  <si>
    <t>Balance: Cash and cash equivalents</t>
  </si>
  <si>
    <t>Balance: Trade and other receivables, net</t>
  </si>
  <si>
    <t>Balance: Inventories</t>
  </si>
  <si>
    <t>Balance: Prepaid expenses and other</t>
  </si>
  <si>
    <t>Balance: Property and Equipment, Net</t>
  </si>
  <si>
    <t>Balance: Operating Lease Right-of-Use Assets, Net</t>
  </si>
  <si>
    <t>Balance: Goodwill</t>
  </si>
  <si>
    <t>Balance: Other Intangibles</t>
  </si>
  <si>
    <t>Balance: Other Assets</t>
  </si>
  <si>
    <t>Balance: Current portion of long-term debt</t>
  </si>
  <si>
    <t>Balance: Current portion of operating lease liabilities</t>
  </si>
  <si>
    <t>Balance: Accounts payable</t>
  </si>
  <si>
    <t>Balance: Accrued liabilities and other</t>
  </si>
  <si>
    <t>Balance: Customer deposits</t>
  </si>
  <si>
    <t>Balance: Long-Term Debt</t>
  </si>
  <si>
    <t>Balance: Long-Term Operating Lease Liabilities</t>
  </si>
  <si>
    <t>Balance: Other Long-Term Liabilities</t>
  </si>
  <si>
    <t>Balance: Total shareholders’ equity</t>
  </si>
  <si>
    <t>Total assets reported</t>
  </si>
  <si>
    <t>Current assets reported</t>
  </si>
  <si>
    <t>Total current liabilities reported</t>
  </si>
  <si>
    <t>2025 May quarter opening cash</t>
  </si>
  <si>
    <t>FY25 opening cash (2024 balance sheet)</t>
  </si>
  <si>
    <t>NA ticket / onboard price per PCD growth</t>
  </si>
  <si>
    <t>Europe ticket / onboard price growth</t>
  </si>
  <si>
    <t>Cruise Support price proxy growth</t>
  </si>
  <si>
    <t>Tour &amp; Other price proxy growth</t>
  </si>
  <si>
    <t>Ticket growth (derived; Notes I174)</t>
  </si>
  <si>
    <t>Former independent ticket growth input retired after linking product revenue to segment drivers.</t>
  </si>
  <si>
    <t>Commissions cost growth</t>
  </si>
  <si>
    <t>Onboard expense growth</t>
  </si>
  <si>
    <t>Payroll growth</t>
  </si>
  <si>
    <t>Food growth</t>
  </si>
  <si>
    <t>Other operations growth</t>
  </si>
  <si>
    <t>SG&amp;A growth</t>
  </si>
  <si>
    <t>Fuel expense guidance $m</t>
  </si>
  <si>
    <t>D&amp;A guidance $m</t>
  </si>
  <si>
    <t>Interest expense net guidance $m</t>
  </si>
  <si>
    <t>Interest income assumption $m</t>
  </si>
  <si>
    <t>Other net expense assumption $m</t>
  </si>
  <si>
    <t>Income tax expense assumption $m</t>
  </si>
  <si>
    <t>Noncontrolling interest assumption $m</t>
  </si>
  <si>
    <t>Adjusted earnings other adjustment $m</t>
  </si>
  <si>
    <t>Basic shares guidance m</t>
  </si>
  <si>
    <t>Diluted shares guidance m</t>
  </si>
  <si>
    <t>Forecast ALBD m</t>
  </si>
  <si>
    <t>Forecast PCD m</t>
  </si>
  <si>
    <t>Forecast guests carried m</t>
  </si>
  <si>
    <t>Forecast capex $m</t>
  </si>
  <si>
    <t>Forecast dividends $m</t>
  </si>
  <si>
    <t>Forecast repurchases $m</t>
  </si>
  <si>
    <t>Forecast debt repayments $m</t>
  </si>
  <si>
    <t>Forecast customer deposits $m</t>
  </si>
  <si>
    <t>Forecast confidence probability</t>
  </si>
  <si>
    <t>Undisclosed segment M&amp;A and FX assumption</t>
  </si>
  <si>
    <t>Illustrative NA berth-day allocation (not disclosed)</t>
  </si>
  <si>
    <t>Illustrative Europe berth-day allocation (not disclosed)</t>
  </si>
  <si>
    <t>NA ticket mix: implied, not disclosed</t>
  </si>
  <si>
    <t>Implied from Q3 2025 disclosed group ticket revenue and two cruise-segment revenue totals; not a reported segment ticket split.</t>
  </si>
  <si>
    <t>Europe ticket mix: implied</t>
  </si>
  <si>
    <t>Uses the same company-wide mix because individual segment ticket/onboard breakout was not reported.</t>
  </si>
  <si>
    <t>Forecast confidence classification</t>
  </si>
  <si>
    <t>medium</t>
  </si>
  <si>
    <t>Ship sale and impairment adjustment</t>
  </si>
  <si>
    <t>Restructuring adjustment</t>
  </si>
  <si>
    <t>Other adjusted earnings adjustment</t>
  </si>
  <si>
    <t>North America operating expenses</t>
  </si>
  <si>
    <t>North America adjusted selling/admin</t>
  </si>
  <si>
    <t>North America depreciation</t>
  </si>
  <si>
    <t>North America adjusted operating income</t>
  </si>
  <si>
    <t>Europe operating expenses</t>
  </si>
  <si>
    <t>Europe adjusted selling/admin</t>
  </si>
  <si>
    <t>Europe depreciation</t>
  </si>
  <si>
    <t>Europe adjusted operating income</t>
  </si>
  <si>
    <t>Cruise Support operating expenses</t>
  </si>
  <si>
    <t>Cruise Support adjusted selling/admin</t>
  </si>
  <si>
    <t>Cruise Support depreciation</t>
  </si>
  <si>
    <t>Cruise Support adjusted operating income</t>
  </si>
  <si>
    <t>Tour and Other operating expenses</t>
  </si>
  <si>
    <t>Tour and Other adjusted selling/admin</t>
  </si>
  <si>
    <t>Tour and Other depreciation</t>
  </si>
  <si>
    <t>Tour and Other adjusted operating income</t>
  </si>
</sst>
</file>

<file path=xl/styles.xml><?xml version="1.0" encoding="utf-8"?>
<styleSheet xmlns="http://schemas.openxmlformats.org/spreadsheetml/2006/main">
  <numFmts count="5">
    <numFmt numFmtId="164" formatCode="#,##0.0_);(#,##0.0);–_)"/>
    <numFmt numFmtId="165" formatCode="$0.00"/>
    <numFmt numFmtId="166" formatCode="yyyy-mm-dd"/>
    <numFmt numFmtId="167" formatCode="0.0%_);(0.0%);–_)"/>
    <numFmt numFmtId="168" formatCode="0.0%"/>
  </numFmts>
  <fonts count="10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0F2F4"/>
      </patternFill>
    </fill>
    <fill>
      <patternFill patternType="solid">
        <fgColor rgb="FFEDF3F8"/>
      </patternFill>
    </fill>
  </fills>
  <borders count="3">
    <border>
      <left/>
      <right/>
      <top/>
      <bottom/>
      <diagonal/>
    </border>
    <border>
      <top style="thin">
        <color rgb="FFBFC5CA"/>
      </top>
      <bottom style="thin">
        <color rgb="FFBFC5CA"/>
      </bottom>
    </border>
    <border>
      <top style="thin">
        <color rgb="FFC9CDD1"/>
      </top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2" borderId="1" xfId="0" applyFont="1" applyFill="1" applyBorder="1" applyAlignment="1" applyProtection="1">
      <alignment horizontal="general" vertical="bottom"/>
      <protection locked="1" hidden="0"/>
    </xf>
    <xf numFmtId="164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164" fontId="1" fillId="3" borderId="0" xfId="0" applyNumberFormat="1" applyFont="1" applyFill="1" applyAlignment="1" applyProtection="1">
      <alignment horizontal="general" vertical="bottom"/>
      <protection locked="1" hidden="0"/>
    </xf>
    <xf numFmtId="165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4" fontId="2" fillId="3" borderId="2" xfId="0" applyNumberFormat="1" applyFont="1" applyFill="1" applyBorder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165" fontId="4" fillId="0" borderId="2" xfId="0" applyNumberFormat="1" applyFont="1" applyFill="1" applyBorder="1" applyAlignment="1" applyProtection="1">
      <alignment horizontal="general" vertical="bottom"/>
      <protection locked="1" hidden="0"/>
    </xf>
    <xf numFmtId="166" fontId="1" fillId="3" borderId="1" xfId="0" applyNumberFormat="1" applyFont="1" applyFill="1" applyBorder="1" applyAlignment="1" applyProtection="1">
      <alignment horizontal="general" vertical="bottom"/>
      <protection locked="1" hidden="0"/>
    </xf>
    <xf numFmtId="166" fontId="1" fillId="2" borderId="1" xfId="0" applyNumberFormat="1" applyFont="1" applyFill="1" applyBorder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2" xfId="0" applyFont="1" applyFill="1" applyBorder="1" applyAlignment="1" applyProtection="1">
      <alignment horizontal="general" vertical="bottom"/>
      <protection locked="1" hidden="0"/>
    </xf>
    <xf numFmtId="164" fontId="4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6" fillId="0" borderId="0" xfId="0" applyNumberFormat="1" applyFont="1" applyFill="1" applyAlignment="1" applyProtection="1">
      <alignment horizontal="general" vertical="bottom"/>
      <protection locked="1" hidden="0"/>
    </xf>
    <xf numFmtId="165" fontId="6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0" fontId="6" fillId="3" borderId="0" xfId="0" applyFont="1" applyFill="1" applyAlignment="1" applyProtection="1">
      <alignment horizontal="general" vertical="bottom"/>
      <protection locked="1" hidden="0"/>
    </xf>
    <xf numFmtId="167" fontId="7" fillId="3" borderId="0" xfId="0" applyNumberFormat="1" applyFont="1" applyFill="1" applyAlignment="1" applyProtection="1">
      <alignment horizontal="general" vertical="bottom"/>
      <protection locked="1" hidden="0"/>
    </xf>
    <xf numFmtId="166" fontId="3" fillId="0" borderId="0" xfId="0" applyNumberFormat="1" applyFont="1" applyFill="1" applyAlignment="1" applyProtection="1">
      <alignment horizontal="general" vertical="bottom"/>
      <protection locked="1" hidden="0"/>
    </xf>
    <xf numFmtId="165" fontId="2" fillId="3" borderId="2" xfId="0" applyNumberFormat="1" applyFont="1" applyFill="1" applyBorder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4" fontId="3" fillId="3" borderId="0" xfId="0" applyNumberFormat="1" applyFont="1" applyFill="1" applyAlignment="1" applyProtection="1">
      <alignment horizontal="general" vertical="bottom"/>
      <protection locked="1" hidden="0"/>
    </xf>
    <xf numFmtId="164" fontId="6" fillId="3" borderId="0" xfId="0" applyNumberFormat="1" applyFont="1" applyFill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7" fontId="5" fillId="3" borderId="0" xfId="0" applyNumberFormat="1" applyFont="1" applyFill="1" applyAlignment="1" applyProtection="1">
      <alignment horizontal="general" vertical="bottom"/>
      <protection locked="1" hidden="0"/>
    </xf>
    <xf numFmtId="167" fontId="8" fillId="3" borderId="0" xfId="0" applyNumberFormat="1" applyFont="1" applyFill="1" applyAlignment="1" applyProtection="1">
      <alignment horizontal="general" vertical="bottom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167" fontId="7" fillId="0" borderId="0" xfId="0" applyNumberFormat="1" applyFont="1" applyFill="1" applyAlignment="1" applyProtection="1">
      <alignment horizontal="general" vertical="bottom"/>
      <protection locked="1" hidden="0"/>
    </xf>
    <xf numFmtId="165" fontId="3" fillId="3" borderId="0" xfId="0" applyNumberFormat="1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6" fontId="6" fillId="0" borderId="0" xfId="0" applyNumberFormat="1" applyFont="1" applyFill="1" applyAlignment="1" applyProtection="1">
      <alignment horizontal="general" vertical="bottom"/>
      <protection locked="1" hidden="0"/>
    </xf>
    <xf numFmtId="164" fontId="4" fillId="3" borderId="2" xfId="0" applyNumberFormat="1" applyFont="1" applyFill="1" applyBorder="1" applyAlignment="1" applyProtection="1">
      <alignment horizontal="general" vertical="bottom"/>
      <protection locked="1" hidden="0"/>
    </xf>
    <xf numFmtId="164" fontId="9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8" fillId="3" borderId="0" xfId="0" applyNumberFormat="1" applyFont="1" applyFill="1" applyAlignment="1" applyProtection="1">
      <alignment horizontal="general" vertical="bottom"/>
      <protection locked="1" hidden="0"/>
    </xf>
    <xf numFmtId="164" fontId="2" fillId="2" borderId="1" xfId="0" applyNumberFormat="1" applyFont="1" applyFill="1" applyBorder="1" applyAlignment="1" applyProtection="1">
      <alignment horizontal="general" vertical="bottom"/>
      <protection locked="1" hidden="0"/>
    </xf>
    <xf numFmtId="168" fontId="6" fillId="0" borderId="0" xfId="0" applyNumberFormat="1" applyFont="1" applyFill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general" vertical="bottom"/>
      <protection locked="1" hidden="0"/>
    </xf>
    <xf numFmtId="164" fontId="2" fillId="3" borderId="1" xfId="0" applyNumberFormat="1" applyFont="1" applyFill="1" applyBorder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66675</xdr:colOff>
      <xdr:row>0</xdr:row>
      <xdr:rowOff>76200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ec.gov/Archives/edgar/data/815097/000081509725000084/ccl-20250831.htm" TargetMode="External"/><Relationship Id="rId2" Type="http://schemas.openxmlformats.org/officeDocument/2006/relationships/hyperlink" Target="https://www.sec.gov/Archives/edgar/data/815097/000162828025058106/a20254qearningsrelease8-k.htm" TargetMode="External"/><Relationship Id="rId3" Type="http://schemas.openxmlformats.org/officeDocument/2006/relationships/hyperlink" Target="https://www.sec.gov/Archives/edgar/data/815097/000081509726000037/ccl-20260228.htm" TargetMode="External"/><Relationship Id="rId4" Type="http://schemas.openxmlformats.org/officeDocument/2006/relationships/hyperlink" Target="https://www.sec.gov/Archives/edgar/data/815097/000081509726000096/ccl-20260531.htm" TargetMode="External"/><Relationship Id="rId5" Type="http://schemas.openxmlformats.org/officeDocument/2006/relationships/hyperlink" Target="https://www.sec.gov/Archives/edgar/data/815097/000081509726000007/R34.htm" TargetMode="External"/><Relationship Id="rId6" Type="http://schemas.openxmlformats.org/officeDocument/2006/relationships/hyperlink" Target="https://www.sec.gov/Archives/edgar/data/815097/000081509726000086/a20262qearningsrelease8-k.htm" TargetMode="External"/><Relationship Id="rId7" Type="http://schemas.openxmlformats.org/officeDocument/2006/relationships/hyperlink" Target="https://www.proactiveinvestors.com/companies/news/1099005/carnival-faces-fuel-pricing-headwinds-ahead-of-third-quarter-results-1099005.html" TargetMode="External"/><Relationship Id="rId8" Type="http://schemas.openxmlformats.org/officeDocument/2006/relationships/hyperlink" Target="https://finance.yahoo.com/markets/stocks/articles/carnival-ccl-q3-earnings-preview-121502863.html" TargetMode="External"/><Relationship Id="rId9" Type="http://schemas.openxmlformats.org/officeDocument/2006/relationships/hyperlink" Target="https://www.sec.gov/Archives/edgar/data/884887/000088488726000036/a2026q2earningsreleas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RowHeight="15"/>
  <cols>
    <col min="1" max="1" width="11" customWidth="1"/>
    <col min="2" max="2" width="37" customWidth="1"/>
    <col min="3" max="8" width="13" customWidth="1"/>
    <col min="9" max="9" width="53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1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12</v>
      </c>
      <c r="C9" s="2"/>
      <c r="D9" s="2"/>
      <c r="E9" s="2"/>
      <c r="F9" s="2"/>
      <c r="G9" s="2"/>
      <c r="H9" s="6"/>
      <c r="I9" s="1"/>
    </row>
    <row r="10">
      <c r="B10" s="1" t="s">
        <v>13</v>
      </c>
      <c r="C10" s="2"/>
      <c r="D10" s="2"/>
      <c r="E10" s="2"/>
      <c r="F10" s="2"/>
      <c r="G10" s="2"/>
      <c r="H10" s="6"/>
      <c r="I10" s="1"/>
    </row>
    <row r="11">
      <c r="B11" s="1" t="s">
        <v>14</v>
      </c>
      <c r="C11" s="2" t="s">
        <v>15</v>
      </c>
      <c r="D11" s="2"/>
      <c r="E11" s="2"/>
      <c r="F11" s="2"/>
      <c r="G11" s="2"/>
      <c r="H11" s="6"/>
      <c r="I11" s="1"/>
    </row>
    <row r="12">
      <c r="B12" s="1" t="s">
        <v>16</v>
      </c>
      <c r="C12" s="23">
        <f>Inputs!C28</f>
        <v>46294</v>
      </c>
      <c r="D12" s="2"/>
      <c r="E12" s="2"/>
      <c r="F12" s="2"/>
      <c r="G12" s="2"/>
      <c r="H12" s="6"/>
      <c r="I12" s="1"/>
    </row>
    <row r="13">
      <c r="B13" s="1" t="s">
        <v>17</v>
      </c>
      <c r="C13" s="2" t="s">
        <v>18</v>
      </c>
      <c r="D13" s="2"/>
      <c r="E13" s="2"/>
      <c r="F13" s="2"/>
      <c r="G13" s="2"/>
      <c r="H13" s="6"/>
      <c r="I13" s="1"/>
    </row>
    <row r="14">
      <c r="B14" s="1"/>
      <c r="C14" s="2"/>
      <c r="D14" s="2"/>
      <c r="E14" s="2"/>
      <c r="F14" s="2"/>
      <c r="G14" s="2"/>
      <c r="H14" s="6"/>
      <c r="I14" s="1"/>
    </row>
    <row r="15">
      <c r="B15" s="1" t="s">
        <v>19</v>
      </c>
      <c r="C15" s="2"/>
      <c r="D15" s="2"/>
      <c r="E15" s="2"/>
      <c r="F15" s="2"/>
      <c r="G15" s="2"/>
      <c r="H15" s="6"/>
      <c r="I15" s="1"/>
    </row>
    <row r="16">
      <c r="B16" s="1"/>
      <c r="C16" s="2"/>
      <c r="D16" s="2"/>
      <c r="E16" s="2"/>
      <c r="F16" s="2"/>
      <c r="G16" s="2"/>
      <c r="H16" s="6"/>
      <c r="I16" s="1"/>
    </row>
    <row r="17">
      <c r="B17" s="1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6"/>
      <c r="I17" s="1"/>
    </row>
    <row r="18">
      <c r="B18" s="16" t="s">
        <v>25</v>
      </c>
      <c r="C18" s="17">
        <f>'Revenue summary'!H18</f>
        <v>8358.890999999998</v>
      </c>
      <c r="D18" s="17">
        <f>Inputs!C46</f>
        <v>8390.79</v>
      </c>
      <c r="E18" s="4">
        <f>C18-D18</f>
        <v>-31.89900000000307</v>
      </c>
      <c r="F18" s="4" t="s">
        <v>26</v>
      </c>
      <c r="G18" s="4"/>
      <c r="H18" s="9"/>
      <c r="I18" s="1"/>
    </row>
    <row r="19">
      <c r="B19" s="16" t="s">
        <v>27</v>
      </c>
      <c r="C19" s="17">
        <f>'Income Statement'!H44</f>
        <v>1832.8009999999958</v>
      </c>
      <c r="D19" s="4" t="s">
        <v>26</v>
      </c>
      <c r="E19" s="4" t="s">
        <v>26</v>
      </c>
      <c r="F19" s="17">
        <f>Guidance!G19</f>
        <v>1860</v>
      </c>
      <c r="G19" s="4"/>
      <c r="H19" s="9"/>
      <c r="I19" s="1"/>
    </row>
    <row r="20">
      <c r="B20" s="16" t="s">
        <v>28</v>
      </c>
      <c r="C20" s="11">
        <f>'Income Statement'!H45</f>
        <v>1.3310101670297718</v>
      </c>
      <c r="D20" s="11">
        <f>Inputs!C29</f>
        <v>1.35</v>
      </c>
      <c r="E20" s="7">
        <f>C20-D20</f>
        <v>-0.01898983297022827</v>
      </c>
      <c r="F20" s="11">
        <f>Guidance!G20</f>
        <v>1.35</v>
      </c>
      <c r="G20" s="7"/>
      <c r="H20" s="24"/>
      <c r="I20" s="1"/>
    </row>
    <row r="21">
      <c r="B21" s="16" t="s">
        <v>29</v>
      </c>
      <c r="C21" s="11">
        <f>'Income Statement'!H39</f>
        <v>1.3179382716049353</v>
      </c>
      <c r="D21" s="11">
        <f>Inputs!C38</f>
        <v>1.35</v>
      </c>
      <c r="E21" s="7">
        <f>C21-D21</f>
        <v>-0.032061728395064826</v>
      </c>
      <c r="F21" s="7" t="s">
        <v>26</v>
      </c>
      <c r="G21" s="7"/>
      <c r="H21" s="24"/>
      <c r="I21" s="1"/>
    </row>
    <row r="22">
      <c r="B22" s="16" t="s">
        <v>30</v>
      </c>
      <c r="C22" s="17">
        <f>'Income Statement'!H35</f>
        <v>1814.8009999999958</v>
      </c>
      <c r="D22" s="4" t="s">
        <v>26</v>
      </c>
      <c r="E22" s="4"/>
      <c r="F22" s="4" t="s">
        <v>26</v>
      </c>
      <c r="G22" s="4"/>
      <c r="H22" s="9"/>
      <c r="I22" s="1"/>
    </row>
    <row r="23">
      <c r="B23" s="16" t="s">
        <v>31</v>
      </c>
      <c r="C23" s="17" t="str">
        <f>IF(AND(ABS('Revenue summary'!H29)&lt;0.000001,ABS('Revenue summary'!H30)&lt;0.000001,ABS('Revenue summary'!G30)&lt;0.000001,ABS(SUM('Balance Sheet'!C36:H36))&lt;0.000001,ABS('Cash Flow Statement'!H25)&lt;0.000001,ABS(Geo!H16)&lt;0.000001,ABS('Income Statement'!H48)&lt;0.000001),"PASS","FAIL")</f>
        <v>PASS</v>
      </c>
      <c r="D23" s="4"/>
      <c r="E23" s="4"/>
      <c r="F23" s="4"/>
      <c r="G23" s="4"/>
      <c r="H23" s="9"/>
      <c r="I23" s="1"/>
    </row>
    <row r="24">
      <c r="B24" s="1"/>
      <c r="C24" s="2"/>
      <c r="D24" s="2"/>
      <c r="E24" s="2"/>
      <c r="F24" s="2"/>
      <c r="G24" s="2"/>
      <c r="H24" s="6"/>
      <c r="I24" s="1"/>
    </row>
    <row r="25">
      <c r="B25" s="1" t="s">
        <v>32</v>
      </c>
      <c r="C25" s="15">
        <f>Inputs!H199</f>
        <v>0.4</v>
      </c>
      <c r="D25" s="2"/>
      <c r="E25" s="2"/>
      <c r="F25" s="2"/>
      <c r="G25" s="2"/>
      <c r="H25" s="6"/>
      <c r="I25" s="1"/>
    </row>
    <row r="26">
      <c r="B26" s="1" t="s">
        <v>33</v>
      </c>
      <c r="C26" s="10" t="str">
        <f>Inputs!H205</f>
        <v>medium</v>
      </c>
      <c r="D26" s="2"/>
      <c r="E26" s="2"/>
      <c r="F26" s="2"/>
      <c r="G26" s="2"/>
      <c r="H26" s="6"/>
      <c r="I26" s="1"/>
    </row>
    <row r="27">
      <c r="B27" s="1"/>
      <c r="C27" s="2"/>
      <c r="D27" s="2"/>
      <c r="E27" s="2"/>
      <c r="F27" s="2"/>
      <c r="G27" s="2"/>
      <c r="H27" s="6"/>
      <c r="I27" s="1"/>
    </row>
    <row r="28">
      <c r="B28" s="1" t="s">
        <v>34</v>
      </c>
      <c r="C28" s="2"/>
      <c r="D28" s="2"/>
      <c r="E28" s="2"/>
      <c r="F28" s="2"/>
      <c r="G28" s="2"/>
      <c r="H28" s="6"/>
      <c r="I28" s="1" t="s">
        <v>35</v>
      </c>
    </row>
    <row r="29">
      <c r="B29" s="1"/>
      <c r="C29" s="2"/>
      <c r="D29" s="2"/>
      <c r="E29" s="2"/>
      <c r="F29" s="2"/>
      <c r="G29" s="2"/>
      <c r="H29" s="6"/>
      <c r="I29" s="1"/>
    </row>
    <row r="30">
      <c r="B30" s="1"/>
      <c r="C30" s="2"/>
      <c r="D30" s="2"/>
      <c r="E30" s="2"/>
      <c r="F30" s="2"/>
      <c r="G30" s="2"/>
      <c r="H30" s="6"/>
      <c r="I30" s="1"/>
    </row>
    <row r="31">
      <c r="B31" s="1"/>
      <c r="C31" s="2"/>
      <c r="D31" s="2"/>
      <c r="E31" s="2"/>
      <c r="F31" s="2"/>
      <c r="G31" s="2"/>
      <c r="H31" s="6"/>
      <c r="I31" s="1"/>
    </row>
    <row r="32">
      <c r="B32" s="1"/>
      <c r="C32" s="2"/>
      <c r="D32" s="2"/>
      <c r="E32" s="2"/>
      <c r="F32" s="2"/>
      <c r="G32" s="2"/>
      <c r="H32" s="6"/>
      <c r="I32" s="1"/>
    </row>
    <row r="33">
      <c r="B33" s="1"/>
      <c r="C33" s="2"/>
      <c r="D33" s="2"/>
      <c r="E33" s="2"/>
      <c r="F33" s="2"/>
      <c r="G33" s="2"/>
      <c r="H33" s="6"/>
      <c r="I33" s="1"/>
    </row>
    <row r="34">
      <c r="B34" s="1"/>
      <c r="C34" s="2"/>
      <c r="D34" s="2"/>
      <c r="E34" s="2"/>
      <c r="F34" s="2"/>
      <c r="G34" s="2"/>
      <c r="H34" s="6"/>
      <c r="I34" s="1"/>
    </row>
    <row r="35">
      <c r="B35" s="1"/>
      <c r="C35" s="2"/>
      <c r="D35" s="2"/>
      <c r="E35" s="2"/>
      <c r="F35" s="2"/>
      <c r="G35" s="2"/>
      <c r="H35" s="6"/>
      <c r="I35" s="1"/>
    </row>
    <row r="36">
      <c r="B36" s="1"/>
      <c r="C36" s="2"/>
      <c r="D36" s="2"/>
      <c r="E36" s="2"/>
      <c r="F36" s="2"/>
      <c r="G36" s="2"/>
      <c r="H36" s="6"/>
      <c r="I36" s="1"/>
    </row>
    <row r="37">
      <c r="B37" s="1"/>
      <c r="C37" s="2"/>
      <c r="D37" s="2"/>
      <c r="E37" s="2"/>
      <c r="F37" s="2"/>
      <c r="G37" s="2"/>
      <c r="H37" s="6"/>
      <c r="I37" s="1"/>
    </row>
    <row r="38">
      <c r="B38" s="1"/>
      <c r="C38" s="2"/>
      <c r="D38" s="2"/>
      <c r="E38" s="2"/>
      <c r="F38" s="2"/>
      <c r="G38" s="2"/>
      <c r="H38" s="6"/>
      <c r="I38" s="1"/>
    </row>
    <row r="39">
      <c r="B39" s="1"/>
      <c r="C39" s="2"/>
      <c r="D39" s="2"/>
      <c r="E39" s="2"/>
      <c r="F39" s="2"/>
      <c r="G39" s="2"/>
      <c r="H39" s="6"/>
      <c r="I39" s="1"/>
    </row>
    <row r="40">
      <c r="B40" s="1"/>
      <c r="C40" s="2"/>
      <c r="D40" s="2"/>
      <c r="E40" s="2"/>
      <c r="F40" s="2"/>
      <c r="G40" s="2"/>
      <c r="H40" s="6"/>
      <c r="I40" s="1"/>
    </row>
    <row r="41">
      <c r="B41" s="1"/>
      <c r="C41" s="2"/>
      <c r="D41" s="2"/>
      <c r="E41" s="2"/>
      <c r="F41" s="2"/>
      <c r="G41" s="2"/>
      <c r="H41" s="6"/>
      <c r="I41" s="1"/>
    </row>
    <row r="42">
      <c r="B42" s="1"/>
      <c r="C42" s="2"/>
      <c r="D42" s="2"/>
      <c r="E42" s="2"/>
      <c r="F42" s="2"/>
      <c r="G42" s="2"/>
      <c r="H42" s="6"/>
      <c r="I42" s="1"/>
    </row>
    <row r="43">
      <c r="B43" s="1"/>
      <c r="C43" s="2"/>
      <c r="D43" s="2"/>
      <c r="E43" s="2"/>
      <c r="F43" s="2"/>
      <c r="G43" s="2"/>
      <c r="H43" s="6"/>
      <c r="I43" s="1"/>
    </row>
    <row r="44">
      <c r="B44" s="1"/>
      <c r="C44" s="2"/>
      <c r="D44" s="2"/>
      <c r="E44" s="2"/>
      <c r="F44" s="2"/>
      <c r="G44" s="2"/>
      <c r="H44" s="6"/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36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37</v>
      </c>
      <c r="C9" s="2"/>
      <c r="D9" s="2"/>
      <c r="E9" s="2"/>
      <c r="F9" s="2"/>
      <c r="G9" s="2"/>
      <c r="H9" s="6"/>
      <c r="I9" s="1"/>
    </row>
    <row r="10">
      <c r="B10" s="1" t="s">
        <v>38</v>
      </c>
      <c r="C10" s="10">
        <f>'Segment - North America'!C31</f>
        <v>5348</v>
      </c>
      <c r="D10" s="10">
        <f>'Segment - North America'!D31</f>
        <v>4135</v>
      </c>
      <c r="E10" s="10">
        <f>'Segment - North America'!E31</f>
        <v>4019</v>
      </c>
      <c r="F10" s="10">
        <f>'Segment - North America'!F31</f>
        <v>4412</v>
      </c>
      <c r="G10" s="10">
        <f>'Segment - North America'!G31</f>
        <v>17604</v>
      </c>
      <c r="H10" s="27">
        <f>'Segment - North America'!H31</f>
        <v>5492.395999999998</v>
      </c>
      <c r="I10" s="1"/>
    </row>
    <row r="11">
      <c r="B11" s="1" t="s">
        <v>39</v>
      </c>
      <c r="C11" s="10">
        <f>'Segment - Europe'!C31</f>
        <v>2551</v>
      </c>
      <c r="D11" s="10">
        <f>'Segment - Europe'!D31</f>
        <v>2075</v>
      </c>
      <c r="E11" s="10">
        <f>'Segment - Europe'!E31</f>
        <v>2069</v>
      </c>
      <c r="F11" s="10">
        <f>'Segment - Europe'!F31</f>
        <v>2122</v>
      </c>
      <c r="G11" s="10">
        <f>'Segment - Europe'!G31</f>
        <v>8467</v>
      </c>
      <c r="H11" s="27">
        <f>'Segment - Europe'!H31</f>
        <v>2589.2649999999994</v>
      </c>
      <c r="I11" s="1"/>
    </row>
    <row r="12">
      <c r="B12" s="1" t="s">
        <v>40</v>
      </c>
      <c r="C12" s="10">
        <f>'Segment - Cruise Support'!C31</f>
        <v>74</v>
      </c>
      <c r="D12" s="10">
        <f>'Segment - Cruise Support'!D31</f>
        <v>90</v>
      </c>
      <c r="E12" s="10">
        <f>'Segment - Cruise Support'!E31</f>
        <v>77</v>
      </c>
      <c r="F12" s="10">
        <f>'Segment - Cruise Support'!F31</f>
        <v>95</v>
      </c>
      <c r="G12" s="10">
        <f>'Segment - Cruise Support'!G31</f>
        <v>309</v>
      </c>
      <c r="H12" s="27">
        <f>'Segment - Cruise Support'!H31</f>
        <v>103.59999999999998</v>
      </c>
      <c r="I12" s="1"/>
    </row>
    <row r="13">
      <c r="B13" s="1" t="s">
        <v>41</v>
      </c>
      <c r="C13" s="10">
        <f>'Segment - Tour and Other'!C31</f>
        <v>179</v>
      </c>
      <c r="D13" s="10">
        <f>'Segment - Tour and Other'!D31</f>
        <v>29</v>
      </c>
      <c r="E13" s="10">
        <f>'Segment - Tour and Other'!E31</f>
        <v>0</v>
      </c>
      <c r="F13" s="10">
        <f>'Segment - Tour and Other'!F31</f>
        <v>34</v>
      </c>
      <c r="G13" s="10">
        <f>'Segment - Tour and Other'!G31</f>
        <v>241</v>
      </c>
      <c r="H13" s="27">
        <f>'Segment - Tour and Other'!H31</f>
        <v>173.63</v>
      </c>
      <c r="I13" s="1"/>
    </row>
    <row r="14">
      <c r="B14" s="16" t="s">
        <v>42</v>
      </c>
      <c r="C14" s="4">
        <f>SUM(C10:C13)</f>
        <v>8152</v>
      </c>
      <c r="D14" s="4">
        <f>SUM(D10:D13)</f>
        <v>6329</v>
      </c>
      <c r="E14" s="4">
        <f>SUM(E10:E13)</f>
        <v>6165</v>
      </c>
      <c r="F14" s="4">
        <f>SUM(F10:F13)</f>
        <v>6663</v>
      </c>
      <c r="G14" s="4">
        <f>SUM(G10:G13)</f>
        <v>26621</v>
      </c>
      <c r="H14" s="9">
        <f>SUM(H10:H13)</f>
        <v>8358.890999999998</v>
      </c>
      <c r="I14" s="1"/>
    </row>
    <row r="15">
      <c r="B15" s="1" t="s">
        <v>43</v>
      </c>
      <c r="C15" s="10">
        <f>Inputs!C106-C14</f>
        <v>1</v>
      </c>
      <c r="D15" s="10">
        <f>Inputs!D106-D14</f>
        <v>1</v>
      </c>
      <c r="E15" s="10">
        <f>Inputs!E106-E14</f>
        <v>0</v>
      </c>
      <c r="F15" s="10">
        <f>Inputs!F106-F14</f>
        <v>0</v>
      </c>
      <c r="G15" s="10">
        <f>Inputs!G106-G14</f>
        <v>1</v>
      </c>
      <c r="H15" s="27">
        <f>Inputs!H200</f>
        <v>0</v>
      </c>
      <c r="I15" s="1"/>
    </row>
    <row r="16">
      <c r="B16" s="1"/>
      <c r="C16" s="2"/>
      <c r="D16" s="2"/>
      <c r="E16" s="2"/>
      <c r="F16" s="2"/>
      <c r="G16" s="2"/>
      <c r="H16" s="6"/>
      <c r="I16" s="1"/>
    </row>
    <row r="17">
      <c r="B17" s="1"/>
      <c r="C17" s="2"/>
      <c r="D17" s="2"/>
      <c r="E17" s="2"/>
      <c r="F17" s="2"/>
      <c r="G17" s="2"/>
      <c r="H17" s="6"/>
      <c r="I17" s="1"/>
    </row>
    <row r="18">
      <c r="B18" s="16" t="s">
        <v>44</v>
      </c>
      <c r="C18" s="4">
        <f>SUM(C14:C15)</f>
        <v>8153</v>
      </c>
      <c r="D18" s="4">
        <f>SUM(D14:D15)</f>
        <v>6330</v>
      </c>
      <c r="E18" s="4">
        <f>SUM(E14:E15)</f>
        <v>6165</v>
      </c>
      <c r="F18" s="4">
        <f>SUM(F14:F15)</f>
        <v>6663</v>
      </c>
      <c r="G18" s="4">
        <f>SUM(G14:G15)</f>
        <v>26622</v>
      </c>
      <c r="H18" s="9">
        <f>SUM(H14:H15)</f>
        <v>8358.890999999998</v>
      </c>
      <c r="I18" s="1"/>
    </row>
    <row r="19">
      <c r="B19" s="1" t="s">
        <v>45</v>
      </c>
      <c r="C19" s="26"/>
      <c r="D19" s="26"/>
      <c r="E19" s="26"/>
      <c r="F19" s="26">
        <f>F18/$C18-1</f>
        <v>-0.18275481417882988</v>
      </c>
      <c r="G19" s="26"/>
      <c r="H19" s="31">
        <f>H18/$C18-1</f>
        <v>0.025253403655095985</v>
      </c>
      <c r="I19" s="1"/>
    </row>
    <row r="20">
      <c r="B20" s="1" t="s">
        <v>46</v>
      </c>
      <c r="C20" s="26"/>
      <c r="D20" s="26">
        <f>D18/C18-1</f>
        <v>-0.22359867533423283</v>
      </c>
      <c r="E20" s="26">
        <f>E18/D18-1</f>
        <v>-0.026066350710900466</v>
      </c>
      <c r="F20" s="26">
        <f>F18/E18-1</f>
        <v>0.08077858880778588</v>
      </c>
      <c r="G20" s="26"/>
      <c r="H20" s="31">
        <f>H18/F18-1</f>
        <v>0.25452363800090017</v>
      </c>
      <c r="I20" s="1"/>
    </row>
    <row r="21">
      <c r="B21" s="1" t="s">
        <v>47</v>
      </c>
      <c r="C21" s="10">
        <f>Inputs!C104</f>
        <v>5430</v>
      </c>
      <c r="D21" s="10">
        <f>Inputs!D104</f>
        <v>4053</v>
      </c>
      <c r="E21" s="10">
        <f>Inputs!E104</f>
        <v>4023</v>
      </c>
      <c r="F21" s="10">
        <f>Inputs!F104</f>
        <v>4273</v>
      </c>
      <c r="G21" s="10">
        <f>Inputs!G104</f>
        <v>17419</v>
      </c>
      <c r="H21" s="27">
        <f>'Segment - North America'!H23+'Segment - Europe'!H23</f>
        <v>5555.566429927837</v>
      </c>
      <c r="I21" s="1"/>
    </row>
    <row r="22">
      <c r="B22" s="1" t="s">
        <v>48</v>
      </c>
      <c r="C22" s="10">
        <f>Inputs!C105</f>
        <v>2723</v>
      </c>
      <c r="D22" s="10">
        <f>Inputs!D105</f>
        <v>2277</v>
      </c>
      <c r="E22" s="10">
        <f>Inputs!E105</f>
        <v>2142</v>
      </c>
      <c r="F22" s="10">
        <f>Inputs!F105</f>
        <v>2390</v>
      </c>
      <c r="G22" s="10">
        <f>Inputs!G105</f>
        <v>9202</v>
      </c>
      <c r="H22" s="27">
        <f>'Segment - North America'!H26+'Segment - Europe'!H26+'Segment - Cruise Support'!H31+'Segment - Tour and Other'!H31+H15</f>
        <v>2803.32457007216</v>
      </c>
      <c r="I22" s="1"/>
    </row>
    <row r="23">
      <c r="B23" s="1" t="s">
        <v>49</v>
      </c>
      <c r="C23" s="26">
        <f>C21/C18</f>
        <v>0.6660125107322458</v>
      </c>
      <c r="D23" s="26">
        <f>D21/D18</f>
        <v>0.6402843601895735</v>
      </c>
      <c r="E23" s="26">
        <f>E21/E18</f>
        <v>0.6525547445255474</v>
      </c>
      <c r="F23" s="26">
        <f>F21/F18</f>
        <v>0.6413027164940718</v>
      </c>
      <c r="G23" s="26">
        <f>G21/G18</f>
        <v>0.6543084666816918</v>
      </c>
      <c r="H23" s="31">
        <f>H21/H18</f>
        <v>0.6646296057608405</v>
      </c>
      <c r="I23" s="1"/>
    </row>
    <row r="24">
      <c r="B24" s="1" t="s">
        <v>50</v>
      </c>
      <c r="C24" s="10">
        <f>Inputs!C127</f>
        <v>24.6</v>
      </c>
      <c r="D24" s="10">
        <f>Inputs!D127</f>
        <v>24.1</v>
      </c>
      <c r="E24" s="10">
        <f>Inputs!E127</f>
        <v>23.7</v>
      </c>
      <c r="F24" s="10">
        <f>Inputs!F127</f>
        <v>24.7</v>
      </c>
      <c r="G24" s="10">
        <f>Inputs!G127</f>
        <v>96.5</v>
      </c>
      <c r="H24" s="27">
        <f>Inputs!H191</f>
        <v>24.9</v>
      </c>
      <c r="I24" s="1"/>
    </row>
    <row r="25">
      <c r="B25" s="1" t="s">
        <v>51</v>
      </c>
      <c r="C25" s="10">
        <f>Inputs!C126</f>
        <v>27.5</v>
      </c>
      <c r="D25" s="10">
        <f>Inputs!D126</f>
        <v>24.6</v>
      </c>
      <c r="E25" s="10">
        <f>Inputs!E126</f>
        <v>24.4</v>
      </c>
      <c r="F25" s="10">
        <f>Inputs!F126</f>
        <v>25.7</v>
      </c>
      <c r="G25" s="10">
        <f>Inputs!G126</f>
        <v>101.7</v>
      </c>
      <c r="H25" s="27">
        <f>Inputs!H192</f>
        <v>27.78</v>
      </c>
      <c r="I25" s="1"/>
    </row>
    <row r="26">
      <c r="B26" s="1" t="s">
        <v>52</v>
      </c>
      <c r="C26" s="26">
        <f>C25/C24</f>
        <v>1.1178861788617886</v>
      </c>
      <c r="D26" s="26">
        <f>D25/D24</f>
        <v>1.020746887966805</v>
      </c>
      <c r="E26" s="26">
        <f>E25/E24</f>
        <v>1.0295358649789028</v>
      </c>
      <c r="F26" s="26">
        <f>F25/F24</f>
        <v>1.040485829959514</v>
      </c>
      <c r="G26" s="26">
        <f>G25/G24</f>
        <v>1.0538860103626944</v>
      </c>
      <c r="H26" s="31">
        <f>H25/H24</f>
        <v>1.1156626506024097</v>
      </c>
      <c r="I26" s="1"/>
    </row>
    <row r="27">
      <c r="B27" s="1" t="s">
        <v>53</v>
      </c>
      <c r="C27" s="2">
        <f>C18/C25</f>
        <v>296.4727272727273</v>
      </c>
      <c r="D27" s="2">
        <f>D18/D25</f>
        <v>257.3170731707317</v>
      </c>
      <c r="E27" s="2">
        <f>E18/E25</f>
        <v>252.66393442622953</v>
      </c>
      <c r="F27" s="2">
        <f>F18/F25</f>
        <v>259.26070038910507</v>
      </c>
      <c r="G27" s="2">
        <f>G18/G25</f>
        <v>261.7699115044248</v>
      </c>
      <c r="H27" s="6">
        <f>H18/H25</f>
        <v>300.8960043196543</v>
      </c>
      <c r="I27" s="1"/>
    </row>
    <row r="28">
      <c r="B28" s="1" t="s">
        <v>54</v>
      </c>
      <c r="C28" s="2">
        <f>C18/C24</f>
        <v>331.42276422764223</v>
      </c>
      <c r="D28" s="2">
        <f>D18/D24</f>
        <v>262.655601659751</v>
      </c>
      <c r="E28" s="2">
        <f>E18/E24</f>
        <v>260.126582278481</v>
      </c>
      <c r="F28" s="2">
        <f>F18/F24</f>
        <v>269.7570850202429</v>
      </c>
      <c r="G28" s="2">
        <f>G18/G24</f>
        <v>275.8756476683938</v>
      </c>
      <c r="H28" s="6">
        <f>H18/H24</f>
        <v>335.69843373493967</v>
      </c>
      <c r="I28" s="1"/>
    </row>
    <row r="29">
      <c r="B29" s="1" t="s">
        <v>55</v>
      </c>
      <c r="C29" s="2">
        <f>C18-C14-C15</f>
        <v>0</v>
      </c>
      <c r="D29" s="2">
        <f>D18-D14-D15</f>
        <v>0</v>
      </c>
      <c r="E29" s="2">
        <f>E18-E14-E15</f>
        <v>0</v>
      </c>
      <c r="F29" s="2">
        <f>F18-F14-F15</f>
        <v>0</v>
      </c>
      <c r="G29" s="2">
        <f>G18-G14-G15</f>
        <v>0</v>
      </c>
      <c r="H29" s="6">
        <f>H18-H14-H15</f>
        <v>0</v>
      </c>
      <c r="I29" s="1"/>
    </row>
    <row r="30">
      <c r="B30" s="1" t="s">
        <v>56</v>
      </c>
      <c r="C30" s="2">
        <f>C18-C21-C22</f>
        <v>0</v>
      </c>
      <c r="D30" s="2">
        <f>D18-D21-D22</f>
        <v>0</v>
      </c>
      <c r="E30" s="2">
        <f>E18-E21-E22</f>
        <v>0</v>
      </c>
      <c r="F30" s="2">
        <f>F18-F21-F22</f>
        <v>0</v>
      </c>
      <c r="G30" s="2">
        <f>G18-G21-G22-G15</f>
        <v>0</v>
      </c>
      <c r="H30" s="6">
        <f>H18-H21-H22</f>
        <v>0</v>
      </c>
      <c r="I30" s="1"/>
    </row>
    <row r="31">
      <c r="B31" s="1"/>
      <c r="C31" s="2"/>
      <c r="D31" s="2"/>
      <c r="E31" s="2"/>
      <c r="F31" s="2"/>
      <c r="G31" s="2"/>
      <c r="H31" s="6"/>
      <c r="I31" s="1"/>
    </row>
    <row r="32">
      <c r="B32" s="1" t="s">
        <v>57</v>
      </c>
      <c r="C32" s="26">
        <f>C10</f>
        <v>5348</v>
      </c>
      <c r="D32" s="26">
        <f>D10</f>
        <v>4135</v>
      </c>
      <c r="E32" s="26">
        <f>E10</f>
        <v>4019</v>
      </c>
      <c r="F32" s="26">
        <f>F10</f>
        <v>4412</v>
      </c>
      <c r="G32" s="26">
        <f>G10</f>
        <v>17604</v>
      </c>
      <c r="H32" s="31">
        <f>H10</f>
        <v>5492.395999999998</v>
      </c>
      <c r="I32" s="1"/>
    </row>
    <row r="33">
      <c r="B33" s="1" t="s">
        <v>58</v>
      </c>
      <c r="C33" s="26"/>
      <c r="D33" s="26"/>
      <c r="E33" s="26"/>
      <c r="F33" s="26"/>
      <c r="G33" s="26"/>
      <c r="H33" s="31">
        <f>IFERROR(H32/$C32-1,0)</f>
        <v>0.02699999999999969</v>
      </c>
      <c r="I33" s="1"/>
    </row>
    <row r="34">
      <c r="B34" s="1" t="s">
        <v>59</v>
      </c>
      <c r="C34" s="26"/>
      <c r="D34" s="26">
        <f>IFERROR(D32/C32-1,0)</f>
        <v>-0.22681376215407634</v>
      </c>
      <c r="E34" s="26">
        <f>IFERROR(E32/D32-1,0)</f>
        <v>-0.02805320435308345</v>
      </c>
      <c r="F34" s="26">
        <f>IFERROR(F32/E32-1,0)</f>
        <v>0.09778551878576769</v>
      </c>
      <c r="G34" s="26"/>
      <c r="H34" s="31">
        <f>H32/F32-1</f>
        <v>0.2448766999093377</v>
      </c>
      <c r="I34" s="1"/>
    </row>
    <row r="35">
      <c r="B35" s="1" t="s">
        <v>60</v>
      </c>
      <c r="C35" s="26">
        <f>C32/C18</f>
        <v>0.655954863240525</v>
      </c>
      <c r="D35" s="26">
        <f>D32/D18</f>
        <v>0.6532385466034755</v>
      </c>
      <c r="E35" s="26">
        <f>E32/E18</f>
        <v>0.6519059205190592</v>
      </c>
      <c r="F35" s="26">
        <f>F32/F18</f>
        <v>0.6621641903046676</v>
      </c>
      <c r="G35" s="26">
        <f>G32/G18</f>
        <v>0.6612576064908722</v>
      </c>
      <c r="H35" s="31">
        <f>H32/H18</f>
        <v>0.6570723317243877</v>
      </c>
      <c r="I35" s="1"/>
    </row>
    <row r="36">
      <c r="B36" s="1" t="s">
        <v>61</v>
      </c>
      <c r="C36" s="26">
        <f>C11</f>
        <v>2551</v>
      </c>
      <c r="D36" s="26">
        <f>D11</f>
        <v>2075</v>
      </c>
      <c r="E36" s="26">
        <f>E11</f>
        <v>2069</v>
      </c>
      <c r="F36" s="26">
        <f>F11</f>
        <v>2122</v>
      </c>
      <c r="G36" s="26">
        <f>G11</f>
        <v>8467</v>
      </c>
      <c r="H36" s="31">
        <f>H11</f>
        <v>2589.2649999999994</v>
      </c>
      <c r="I36" s="1"/>
    </row>
    <row r="37">
      <c r="B37" s="1" t="s">
        <v>58</v>
      </c>
      <c r="C37" s="26"/>
      <c r="D37" s="26"/>
      <c r="E37" s="26"/>
      <c r="F37" s="26"/>
      <c r="G37" s="26"/>
      <c r="H37" s="31">
        <f>IFERROR(H36/$C36-1,0)</f>
        <v>0.01499999999999968</v>
      </c>
      <c r="I37" s="1"/>
    </row>
    <row r="38">
      <c r="B38" s="1" t="s">
        <v>59</v>
      </c>
      <c r="C38" s="26"/>
      <c r="D38" s="26">
        <f>IFERROR(D36/C36-1,0)</f>
        <v>-0.186593492747942</v>
      </c>
      <c r="E38" s="26">
        <f>IFERROR(E36/D36-1,0)</f>
        <v>-0.0028915662650602636</v>
      </c>
      <c r="F38" s="26">
        <f>IFERROR(F36/E36-1,0)</f>
        <v>0.025616239729337797</v>
      </c>
      <c r="G38" s="26"/>
      <c r="H38" s="31">
        <f>H36/F36-1</f>
        <v>0.22020028275212034</v>
      </c>
      <c r="I38" s="1"/>
    </row>
    <row r="39">
      <c r="B39" s="1" t="s">
        <v>60</v>
      </c>
      <c r="C39" s="26">
        <f>C36/C18</f>
        <v>0.3128909603826812</v>
      </c>
      <c r="D39" s="26">
        <f>D36/D18</f>
        <v>0.3278041074249605</v>
      </c>
      <c r="E39" s="26">
        <f>E36/E18</f>
        <v>0.3356042173560422</v>
      </c>
      <c r="F39" s="26">
        <f>F36/F18</f>
        <v>0.3184751613387363</v>
      </c>
      <c r="G39" s="26">
        <f>G36/G18</f>
        <v>0.3180452257531365</v>
      </c>
      <c r="H39" s="31">
        <f>H36/H18</f>
        <v>0.3097617853851665</v>
      </c>
      <c r="I39" s="1"/>
    </row>
    <row r="40">
      <c r="B40" s="1" t="s">
        <v>62</v>
      </c>
      <c r="C40" s="2">
        <f>C12</f>
        <v>74</v>
      </c>
      <c r="D40" s="2">
        <f>D12</f>
        <v>90</v>
      </c>
      <c r="E40" s="2">
        <f>E12</f>
        <v>77</v>
      </c>
      <c r="F40" s="2">
        <f>F12</f>
        <v>95</v>
      </c>
      <c r="G40" s="2">
        <f>G12</f>
        <v>309</v>
      </c>
      <c r="H40" s="6">
        <f>H12</f>
        <v>103.59999999999998</v>
      </c>
      <c r="I40" s="1"/>
    </row>
    <row r="41">
      <c r="B41" s="1" t="s">
        <v>58</v>
      </c>
      <c r="C41" s="26"/>
      <c r="D41" s="26"/>
      <c r="E41" s="26"/>
      <c r="F41" s="26"/>
      <c r="G41" s="26"/>
      <c r="H41" s="31">
        <f>IFERROR(H40/$C40-1,0)</f>
        <v>0.3999999999999997</v>
      </c>
      <c r="I41" s="1"/>
    </row>
    <row r="42">
      <c r="B42" s="1" t="s">
        <v>59</v>
      </c>
      <c r="C42" s="26"/>
      <c r="D42" s="26">
        <f>IFERROR(D40/C40-1,0)</f>
        <v>0.21621621621621623</v>
      </c>
      <c r="E42" s="26">
        <f>IFERROR(E40/D40-1,0)</f>
        <v>-0.1444444444444445</v>
      </c>
      <c r="F42" s="26">
        <f>IFERROR(F40/E40-1,0)</f>
        <v>0.23376623376623384</v>
      </c>
      <c r="G42" s="26"/>
      <c r="H42" s="31">
        <f>H40/F40-1</f>
        <v>0.09052631578947357</v>
      </c>
      <c r="I42" s="1"/>
    </row>
    <row r="43">
      <c r="B43" s="1" t="s">
        <v>60</v>
      </c>
      <c r="C43" s="26">
        <f>C40/C18</f>
        <v>0.009076413590089538</v>
      </c>
      <c r="D43" s="26">
        <f>D40/D18</f>
        <v>0.014218009478672985</v>
      </c>
      <c r="E43" s="26">
        <f>E40/E18</f>
        <v>0.012489862124898622</v>
      </c>
      <c r="F43" s="26">
        <f>F40/F18</f>
        <v>0.014257841812997149</v>
      </c>
      <c r="G43" s="26">
        <f>G40/G18</f>
        <v>0.011606941627225602</v>
      </c>
      <c r="H43" s="31">
        <f>H40/H18</f>
        <v>0.0123939886283958</v>
      </c>
      <c r="I43" s="1"/>
    </row>
    <row r="44">
      <c r="B44" s="1" t="s">
        <v>63</v>
      </c>
      <c r="C44" s="2">
        <f>C13</f>
        <v>179</v>
      </c>
      <c r="D44" s="2">
        <f>D13</f>
        <v>29</v>
      </c>
      <c r="E44" s="2">
        <f>E13</f>
        <v>0</v>
      </c>
      <c r="F44" s="2">
        <f>F13</f>
        <v>34</v>
      </c>
      <c r="G44" s="2">
        <f>G13</f>
        <v>241</v>
      </c>
      <c r="H44" s="6">
        <f>H13</f>
        <v>173.63</v>
      </c>
      <c r="I44" s="1"/>
    </row>
    <row r="45">
      <c r="B45" s="1" t="s">
        <v>58</v>
      </c>
      <c r="C45" s="26"/>
      <c r="D45" s="26"/>
      <c r="E45" s="26"/>
      <c r="F45" s="26"/>
      <c r="G45" s="26"/>
      <c r="H45" s="31">
        <f>IFERROR(H44/$C44-1,0)</f>
        <v>-0.030000000000000027</v>
      </c>
      <c r="I45" s="1"/>
    </row>
    <row r="46">
      <c r="B46" s="1" t="s">
        <v>59</v>
      </c>
      <c r="C46" s="26"/>
      <c r="D46" s="26">
        <f>IFERROR(D44/C44-1,0)</f>
        <v>-0.8379888268156425</v>
      </c>
      <c r="E46" s="26">
        <f>IFERROR(E44/D44-1,0)</f>
        <v>-1</v>
      </c>
      <c r="F46" s="26">
        <f>IFERROR(F44/E44-1,0)</f>
        <v>0</v>
      </c>
      <c r="G46" s="26"/>
      <c r="H46" s="31">
        <f>H44/F44-1</f>
        <v>4.106764705882353</v>
      </c>
      <c r="I46" s="1"/>
    </row>
    <row r="47">
      <c r="B47" s="1" t="s">
        <v>60</v>
      </c>
      <c r="C47" s="26">
        <f>C44/C18</f>
        <v>0.021955108549000367</v>
      </c>
      <c r="D47" s="26">
        <f>D44/D18</f>
        <v>0.004581358609794629</v>
      </c>
      <c r="E47" s="26">
        <f>E44/E18</f>
        <v>0</v>
      </c>
      <c r="F47" s="26">
        <f>F44/F18</f>
        <v>0.00510280654359898</v>
      </c>
      <c r="G47" s="26">
        <f>G44/G18</f>
        <v>0.009052663210878222</v>
      </c>
      <c r="H47" s="31">
        <f>H44/H18</f>
        <v>0.02077189426204984</v>
      </c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 t="s">
        <v>64</v>
      </c>
      <c r="C59" s="1"/>
      <c r="D59" s="1"/>
      <c r="E59" s="1"/>
      <c r="F59" s="1"/>
      <c r="G59" s="1"/>
      <c r="H59" s="1"/>
      <c r="I59" s="1"/>
    </row>
    <row r="60">
      <c r="B60" s="1" t="s">
        <v>65</v>
      </c>
      <c r="C60" s="2">
        <f>C21</f>
        <v>5430</v>
      </c>
      <c r="D60" s="2">
        <f>D21</f>
        <v>4053</v>
      </c>
      <c r="E60" s="2">
        <f>E21</f>
        <v>4023</v>
      </c>
      <c r="F60" s="2">
        <f>F21</f>
        <v>4273</v>
      </c>
      <c r="G60" s="2">
        <f>G21</f>
        <v>17419</v>
      </c>
      <c r="H60" s="2">
        <f>H21</f>
        <v>5555.566429927837</v>
      </c>
      <c r="I60" s="1"/>
    </row>
    <row r="61">
      <c r="B61" s="1" t="s">
        <v>66</v>
      </c>
      <c r="C61" s="26"/>
      <c r="D61" s="26"/>
      <c r="E61" s="26"/>
      <c r="F61" s="26"/>
      <c r="G61" s="26"/>
      <c r="H61" s="26">
        <f>H60/C60-1</f>
        <v>0.02312457273072499</v>
      </c>
      <c r="I61" s="1"/>
    </row>
    <row r="62">
      <c r="B62" s="1" t="s">
        <v>67</v>
      </c>
      <c r="C62" s="26"/>
      <c r="D62" s="26"/>
      <c r="E62" s="26"/>
      <c r="F62" s="26"/>
      <c r="G62" s="26"/>
      <c r="H62" s="15">
        <f>Inputs!H200</f>
        <v>0</v>
      </c>
      <c r="I62" s="1"/>
    </row>
    <row r="63">
      <c r="B63" s="1" t="s">
        <v>68</v>
      </c>
      <c r="C63" s="26"/>
      <c r="D63" s="26"/>
      <c r="E63" s="26"/>
      <c r="F63" s="26"/>
      <c r="G63" s="26"/>
      <c r="H63" s="15">
        <f>Inputs!H200</f>
        <v>0</v>
      </c>
      <c r="I63" s="1"/>
    </row>
    <row r="64">
      <c r="B64" s="1" t="s">
        <v>69</v>
      </c>
      <c r="C64" s="26"/>
      <c r="D64" s="26"/>
      <c r="E64" s="26"/>
      <c r="F64" s="26"/>
      <c r="G64" s="26"/>
      <c r="H64" s="26">
        <f>(1+H61)/((1+H62)*(1+H63))-1</f>
        <v>0.02312457273072499</v>
      </c>
      <c r="I64" s="1"/>
    </row>
    <row r="65">
      <c r="B65" s="1" t="s">
        <v>70</v>
      </c>
      <c r="C65" s="1"/>
      <c r="D65" s="1"/>
      <c r="E65" s="1"/>
      <c r="F65" s="1"/>
      <c r="G65" s="1"/>
      <c r="H65" s="2">
        <f>H60-F60</f>
        <v>1282.566429927837</v>
      </c>
      <c r="I65" s="1"/>
    </row>
    <row r="66">
      <c r="B66" s="1" t="s">
        <v>71</v>
      </c>
      <c r="C66" s="2">
        <f>C22</f>
        <v>2723</v>
      </c>
      <c r="D66" s="2">
        <f>D22</f>
        <v>2277</v>
      </c>
      <c r="E66" s="2">
        <f>E22</f>
        <v>2142</v>
      </c>
      <c r="F66" s="2">
        <f>F22</f>
        <v>2390</v>
      </c>
      <c r="G66" s="2">
        <f>G22</f>
        <v>9202</v>
      </c>
      <c r="H66" s="2">
        <f>H22</f>
        <v>2803.32457007216</v>
      </c>
      <c r="I66" s="1"/>
    </row>
    <row r="67">
      <c r="B67" s="1" t="s">
        <v>66</v>
      </c>
      <c r="C67" s="26"/>
      <c r="D67" s="26"/>
      <c r="E67" s="26"/>
      <c r="F67" s="26"/>
      <c r="G67" s="26"/>
      <c r="H67" s="26">
        <f>H66/C66-1</f>
        <v>0.02949855676539115</v>
      </c>
      <c r="I67" s="1"/>
    </row>
    <row r="68">
      <c r="B68" s="1" t="s">
        <v>67</v>
      </c>
      <c r="C68" s="26"/>
      <c r="D68" s="26"/>
      <c r="E68" s="26"/>
      <c r="F68" s="26"/>
      <c r="G68" s="26"/>
      <c r="H68" s="15">
        <f>Inputs!H200</f>
        <v>0</v>
      </c>
      <c r="I68" s="1"/>
    </row>
    <row r="69">
      <c r="B69" s="1" t="s">
        <v>68</v>
      </c>
      <c r="C69" s="26"/>
      <c r="D69" s="26"/>
      <c r="E69" s="26"/>
      <c r="F69" s="26"/>
      <c r="G69" s="26"/>
      <c r="H69" s="15">
        <f>Inputs!H200</f>
        <v>0</v>
      </c>
      <c r="I69" s="1"/>
    </row>
    <row r="70">
      <c r="B70" s="1" t="s">
        <v>69</v>
      </c>
      <c r="C70" s="26"/>
      <c r="D70" s="26"/>
      <c r="E70" s="26"/>
      <c r="F70" s="26"/>
      <c r="G70" s="26"/>
      <c r="H70" s="26">
        <f>(1+H67)/((1+H68)*(1+H69))-1</f>
        <v>0.02949855676539115</v>
      </c>
      <c r="I70" s="1"/>
    </row>
    <row r="71">
      <c r="B71" s="1" t="s">
        <v>70</v>
      </c>
      <c r="C71" s="1"/>
      <c r="D71" s="1"/>
      <c r="E71" s="1"/>
      <c r="F71" s="1"/>
      <c r="G71" s="1"/>
      <c r="H71" s="2">
        <f>H66-F66</f>
        <v>413.32457007216</v>
      </c>
      <c r="I71" s="1"/>
    </row>
    <row r="72">
      <c r="B72" s="1"/>
      <c r="C72" s="1"/>
      <c r="D72" s="1"/>
      <c r="E72" s="1"/>
      <c r="F72" s="1"/>
      <c r="G72" s="1"/>
      <c r="H72" s="14"/>
      <c r="I72" s="1"/>
    </row>
    <row r="73">
      <c r="B73" s="1"/>
      <c r="C73" s="1"/>
      <c r="D73" s="1"/>
      <c r="E73" s="1"/>
      <c r="F73" s="1"/>
      <c r="G73" s="1"/>
      <c r="H73" s="14"/>
      <c r="I73" s="1"/>
    </row>
    <row r="74">
      <c r="B74" s="1"/>
      <c r="C74" s="1"/>
      <c r="D74" s="1"/>
      <c r="E74" s="1"/>
      <c r="F74" s="1"/>
      <c r="G74" s="1"/>
      <c r="H74" s="14"/>
      <c r="I74" s="1"/>
    </row>
    <row r="75">
      <c r="B75" s="1"/>
      <c r="C75" s="1"/>
      <c r="D75" s="1"/>
      <c r="E75" s="1"/>
      <c r="F75" s="1"/>
      <c r="G75" s="1"/>
      <c r="H75" s="14"/>
      <c r="I75" s="1"/>
    </row>
    <row r="76">
      <c r="B76" s="1"/>
      <c r="C76" s="1"/>
      <c r="D76" s="1"/>
      <c r="E76" s="1"/>
      <c r="F76" s="1"/>
      <c r="G76" s="1"/>
      <c r="H76" s="14"/>
      <c r="I76" s="1"/>
    </row>
    <row r="77">
      <c r="B77" s="1"/>
      <c r="C77" s="1"/>
      <c r="D77" s="1"/>
      <c r="E77" s="1"/>
      <c r="F77" s="1"/>
      <c r="G77" s="1"/>
      <c r="H77" s="14"/>
      <c r="I77" s="1"/>
    </row>
    <row r="78">
      <c r="B78" s="1"/>
      <c r="C78" s="1"/>
      <c r="D78" s="1"/>
      <c r="E78" s="1"/>
      <c r="F78" s="1"/>
      <c r="G78" s="1"/>
      <c r="H78" s="14"/>
      <c r="I78" s="1"/>
    </row>
    <row r="79">
      <c r="B79" s="1" t="s">
        <v>72</v>
      </c>
      <c r="C79" s="1"/>
      <c r="D79" s="1"/>
      <c r="E79" s="1"/>
      <c r="F79" s="1"/>
      <c r="G79" s="1"/>
      <c r="H79" s="14"/>
      <c r="I79" s="1"/>
    </row>
    <row r="80">
      <c r="B80" s="1" t="s">
        <v>73</v>
      </c>
      <c r="C80" s="2">
        <f>C24</f>
        <v>24.6</v>
      </c>
      <c r="D80" s="2">
        <f>D24</f>
        <v>24.1</v>
      </c>
      <c r="E80" s="2">
        <f>E24</f>
        <v>23.7</v>
      </c>
      <c r="F80" s="2">
        <f>F24</f>
        <v>24.7</v>
      </c>
      <c r="G80" s="2">
        <f>G24</f>
        <v>96.5</v>
      </c>
      <c r="H80" s="6">
        <f>H24</f>
        <v>24.9</v>
      </c>
      <c r="I80" s="1"/>
    </row>
    <row r="81">
      <c r="B81" s="1" t="s">
        <v>74</v>
      </c>
      <c r="C81" s="26"/>
      <c r="D81" s="26"/>
      <c r="E81" s="26"/>
      <c r="F81" s="26"/>
      <c r="G81" s="26"/>
      <c r="H81" s="31">
        <f>H80/C80-1</f>
        <v>0.012195121951219301</v>
      </c>
      <c r="I81" s="1"/>
    </row>
    <row r="82">
      <c r="B82" s="1" t="s">
        <v>75</v>
      </c>
      <c r="C82" s="1"/>
      <c r="D82" s="1"/>
      <c r="E82" s="1"/>
      <c r="F82" s="1"/>
      <c r="G82" s="1"/>
      <c r="H82" s="6">
        <f>H80-F80</f>
        <v>0.1999999999999993</v>
      </c>
      <c r="I82" s="1"/>
    </row>
    <row r="83">
      <c r="B83" s="1"/>
      <c r="C83" s="1"/>
      <c r="D83" s="1"/>
      <c r="E83" s="1"/>
      <c r="F83" s="1"/>
      <c r="G83" s="1"/>
      <c r="H83" s="14"/>
      <c r="I83" s="1"/>
    </row>
    <row r="84">
      <c r="B84" s="1" t="s">
        <v>76</v>
      </c>
      <c r="C84" s="2">
        <f>C25</f>
        <v>27.5</v>
      </c>
      <c r="D84" s="2">
        <f>D25</f>
        <v>24.6</v>
      </c>
      <c r="E84" s="2">
        <f>E25</f>
        <v>24.4</v>
      </c>
      <c r="F84" s="2">
        <f>F25</f>
        <v>25.7</v>
      </c>
      <c r="G84" s="2">
        <f>G25</f>
        <v>101.7</v>
      </c>
      <c r="H84" s="6">
        <f>H25</f>
        <v>27.78</v>
      </c>
      <c r="I84" s="1"/>
    </row>
    <row r="85">
      <c r="B85" s="1" t="s">
        <v>74</v>
      </c>
      <c r="C85" s="26"/>
      <c r="D85" s="26"/>
      <c r="E85" s="26"/>
      <c r="F85" s="26"/>
      <c r="G85" s="26"/>
      <c r="H85" s="31">
        <f>H84/C84-1</f>
        <v>0.010181818181818292</v>
      </c>
      <c r="I85" s="1"/>
    </row>
    <row r="86">
      <c r="B86" s="1" t="s">
        <v>75</v>
      </c>
      <c r="C86" s="1"/>
      <c r="D86" s="1"/>
      <c r="E86" s="1"/>
      <c r="F86" s="1"/>
      <c r="G86" s="1"/>
      <c r="H86" s="6">
        <f>H84-F84</f>
        <v>2.080000000000002</v>
      </c>
      <c r="I86" s="1"/>
    </row>
    <row r="87">
      <c r="B87" s="1"/>
      <c r="C87" s="1"/>
      <c r="D87" s="1"/>
      <c r="E87" s="1"/>
      <c r="F87" s="1"/>
      <c r="G87" s="1"/>
      <c r="H87" s="14"/>
      <c r="I87" s="1"/>
    </row>
    <row r="88">
      <c r="B88" s="1" t="s">
        <v>77</v>
      </c>
      <c r="C88" s="26">
        <f>C26</f>
        <v>1.1178861788617886</v>
      </c>
      <c r="D88" s="26">
        <f>D26</f>
        <v>1.020746887966805</v>
      </c>
      <c r="E88" s="26">
        <f>E26</f>
        <v>1.0295358649789028</v>
      </c>
      <c r="F88" s="26">
        <f>F26</f>
        <v>1.040485829959514</v>
      </c>
      <c r="G88" s="26">
        <f>G26</f>
        <v>1.0538860103626944</v>
      </c>
      <c r="H88" s="31">
        <f>H26</f>
        <v>1.1156626506024097</v>
      </c>
      <c r="I88" s="1"/>
    </row>
    <row r="89">
      <c r="B89" s="1" t="s">
        <v>78</v>
      </c>
      <c r="C89" s="32"/>
      <c r="D89" s="32"/>
      <c r="E89" s="32"/>
      <c r="F89" s="32"/>
      <c r="G89" s="32"/>
      <c r="H89" s="40">
        <f>(H88-C88)*10000</f>
        <v>-22.23528259378993</v>
      </c>
      <c r="I89" s="1"/>
    </row>
    <row r="90">
      <c r="B90" s="1" t="s">
        <v>79</v>
      </c>
      <c r="C90" s="2"/>
      <c r="D90" s="2"/>
      <c r="E90" s="2"/>
      <c r="F90" s="2"/>
      <c r="G90" s="2"/>
      <c r="H90" s="6">
        <f>(H88-F88)*10000</f>
        <v>751.7682064289555</v>
      </c>
      <c r="I90" s="1"/>
    </row>
    <row r="91">
      <c r="B91" s="1"/>
      <c r="C91" s="1"/>
      <c r="D91" s="1"/>
      <c r="E91" s="1"/>
      <c r="F91" s="1"/>
      <c r="G91" s="1"/>
      <c r="H91" s="14"/>
      <c r="I91" s="1"/>
    </row>
    <row r="92">
      <c r="B92" s="1" t="s">
        <v>53</v>
      </c>
      <c r="C92" s="2">
        <f>C27</f>
        <v>296.4727272727273</v>
      </c>
      <c r="D92" s="2">
        <f>D27</f>
        <v>257.3170731707317</v>
      </c>
      <c r="E92" s="2">
        <f>E27</f>
        <v>252.66393442622953</v>
      </c>
      <c r="F92" s="2">
        <f>F27</f>
        <v>259.26070038910507</v>
      </c>
      <c r="G92" s="2">
        <f>G27</f>
        <v>261.7699115044248</v>
      </c>
      <c r="H92" s="6">
        <f>H27</f>
        <v>300.8960043196543</v>
      </c>
      <c r="I92" s="1"/>
    </row>
    <row r="93">
      <c r="B93" s="1" t="s">
        <v>74</v>
      </c>
      <c r="C93" s="26"/>
      <c r="D93" s="26"/>
      <c r="E93" s="26"/>
      <c r="F93" s="26"/>
      <c r="G93" s="26"/>
      <c r="H93" s="31">
        <f>H92/C92-1</f>
        <v>0.014919676044461205</v>
      </c>
      <c r="I93" s="1"/>
    </row>
    <row r="94">
      <c r="B94" s="1" t="s">
        <v>75</v>
      </c>
      <c r="C94" s="1"/>
      <c r="D94" s="1"/>
      <c r="E94" s="1"/>
      <c r="F94" s="1"/>
      <c r="G94" s="1"/>
      <c r="H94" s="6">
        <f>H92-F92</f>
        <v>41.63530393054924</v>
      </c>
      <c r="I94" s="1"/>
    </row>
    <row r="95">
      <c r="B95" s="1"/>
      <c r="C95" s="1"/>
      <c r="D95" s="1"/>
      <c r="E95" s="1"/>
      <c r="F95" s="1"/>
      <c r="G95" s="1"/>
      <c r="H95" s="14"/>
      <c r="I95" s="1"/>
    </row>
    <row r="96">
      <c r="B96" s="1" t="s">
        <v>80</v>
      </c>
      <c r="C96" s="2">
        <f>C28</f>
        <v>331.42276422764223</v>
      </c>
      <c r="D96" s="2">
        <f>D28</f>
        <v>262.655601659751</v>
      </c>
      <c r="E96" s="2">
        <f>E28</f>
        <v>260.126582278481</v>
      </c>
      <c r="F96" s="2">
        <f>F28</f>
        <v>269.7570850202429</v>
      </c>
      <c r="G96" s="2">
        <f>G28</f>
        <v>275.8756476683938</v>
      </c>
      <c r="H96" s="6">
        <f>H28</f>
        <v>335.69843373493967</v>
      </c>
      <c r="I96" s="1"/>
    </row>
    <row r="97">
      <c r="B97" s="1" t="s">
        <v>74</v>
      </c>
      <c r="C97" s="26"/>
      <c r="D97" s="26"/>
      <c r="E97" s="26"/>
      <c r="F97" s="26"/>
      <c r="G97" s="26"/>
      <c r="H97" s="31">
        <f>H96/C96-1</f>
        <v>0.01290095300864924</v>
      </c>
      <c r="I97" s="1"/>
    </row>
    <row r="98">
      <c r="B98" s="1" t="s">
        <v>75</v>
      </c>
      <c r="C98" s="1"/>
      <c r="D98" s="1"/>
      <c r="E98" s="1"/>
      <c r="F98" s="1"/>
      <c r="G98" s="1"/>
      <c r="H98" s="6">
        <f>H96-F96</f>
        <v>65.94134871469674</v>
      </c>
      <c r="I98" s="1"/>
    </row>
    <row r="99">
      <c r="B99" s="1"/>
      <c r="C99" s="1"/>
      <c r="D99" s="1"/>
      <c r="E99" s="1"/>
      <c r="F99" s="1"/>
      <c r="G99" s="1"/>
      <c r="H99" s="14"/>
      <c r="I99" s="1"/>
    </row>
    <row r="100">
      <c r="B100" s="1"/>
      <c r="C100" s="1"/>
      <c r="D100" s="1"/>
      <c r="E100" s="1"/>
      <c r="F100" s="1"/>
      <c r="G100" s="1"/>
      <c r="H100" s="14"/>
      <c r="I100" s="1"/>
    </row>
    <row r="101">
      <c r="B101" s="1" t="s">
        <v>81</v>
      </c>
      <c r="C101" s="1"/>
      <c r="D101" s="1"/>
      <c r="E101" s="1"/>
      <c r="F101" s="1"/>
      <c r="G101" s="1"/>
      <c r="H101" s="14"/>
      <c r="I101" s="1"/>
    </row>
    <row r="102">
      <c r="B102" s="1" t="s">
        <v>57</v>
      </c>
      <c r="C102" s="2">
        <f>C10</f>
        <v>5348</v>
      </c>
      <c r="D102" s="2">
        <f>D10</f>
        <v>4135</v>
      </c>
      <c r="E102" s="2">
        <f>E10</f>
        <v>4019</v>
      </c>
      <c r="F102" s="2">
        <f>F10</f>
        <v>4412</v>
      </c>
      <c r="G102" s="2">
        <f>G10</f>
        <v>17604</v>
      </c>
      <c r="H102" s="6">
        <f>H10</f>
        <v>5492.395999999998</v>
      </c>
      <c r="I102" s="1"/>
    </row>
    <row r="103">
      <c r="B103" s="1" t="s">
        <v>66</v>
      </c>
      <c r="C103" s="26"/>
      <c r="D103" s="26"/>
      <c r="E103" s="26"/>
      <c r="F103" s="26"/>
      <c r="G103" s="26"/>
      <c r="H103" s="31">
        <f>H102/C102-1</f>
        <v>0.02699999999999969</v>
      </c>
      <c r="I103" s="1"/>
    </row>
    <row r="104">
      <c r="B104" s="1" t="s">
        <v>82</v>
      </c>
      <c r="C104" s="26"/>
      <c r="D104" s="26"/>
      <c r="E104" s="26"/>
      <c r="F104" s="26"/>
      <c r="G104" s="26"/>
      <c r="H104" s="30">
        <f>Inputs!H200</f>
        <v>0</v>
      </c>
      <c r="I104" s="1"/>
    </row>
    <row r="105">
      <c r="B105" s="1" t="s">
        <v>83</v>
      </c>
      <c r="C105" s="26"/>
      <c r="D105" s="26"/>
      <c r="E105" s="26"/>
      <c r="F105" s="26"/>
      <c r="G105" s="26"/>
      <c r="H105" s="30">
        <f>Inputs!H200</f>
        <v>0</v>
      </c>
      <c r="I105" s="1"/>
    </row>
    <row r="106">
      <c r="B106" s="1" t="s">
        <v>69</v>
      </c>
      <c r="C106" s="26"/>
      <c r="D106" s="26"/>
      <c r="E106" s="26"/>
      <c r="F106" s="26"/>
      <c r="G106" s="26"/>
      <c r="H106" s="31">
        <f>(1+H103)/((1+H104)*(1+H105))-1</f>
        <v>0.02699999999999969</v>
      </c>
      <c r="I106" s="1"/>
    </row>
    <row r="107">
      <c r="B107" s="1" t="s">
        <v>75</v>
      </c>
      <c r="C107" s="1"/>
      <c r="D107" s="1"/>
      <c r="E107" s="1"/>
      <c r="F107" s="1"/>
      <c r="G107" s="1"/>
      <c r="H107" s="6">
        <f>H102-F102</f>
        <v>1080.395999999998</v>
      </c>
      <c r="I107" s="1"/>
    </row>
    <row r="108">
      <c r="B108" s="1"/>
      <c r="C108" s="1"/>
      <c r="D108" s="1"/>
      <c r="E108" s="1"/>
      <c r="F108" s="1"/>
      <c r="G108" s="1"/>
      <c r="H108" s="14"/>
      <c r="I108" s="1"/>
    </row>
    <row r="109">
      <c r="B109" s="1" t="s">
        <v>61</v>
      </c>
      <c r="C109" s="2">
        <f>C11</f>
        <v>2551</v>
      </c>
      <c r="D109" s="2">
        <f>D11</f>
        <v>2075</v>
      </c>
      <c r="E109" s="2">
        <f>E11</f>
        <v>2069</v>
      </c>
      <c r="F109" s="2">
        <f>F11</f>
        <v>2122</v>
      </c>
      <c r="G109" s="2">
        <f>G11</f>
        <v>8467</v>
      </c>
      <c r="H109" s="6">
        <f>H11</f>
        <v>2589.2649999999994</v>
      </c>
      <c r="I109" s="1"/>
    </row>
    <row r="110">
      <c r="B110" s="1" t="s">
        <v>66</v>
      </c>
      <c r="C110" s="26"/>
      <c r="D110" s="26"/>
      <c r="E110" s="26"/>
      <c r="F110" s="26"/>
      <c r="G110" s="26"/>
      <c r="H110" s="31">
        <f>H109/C109-1</f>
        <v>0.01499999999999968</v>
      </c>
      <c r="I110" s="1"/>
    </row>
    <row r="111">
      <c r="B111" s="1" t="s">
        <v>82</v>
      </c>
      <c r="C111" s="26"/>
      <c r="D111" s="26"/>
      <c r="E111" s="26"/>
      <c r="F111" s="26"/>
      <c r="G111" s="26"/>
      <c r="H111" s="30">
        <f>Inputs!H200</f>
        <v>0</v>
      </c>
      <c r="I111" s="1"/>
    </row>
    <row r="112">
      <c r="B112" s="1" t="s">
        <v>83</v>
      </c>
      <c r="C112" s="26"/>
      <c r="D112" s="26"/>
      <c r="E112" s="26"/>
      <c r="F112" s="26"/>
      <c r="G112" s="26"/>
      <c r="H112" s="30">
        <f>Inputs!H200</f>
        <v>0</v>
      </c>
      <c r="I112" s="1"/>
    </row>
    <row r="113">
      <c r="B113" s="1" t="s">
        <v>69</v>
      </c>
      <c r="C113" s="26"/>
      <c r="D113" s="26"/>
      <c r="E113" s="26"/>
      <c r="F113" s="26"/>
      <c r="G113" s="26"/>
      <c r="H113" s="31">
        <f>(1+H110)/((1+H111)*(1+H112))-1</f>
        <v>0.01499999999999968</v>
      </c>
      <c r="I113" s="1"/>
    </row>
    <row r="114">
      <c r="B114" s="1" t="s">
        <v>75</v>
      </c>
      <c r="C114" s="1"/>
      <c r="D114" s="1"/>
      <c r="E114" s="1"/>
      <c r="F114" s="1"/>
      <c r="G114" s="1"/>
      <c r="H114" s="6">
        <f>H109-F109</f>
        <v>467.2649999999994</v>
      </c>
      <c r="I114" s="1"/>
    </row>
    <row r="115">
      <c r="B115" s="1"/>
      <c r="C115" s="1"/>
      <c r="D115" s="1"/>
      <c r="E115" s="1"/>
      <c r="F115" s="1"/>
      <c r="G115" s="1"/>
      <c r="H115" s="14"/>
      <c r="I115" s="1"/>
    </row>
    <row r="116">
      <c r="B116" s="1" t="s">
        <v>62</v>
      </c>
      <c r="C116" s="2">
        <f>C12</f>
        <v>74</v>
      </c>
      <c r="D116" s="2">
        <f>D12</f>
        <v>90</v>
      </c>
      <c r="E116" s="2">
        <f>E12</f>
        <v>77</v>
      </c>
      <c r="F116" s="2">
        <f>F12</f>
        <v>95</v>
      </c>
      <c r="G116" s="2">
        <f>G12</f>
        <v>309</v>
      </c>
      <c r="H116" s="6">
        <f>H12</f>
        <v>103.59999999999998</v>
      </c>
      <c r="I116" s="1"/>
    </row>
    <row r="117">
      <c r="B117" s="1" t="s">
        <v>66</v>
      </c>
      <c r="C117" s="26"/>
      <c r="D117" s="26"/>
      <c r="E117" s="26"/>
      <c r="F117" s="26"/>
      <c r="G117" s="26"/>
      <c r="H117" s="31">
        <f>H116/C116-1</f>
        <v>0.3999999999999997</v>
      </c>
      <c r="I117" s="1"/>
    </row>
    <row r="118">
      <c r="B118" s="1" t="s">
        <v>82</v>
      </c>
      <c r="C118" s="26"/>
      <c r="D118" s="26"/>
      <c r="E118" s="26"/>
      <c r="F118" s="26"/>
      <c r="G118" s="26"/>
      <c r="H118" s="30">
        <f>Inputs!H200</f>
        <v>0</v>
      </c>
      <c r="I118" s="1"/>
    </row>
    <row r="119">
      <c r="B119" s="1" t="s">
        <v>83</v>
      </c>
      <c r="C119" s="26"/>
      <c r="D119" s="26"/>
      <c r="E119" s="26"/>
      <c r="F119" s="26"/>
      <c r="G119" s="26"/>
      <c r="H119" s="30">
        <f>Inputs!H200</f>
        <v>0</v>
      </c>
      <c r="I119" s="1"/>
    </row>
    <row r="120">
      <c r="B120" s="1" t="s">
        <v>69</v>
      </c>
      <c r="C120" s="26"/>
      <c r="D120" s="26"/>
      <c r="E120" s="26"/>
      <c r="F120" s="26"/>
      <c r="G120" s="26"/>
      <c r="H120" s="31">
        <f>(1+H117)/((1+H118)*(1+H119))-1</f>
        <v>0.3999999999999997</v>
      </c>
      <c r="I120" s="1"/>
    </row>
    <row r="121">
      <c r="B121" s="1" t="s">
        <v>75</v>
      </c>
      <c r="C121" s="1"/>
      <c r="D121" s="1"/>
      <c r="E121" s="1"/>
      <c r="F121" s="1"/>
      <c r="G121" s="1"/>
      <c r="H121" s="6">
        <f>H116-F116</f>
        <v>8.59999999999998</v>
      </c>
      <c r="I121" s="1"/>
    </row>
    <row r="122">
      <c r="B122" s="1"/>
      <c r="C122" s="1"/>
      <c r="D122" s="1"/>
      <c r="E122" s="1"/>
      <c r="F122" s="1"/>
      <c r="G122" s="1"/>
      <c r="H122" s="14"/>
      <c r="I122" s="1"/>
    </row>
    <row r="123">
      <c r="B123" s="1" t="s">
        <v>63</v>
      </c>
      <c r="C123" s="2">
        <f>C13</f>
        <v>179</v>
      </c>
      <c r="D123" s="2">
        <f>D13</f>
        <v>29</v>
      </c>
      <c r="E123" s="2">
        <f>E13</f>
        <v>0</v>
      </c>
      <c r="F123" s="2">
        <f>F13</f>
        <v>34</v>
      </c>
      <c r="G123" s="2">
        <f>G13</f>
        <v>241</v>
      </c>
      <c r="H123" s="6">
        <f>H13</f>
        <v>173.63</v>
      </c>
      <c r="I123" s="1"/>
    </row>
    <row r="124">
      <c r="B124" s="1" t="s">
        <v>66</v>
      </c>
      <c r="C124" s="26"/>
      <c r="D124" s="26"/>
      <c r="E124" s="26"/>
      <c r="F124" s="26"/>
      <c r="G124" s="26"/>
      <c r="H124" s="31">
        <f>H123/C123-1</f>
        <v>-0.030000000000000027</v>
      </c>
      <c r="I124" s="1"/>
    </row>
    <row r="125">
      <c r="B125" s="1" t="s">
        <v>82</v>
      </c>
      <c r="C125" s="26"/>
      <c r="D125" s="26"/>
      <c r="E125" s="26"/>
      <c r="F125" s="26"/>
      <c r="G125" s="26"/>
      <c r="H125" s="30">
        <f>Inputs!H200</f>
        <v>0</v>
      </c>
      <c r="I125" s="1"/>
    </row>
    <row r="126">
      <c r="B126" s="1" t="s">
        <v>83</v>
      </c>
      <c r="C126" s="26"/>
      <c r="D126" s="26"/>
      <c r="E126" s="26"/>
      <c r="F126" s="26"/>
      <c r="G126" s="26"/>
      <c r="H126" s="30">
        <f>Inputs!H200</f>
        <v>0</v>
      </c>
      <c r="I126" s="1"/>
    </row>
    <row r="127">
      <c r="B127" s="1" t="s">
        <v>69</v>
      </c>
      <c r="C127" s="26"/>
      <c r="D127" s="26"/>
      <c r="E127" s="26"/>
      <c r="F127" s="26"/>
      <c r="G127" s="26"/>
      <c r="H127" s="31">
        <f>(1+H124)/((1+H125)*(1+H126))-1</f>
        <v>-0.030000000000000027</v>
      </c>
      <c r="I127" s="1"/>
    </row>
    <row r="128">
      <c r="B128" s="1" t="s">
        <v>75</v>
      </c>
      <c r="C128" s="1"/>
      <c r="D128" s="1"/>
      <c r="E128" s="1"/>
      <c r="F128" s="1"/>
      <c r="G128" s="1"/>
      <c r="H128" s="6">
        <f>H123-F123</f>
        <v>139.63</v>
      </c>
      <c r="I128" s="1"/>
    </row>
    <row r="129">
      <c r="B129" s="1"/>
      <c r="C129" s="1"/>
      <c r="D129" s="1"/>
      <c r="E129" s="1"/>
      <c r="F129" s="1"/>
      <c r="G129" s="1"/>
      <c r="H129" s="14"/>
      <c r="I129" s="1"/>
    </row>
    <row r="130">
      <c r="B130" s="1"/>
      <c r="C130" s="1"/>
      <c r="D130" s="1"/>
      <c r="E130" s="1"/>
      <c r="F130" s="1"/>
      <c r="G130" s="1"/>
      <c r="H130" s="14"/>
      <c r="I130" s="1"/>
    </row>
    <row r="131">
      <c r="B131" s="1"/>
      <c r="C131" s="1"/>
      <c r="D131" s="1"/>
      <c r="E131" s="1"/>
      <c r="F131" s="1"/>
      <c r="G131" s="1"/>
      <c r="H131" s="14"/>
      <c r="I131" s="1"/>
    </row>
    <row r="132">
      <c r="B132" s="1"/>
      <c r="C132" s="1"/>
      <c r="D132" s="1"/>
      <c r="E132" s="1"/>
      <c r="F132" s="1"/>
      <c r="G132" s="1"/>
      <c r="H132" s="14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84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85</v>
      </c>
      <c r="C9" s="2"/>
      <c r="D9" s="2"/>
      <c r="E9" s="2"/>
      <c r="F9" s="2"/>
      <c r="G9" s="2"/>
      <c r="H9" s="6"/>
      <c r="I9" s="1" t="s">
        <v>86</v>
      </c>
    </row>
    <row r="10">
      <c r="B10" s="1" t="s">
        <v>87</v>
      </c>
      <c r="C10" s="2" t="s">
        <v>26</v>
      </c>
      <c r="D10" s="2">
        <f>C14</f>
        <v>15.744000000000002</v>
      </c>
      <c r="E10" s="2">
        <f>D14</f>
        <v>15.424000000000001</v>
      </c>
      <c r="F10" s="2">
        <f>E14</f>
        <v>15.168</v>
      </c>
      <c r="G10" s="2" t="s">
        <v>26</v>
      </c>
      <c r="H10" s="6">
        <f>F14</f>
        <v>15.808</v>
      </c>
      <c r="I10" s="1"/>
    </row>
    <row r="11">
      <c r="B11" s="1" t="s">
        <v>88</v>
      </c>
      <c r="C11" s="2" t="s">
        <v>26</v>
      </c>
      <c r="D11" s="10">
        <f>MAX(D15-D10,Inputs!H200)</f>
        <v>0</v>
      </c>
      <c r="E11" s="10">
        <f>MAX(E15-E10,Inputs!H200)</f>
        <v>0</v>
      </c>
      <c r="F11" s="10">
        <f>MAX(F15-F10,Inputs!H200)</f>
        <v>0.6400000000000006</v>
      </c>
      <c r="G11" s="2" t="s">
        <v>26</v>
      </c>
      <c r="H11" s="27">
        <f>MAX(H15-H10,Inputs!H200)</f>
        <v>0.1280000000000001</v>
      </c>
      <c r="I11" s="1" t="s">
        <v>89</v>
      </c>
    </row>
    <row r="12">
      <c r="B12" s="1" t="s">
        <v>90</v>
      </c>
      <c r="C12" s="2" t="s">
        <v>26</v>
      </c>
      <c r="D12" s="10">
        <f>MIN(D15-D10,Inputs!H200)</f>
        <v>-0.3200000000000003</v>
      </c>
      <c r="E12" s="10">
        <f>MIN(E15-E10,Inputs!H200)</f>
        <v>-0.256000000000002</v>
      </c>
      <c r="F12" s="10">
        <f>MIN(F15-F10,Inputs!H200)</f>
        <v>0</v>
      </c>
      <c r="G12" s="2" t="s">
        <v>26</v>
      </c>
      <c r="H12" s="27">
        <f>MIN(H15-H10,Inputs!H200)</f>
        <v>0</v>
      </c>
      <c r="I12" s="1" t="s">
        <v>91</v>
      </c>
    </row>
    <row r="13">
      <c r="B13" s="1" t="s">
        <v>92</v>
      </c>
      <c r="C13" s="2"/>
      <c r="D13" s="2">
        <f>SUM(D11:D12)</f>
        <v>-0.3200000000000003</v>
      </c>
      <c r="E13" s="2">
        <f>SUM(E11:E12)</f>
        <v>-0.256000000000002</v>
      </c>
      <c r="F13" s="2">
        <f>SUM(F11:F12)</f>
        <v>0.6400000000000006</v>
      </c>
      <c r="G13" s="2"/>
      <c r="H13" s="6">
        <f>SUM(H11:H12)</f>
        <v>0.1280000000000001</v>
      </c>
      <c r="I13" s="1"/>
    </row>
    <row r="14">
      <c r="B14" s="1" t="s">
        <v>93</v>
      </c>
      <c r="C14" s="2">
        <f>C15</f>
        <v>15.744000000000002</v>
      </c>
      <c r="D14" s="2">
        <f>D10+D13</f>
        <v>15.424000000000001</v>
      </c>
      <c r="E14" s="2">
        <f>E10+E13</f>
        <v>15.168</v>
      </c>
      <c r="F14" s="2">
        <f>F10+F13</f>
        <v>15.808</v>
      </c>
      <c r="G14" s="2">
        <f>G15</f>
        <v>61.76</v>
      </c>
      <c r="H14" s="6">
        <f>H10+H13</f>
        <v>15.936</v>
      </c>
      <c r="I14" s="1"/>
    </row>
    <row r="15">
      <c r="B15" s="1" t="s">
        <v>94</v>
      </c>
      <c r="C15" s="10">
        <f>Inputs!C127*Inputs!H201</f>
        <v>15.744000000000002</v>
      </c>
      <c r="D15" s="10">
        <f>Inputs!D127*Inputs!H201</f>
        <v>15.424000000000001</v>
      </c>
      <c r="E15" s="10">
        <f>Inputs!E127*Inputs!H201</f>
        <v>15.168</v>
      </c>
      <c r="F15" s="10">
        <f>Inputs!F127*Inputs!H201</f>
        <v>15.808</v>
      </c>
      <c r="G15" s="10">
        <f>Inputs!G127*Inputs!H201</f>
        <v>61.76</v>
      </c>
      <c r="H15" s="27">
        <f>Inputs!H191*Inputs!H201</f>
        <v>15.936</v>
      </c>
      <c r="I15" s="1"/>
    </row>
    <row r="16">
      <c r="B16" s="1" t="s">
        <v>95</v>
      </c>
      <c r="C16" s="26"/>
      <c r="D16" s="26"/>
      <c r="E16" s="26"/>
      <c r="F16" s="26">
        <f>IFERROR(F15/$C15-1,0)</f>
        <v>0.00406504065040636</v>
      </c>
      <c r="G16" s="26"/>
      <c r="H16" s="31">
        <f>H15/C15-1</f>
        <v>0.012195121951219301</v>
      </c>
      <c r="I16" s="1"/>
    </row>
    <row r="17">
      <c r="B17" s="1" t="s">
        <v>96</v>
      </c>
      <c r="C17" s="2"/>
      <c r="D17" s="2"/>
      <c r="E17" s="2"/>
      <c r="F17" s="2"/>
      <c r="G17" s="2"/>
      <c r="H17" s="6">
        <f>H15-F15</f>
        <v>0.1280000000000001</v>
      </c>
      <c r="I17" s="1"/>
    </row>
    <row r="18">
      <c r="B18" s="1" t="s">
        <v>97</v>
      </c>
      <c r="C18" s="10">
        <f>Inputs!C126*Inputs!H201</f>
        <v>17.6</v>
      </c>
      <c r="D18" s="10">
        <f>Inputs!D126*Inputs!H201</f>
        <v>15.744000000000002</v>
      </c>
      <c r="E18" s="10">
        <f>Inputs!E126*Inputs!H201</f>
        <v>15.616</v>
      </c>
      <c r="F18" s="10">
        <f>Inputs!F126*Inputs!H201</f>
        <v>16.448</v>
      </c>
      <c r="G18" s="10">
        <f>Inputs!G126*Inputs!H201</f>
        <v>65.08800000000001</v>
      </c>
      <c r="H18" s="27">
        <f>Inputs!H192*Inputs!H201</f>
        <v>17.7792</v>
      </c>
      <c r="I18" s="1"/>
    </row>
    <row r="19">
      <c r="B19" s="1" t="s">
        <v>98</v>
      </c>
      <c r="C19" s="26"/>
      <c r="D19" s="26"/>
      <c r="E19" s="26"/>
      <c r="F19" s="26"/>
      <c r="G19" s="26"/>
      <c r="H19" s="31">
        <f>H18/C18-1</f>
        <v>0.01018181818181807</v>
      </c>
      <c r="I19" s="1"/>
    </row>
    <row r="20">
      <c r="B20" s="1" t="s">
        <v>99</v>
      </c>
      <c r="C20" s="2"/>
      <c r="D20" s="2"/>
      <c r="E20" s="2"/>
      <c r="F20" s="2"/>
      <c r="G20" s="2"/>
      <c r="H20" s="6">
        <f>H18-F18</f>
        <v>1.331199999999999</v>
      </c>
      <c r="I20" s="1"/>
    </row>
    <row r="21">
      <c r="B21" s="1" t="s">
        <v>100</v>
      </c>
      <c r="C21" s="26">
        <f>C18/C15</f>
        <v>1.1178861788617886</v>
      </c>
      <c r="D21" s="26">
        <f>D18/D15</f>
        <v>1.020746887966805</v>
      </c>
      <c r="E21" s="26">
        <f>E18/E15</f>
        <v>1.029535864978903</v>
      </c>
      <c r="F21" s="26">
        <f>F18/F15</f>
        <v>1.040485829959514</v>
      </c>
      <c r="G21" s="26">
        <f>G18/G15</f>
        <v>1.0538860103626944</v>
      </c>
      <c r="H21" s="31">
        <f>H18/H15</f>
        <v>1.1156626506024097</v>
      </c>
      <c r="I21" s="1"/>
    </row>
    <row r="22">
      <c r="B22" s="1" t="s">
        <v>101</v>
      </c>
      <c r="C22" s="2"/>
      <c r="D22" s="2"/>
      <c r="E22" s="2"/>
      <c r="F22" s="2">
        <f>(F21-$C21)*10000</f>
        <v>-774.0034890227454</v>
      </c>
      <c r="G22" s="2"/>
      <c r="H22" s="6">
        <f>(H21-C21)*10000</f>
        <v>-22.23528259378993</v>
      </c>
      <c r="I22" s="1"/>
    </row>
    <row r="23">
      <c r="B23" s="1" t="s">
        <v>65</v>
      </c>
      <c r="C23" s="10">
        <f>C31*Inputs!H203</f>
        <v>3676.3691606532475</v>
      </c>
      <c r="D23" s="10">
        <f>D31*Inputs!H203</f>
        <v>2842.5180402582605</v>
      </c>
      <c r="E23" s="10">
        <f>E31*Inputs!H203</f>
        <v>2762.7763007975695</v>
      </c>
      <c r="F23" s="10">
        <f>F31*Inputs!H203</f>
        <v>3032.9358146600835</v>
      </c>
      <c r="G23" s="10">
        <f>G31*Inputs!H203</f>
        <v>12101.496391948347</v>
      </c>
      <c r="H23" s="27">
        <f>H18*C24*(1+Inputs!H170)</f>
        <v>3775.6311279908837</v>
      </c>
      <c r="I23" s="1"/>
    </row>
    <row r="24">
      <c r="B24" s="1" t="s">
        <v>102</v>
      </c>
      <c r="C24" s="2">
        <f>C23/C18</f>
        <v>208.88461140075268</v>
      </c>
      <c r="D24" s="2">
        <f>D23/D18</f>
        <v>180.54611536193218</v>
      </c>
      <c r="E24" s="2">
        <f>E23/E18</f>
        <v>176.9195889342706</v>
      </c>
      <c r="F24" s="2">
        <f>F23/F18</f>
        <v>184.39541674732996</v>
      </c>
      <c r="G24" s="2">
        <f>G23/G18</f>
        <v>185.9251535144473</v>
      </c>
      <c r="H24" s="6">
        <f>H23/H18</f>
        <v>212.36226196852974</v>
      </c>
      <c r="I24" s="1"/>
    </row>
    <row r="25">
      <c r="B25" s="1" t="s">
        <v>103</v>
      </c>
      <c r="C25" s="26"/>
      <c r="D25" s="26"/>
      <c r="E25" s="26"/>
      <c r="F25" s="26">
        <f>IFERROR(F24/$C24-1,0)</f>
        <v>-0.11723790703968762</v>
      </c>
      <c r="G25" s="26"/>
      <c r="H25" s="31">
        <f>H24/C24-1</f>
        <v>0.01664866810655119</v>
      </c>
      <c r="I25" s="1"/>
    </row>
    <row r="26">
      <c r="B26" s="1" t="s">
        <v>71</v>
      </c>
      <c r="C26" s="2">
        <f>C31-C23</f>
        <v>1671.6308393467525</v>
      </c>
      <c r="D26" s="2">
        <f>D31-D23</f>
        <v>1292.4819597417395</v>
      </c>
      <c r="E26" s="2">
        <f>E31-E23</f>
        <v>1256.2236992024305</v>
      </c>
      <c r="F26" s="2">
        <f>F31-F23</f>
        <v>1379.0641853399165</v>
      </c>
      <c r="G26" s="2">
        <f>G31-G23</f>
        <v>5502.503608051653</v>
      </c>
      <c r="H26" s="27">
        <f>H18*C27*(1+Inputs!H170)</f>
        <v>1716.7648720091142</v>
      </c>
      <c r="I26" s="1"/>
    </row>
    <row r="27">
      <c r="B27" s="1" t="s">
        <v>104</v>
      </c>
      <c r="C27" s="2">
        <f>C26/C18</f>
        <v>94.97902496288366</v>
      </c>
      <c r="D27" s="2">
        <f>D26/D18</f>
        <v>82.09362041042552</v>
      </c>
      <c r="E27" s="2">
        <f>E26/E18</f>
        <v>80.4446528690081</v>
      </c>
      <c r="F27" s="2">
        <f>F26/F18</f>
        <v>83.84388286356496</v>
      </c>
      <c r="G27" s="2">
        <f>G26/G18</f>
        <v>84.53944825546418</v>
      </c>
      <c r="H27" s="6">
        <f>H26/H18</f>
        <v>96.56029922657456</v>
      </c>
      <c r="I27" s="1"/>
    </row>
    <row r="28">
      <c r="B28" s="1" t="s">
        <v>105</v>
      </c>
      <c r="C28" s="26"/>
      <c r="D28" s="26"/>
      <c r="E28" s="26"/>
      <c r="F28" s="26">
        <f>IFERROR(F27/$C27-1,0)</f>
        <v>-0.1172379070396874</v>
      </c>
      <c r="G28" s="26"/>
      <c r="H28" s="31">
        <f>H27/C27-1</f>
        <v>0.01664866810655119</v>
      </c>
      <c r="I28" s="1"/>
    </row>
    <row r="29">
      <c r="B29" s="16" t="s">
        <v>106</v>
      </c>
      <c r="C29" s="4">
        <f>SUM(C23,C26)</f>
        <v>5348</v>
      </c>
      <c r="D29" s="4">
        <f>SUM(D23,D26)</f>
        <v>4135</v>
      </c>
      <c r="E29" s="4">
        <f>SUM(E23,E26)</f>
        <v>4019</v>
      </c>
      <c r="F29" s="4">
        <f>SUM(F23,F26)</f>
        <v>4412</v>
      </c>
      <c r="G29" s="4">
        <f>SUM(G23,G26)</f>
        <v>17604</v>
      </c>
      <c r="H29" s="9">
        <f>SUM(H23,H26)</f>
        <v>5492.395999999998</v>
      </c>
      <c r="I29" s="1"/>
    </row>
    <row r="30">
      <c r="B30" s="1" t="s">
        <v>107</v>
      </c>
      <c r="C30" s="2"/>
      <c r="D30" s="2"/>
      <c r="E30" s="2"/>
      <c r="F30" s="2"/>
      <c r="G30" s="2"/>
      <c r="H30" s="27">
        <f>Inputs!H200</f>
        <v>0</v>
      </c>
      <c r="I30" s="1"/>
    </row>
    <row r="31">
      <c r="B31" s="16" t="s">
        <v>108</v>
      </c>
      <c r="C31" s="17">
        <f>Inputs!C100</f>
        <v>5348</v>
      </c>
      <c r="D31" s="17">
        <f>Inputs!D100</f>
        <v>4135</v>
      </c>
      <c r="E31" s="17">
        <f>Inputs!E100</f>
        <v>4019</v>
      </c>
      <c r="F31" s="17">
        <f>Inputs!F100</f>
        <v>4412</v>
      </c>
      <c r="G31" s="17">
        <f>Inputs!G100</f>
        <v>17604</v>
      </c>
      <c r="H31" s="9">
        <f>H23+H26+H30</f>
        <v>5492.395999999998</v>
      </c>
      <c r="I31" s="1"/>
    </row>
    <row r="32">
      <c r="B32" s="1" t="s">
        <v>109</v>
      </c>
      <c r="C32" s="26"/>
      <c r="D32" s="26"/>
      <c r="E32" s="26"/>
      <c r="F32" s="26">
        <f>F35</f>
        <v>-0.17501869857890795</v>
      </c>
      <c r="G32" s="26"/>
      <c r="H32" s="31">
        <f>(1+H35)/((1+H33)*(1+H34))-1</f>
        <v>0.02699999999999969</v>
      </c>
      <c r="I32" s="1"/>
    </row>
    <row r="33">
      <c r="B33" s="1" t="s">
        <v>110</v>
      </c>
      <c r="C33" s="26"/>
      <c r="D33" s="26"/>
      <c r="E33" s="26"/>
      <c r="F33" s="26"/>
      <c r="G33" s="26"/>
      <c r="H33" s="30">
        <f>Inputs!H200</f>
        <v>0</v>
      </c>
      <c r="I33" s="1"/>
    </row>
    <row r="34">
      <c r="B34" s="1" t="s">
        <v>111</v>
      </c>
      <c r="C34" s="26"/>
      <c r="D34" s="26"/>
      <c r="E34" s="26"/>
      <c r="F34" s="26"/>
      <c r="G34" s="26"/>
      <c r="H34" s="30">
        <f>Inputs!H200</f>
        <v>0</v>
      </c>
      <c r="I34" s="1"/>
    </row>
    <row r="35">
      <c r="B35" s="1" t="s">
        <v>112</v>
      </c>
      <c r="C35" s="26"/>
      <c r="D35" s="26"/>
      <c r="E35" s="26"/>
      <c r="F35" s="26">
        <f>F31/$C31-1</f>
        <v>-0.17501869857890795</v>
      </c>
      <c r="G35" s="26"/>
      <c r="H35" s="31">
        <f>H31/$C31-1</f>
        <v>0.02699999999999969</v>
      </c>
      <c r="I35" s="1"/>
    </row>
    <row r="36">
      <c r="B36" s="1" t="s">
        <v>113</v>
      </c>
      <c r="C36" s="26"/>
      <c r="D36" s="26">
        <f>IFERROR(D31/C31-1,0)</f>
        <v>-0.22681376215407634</v>
      </c>
      <c r="E36" s="26">
        <f>IFERROR(E31/D31-1,0)</f>
        <v>-0.02805320435308345</v>
      </c>
      <c r="F36" s="26">
        <f>IFERROR(F31/E31-1,0)</f>
        <v>0.09778551878576769</v>
      </c>
      <c r="G36" s="26"/>
      <c r="H36" s="31">
        <f>H31/F31-1</f>
        <v>0.2448766999093377</v>
      </c>
      <c r="I36" s="1"/>
    </row>
    <row r="37">
      <c r="B37" s="1" t="s">
        <v>114</v>
      </c>
      <c r="C37" s="15">
        <f>C31/'Revenue summary'!C18</f>
        <v>0.655954863240525</v>
      </c>
      <c r="D37" s="15">
        <f>D31/'Revenue summary'!D18</f>
        <v>0.6532385466034755</v>
      </c>
      <c r="E37" s="15">
        <f>E31/'Revenue summary'!E18</f>
        <v>0.6519059205190592</v>
      </c>
      <c r="F37" s="15">
        <f>F31/'Revenue summary'!F18</f>
        <v>0.6621641903046676</v>
      </c>
      <c r="G37" s="15">
        <f>G31/'Revenue summary'!G18</f>
        <v>0.6612576064908722</v>
      </c>
      <c r="H37" s="30">
        <f>H31/'Revenue summary'!H18</f>
        <v>0.6570723317243877</v>
      </c>
      <c r="I37" s="1"/>
    </row>
    <row r="38">
      <c r="B38" s="1" t="s">
        <v>115</v>
      </c>
      <c r="C38" s="10">
        <f>Inputs!C220</f>
        <v>2935</v>
      </c>
      <c r="D38" s="10">
        <f>Inputs!D220</f>
        <v>2620</v>
      </c>
      <c r="E38" s="10">
        <f>Inputs!E220</f>
        <v>2452</v>
      </c>
      <c r="F38" s="10">
        <f>Inputs!F220</f>
        <v>2784</v>
      </c>
      <c r="G38" s="10">
        <f>Inputs!G220</f>
        <v>10591</v>
      </c>
      <c r="H38" s="27">
        <f>C38*'Income Statement'!H22/'Income Statement'!C22</f>
        <v>3159.56598631699</v>
      </c>
      <c r="I38" s="1"/>
    </row>
    <row r="39">
      <c r="B39" s="1" t="s">
        <v>116</v>
      </c>
      <c r="C39" s="10">
        <f>Inputs!C221</f>
        <v>436</v>
      </c>
      <c r="D39" s="10">
        <f>Inputs!D221</f>
        <v>532</v>
      </c>
      <c r="E39" s="10">
        <f>Inputs!E221</f>
        <v>537</v>
      </c>
      <c r="F39" s="10">
        <f>Inputs!F221</f>
        <v>493</v>
      </c>
      <c r="G39" s="10">
        <f>Inputs!G221</f>
        <v>1962</v>
      </c>
      <c r="H39" s="27">
        <f>C39*'Income Statement'!H23/'Income Statement'!C23</f>
        <v>444.72</v>
      </c>
      <c r="I39" s="1"/>
    </row>
    <row r="40">
      <c r="B40" s="1" t="s">
        <v>117</v>
      </c>
      <c r="C40" s="10">
        <f>Inputs!C222</f>
        <v>461</v>
      </c>
      <c r="D40" s="10">
        <f>Inputs!D222</f>
        <v>473</v>
      </c>
      <c r="E40" s="10">
        <f>Inputs!E222</f>
        <v>460</v>
      </c>
      <c r="F40" s="10">
        <f>Inputs!F222</f>
        <v>477</v>
      </c>
      <c r="G40" s="10">
        <f>Inputs!G222</f>
        <v>1818</v>
      </c>
      <c r="H40" s="27">
        <f>C40*'Income Statement'!H24/'Income Statement'!C24</f>
        <v>475.78800557880055</v>
      </c>
      <c r="I40" s="1"/>
    </row>
    <row r="41">
      <c r="B41" s="16" t="s">
        <v>118</v>
      </c>
      <c r="C41" s="4">
        <f>C31-SUM(C38:C40)+C44</f>
        <v>1515</v>
      </c>
      <c r="D41" s="4">
        <f>D31-SUM(D38:D40)+D44</f>
        <v>510</v>
      </c>
      <c r="E41" s="4">
        <f>E31-SUM(E38:E40)+E44</f>
        <v>569</v>
      </c>
      <c r="F41" s="4">
        <f>F31-SUM(F38:F40)+F44</f>
        <v>658</v>
      </c>
      <c r="G41" s="4">
        <f>G31-SUM(G38:G40)+G44</f>
        <v>3233</v>
      </c>
      <c r="H41" s="9">
        <f>H31-SUM(H38:H40)</f>
        <v>1412.3220081042073</v>
      </c>
      <c r="I41" s="1"/>
    </row>
    <row r="42">
      <c r="B42" s="1" t="s">
        <v>119</v>
      </c>
      <c r="C42" s="26">
        <f>IFERROR(C41/C31,0)</f>
        <v>0.2832834704562453</v>
      </c>
      <c r="D42" s="26">
        <f>IFERROR(D41/D31,0)</f>
        <v>0.12333736396614269</v>
      </c>
      <c r="E42" s="26">
        <f>IFERROR(E41/E31,0)</f>
        <v>0.14157750684249815</v>
      </c>
      <c r="F42" s="26">
        <f>IFERROR(F41/F31,0)</f>
        <v>0.14913871260199457</v>
      </c>
      <c r="G42" s="26">
        <f>IFERROR(G41/G31,0)</f>
        <v>0.18365144285389684</v>
      </c>
      <c r="H42" s="31">
        <f>H41/H31</f>
        <v>0.2571413292312149</v>
      </c>
      <c r="I42" s="1"/>
    </row>
    <row r="43">
      <c r="B43" s="1" t="s">
        <v>120</v>
      </c>
      <c r="C43" s="2"/>
      <c r="D43" s="2"/>
      <c r="E43" s="2"/>
      <c r="F43" s="2"/>
      <c r="G43" s="2"/>
      <c r="H43" s="6">
        <f>(H42-C42)*10000</f>
        <v>-261.4214122503039</v>
      </c>
      <c r="I43" s="1"/>
    </row>
    <row r="44">
      <c r="B44" s="1" t="s">
        <v>121</v>
      </c>
      <c r="C44" s="10">
        <f>Inputs!C223-C31+SUM(C38:C40)</f>
        <v>-1</v>
      </c>
      <c r="D44" s="10">
        <f>Inputs!D223-D31+SUM(D38:D40)</f>
        <v>0</v>
      </c>
      <c r="E44" s="10">
        <f>Inputs!E223-E31+SUM(E38:E40)</f>
        <v>-1</v>
      </c>
      <c r="F44" s="10">
        <f>Inputs!F223-F31+SUM(F38:F40)</f>
        <v>0</v>
      </c>
      <c r="G44" s="10">
        <f>Inputs!G223-G31+SUM(G38:G40)</f>
        <v>0</v>
      </c>
      <c r="H44" s="27">
        <f>Inputs!H200</f>
        <v>0</v>
      </c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 t="s">
        <v>122</v>
      </c>
      <c r="C47" s="2"/>
      <c r="D47" s="2"/>
      <c r="E47" s="2"/>
      <c r="F47" s="2"/>
      <c r="G47" s="2"/>
      <c r="H47" s="6"/>
      <c r="I47" s="1"/>
    </row>
    <row r="48">
      <c r="B48" s="1" t="s">
        <v>73</v>
      </c>
      <c r="C48" s="2">
        <f>C15</f>
        <v>15.744000000000002</v>
      </c>
      <c r="D48" s="2">
        <f>D15</f>
        <v>15.424000000000001</v>
      </c>
      <c r="E48" s="2">
        <f>E15</f>
        <v>15.168</v>
      </c>
      <c r="F48" s="2">
        <f>F15</f>
        <v>15.808</v>
      </c>
      <c r="G48" s="2">
        <f>G15</f>
        <v>61.76</v>
      </c>
      <c r="H48" s="6">
        <f>H15</f>
        <v>15.936</v>
      </c>
      <c r="I48" s="1"/>
    </row>
    <row r="49">
      <c r="B49" s="1" t="s">
        <v>74</v>
      </c>
      <c r="C49" s="26"/>
      <c r="D49" s="26"/>
      <c r="E49" s="26"/>
      <c r="F49" s="26"/>
      <c r="G49" s="26"/>
      <c r="H49" s="31">
        <f>IFERROR(H15/C15-1,0)</f>
        <v>0.012195121951219301</v>
      </c>
      <c r="I49" s="1"/>
    </row>
    <row r="50">
      <c r="B50" s="1" t="s">
        <v>75</v>
      </c>
      <c r="C50" s="2"/>
      <c r="D50" s="2">
        <f>D15-C15</f>
        <v>-0.3200000000000003</v>
      </c>
      <c r="E50" s="2">
        <f>E15-D15</f>
        <v>-0.256000000000002</v>
      </c>
      <c r="F50" s="2">
        <f>F15-E15</f>
        <v>0.6400000000000006</v>
      </c>
      <c r="G50" s="2"/>
      <c r="H50" s="6">
        <f>H15-F15</f>
        <v>0.1280000000000001</v>
      </c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 t="s">
        <v>123</v>
      </c>
      <c r="C52" s="2">
        <f>C18</f>
        <v>17.6</v>
      </c>
      <c r="D52" s="2">
        <f>D18</f>
        <v>15.744000000000002</v>
      </c>
      <c r="E52" s="2">
        <f>E18</f>
        <v>15.616</v>
      </c>
      <c r="F52" s="2">
        <f>F18</f>
        <v>16.448</v>
      </c>
      <c r="G52" s="2">
        <f>G18</f>
        <v>65.08800000000001</v>
      </c>
      <c r="H52" s="6">
        <f>H18</f>
        <v>17.7792</v>
      </c>
      <c r="I52" s="1"/>
    </row>
    <row r="53">
      <c r="B53" s="1" t="s">
        <v>74</v>
      </c>
      <c r="C53" s="26"/>
      <c r="D53" s="26"/>
      <c r="E53" s="26"/>
      <c r="F53" s="26"/>
      <c r="G53" s="26"/>
      <c r="H53" s="31">
        <f>IFERROR(H18/C18-1,0)</f>
        <v>0.01018181818181807</v>
      </c>
      <c r="I53" s="1"/>
    </row>
    <row r="54">
      <c r="B54" s="1" t="s">
        <v>75</v>
      </c>
      <c r="C54" s="2"/>
      <c r="D54" s="2">
        <f>D18-C18</f>
        <v>-1.8559999999999999</v>
      </c>
      <c r="E54" s="2">
        <f>E18-D18</f>
        <v>-0.1280000000000019</v>
      </c>
      <c r="F54" s="2">
        <f>F18-E18</f>
        <v>0.8320000000000007</v>
      </c>
      <c r="G54" s="2"/>
      <c r="H54" s="6">
        <f>H18-F18</f>
        <v>1.331199999999999</v>
      </c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 t="s">
        <v>77</v>
      </c>
      <c r="C56" s="26">
        <f>C21</f>
        <v>1.1178861788617886</v>
      </c>
      <c r="D56" s="26">
        <f>D21</f>
        <v>1.020746887966805</v>
      </c>
      <c r="E56" s="26">
        <f>E21</f>
        <v>1.029535864978903</v>
      </c>
      <c r="F56" s="26">
        <f>F21</f>
        <v>1.040485829959514</v>
      </c>
      <c r="G56" s="26">
        <f>G21</f>
        <v>1.0538860103626944</v>
      </c>
      <c r="H56" s="31">
        <f>H21</f>
        <v>1.1156626506024097</v>
      </c>
      <c r="I56" s="1"/>
    </row>
    <row r="57">
      <c r="B57" s="1" t="s">
        <v>78</v>
      </c>
      <c r="C57" s="32"/>
      <c r="D57" s="32"/>
      <c r="E57" s="32"/>
      <c r="F57" s="32"/>
      <c r="G57" s="32"/>
      <c r="H57" s="40">
        <f>(H21-C21)*10000</f>
        <v>-22.23528259378993</v>
      </c>
      <c r="I57" s="1"/>
    </row>
    <row r="58">
      <c r="B58" s="1" t="s">
        <v>79</v>
      </c>
      <c r="C58" s="32"/>
      <c r="D58" s="32">
        <f>(D21-C21)*10000</f>
        <v>-971.3929089498374</v>
      </c>
      <c r="E58" s="32">
        <f>(E21-D21)*10000</f>
        <v>87.88977012098131</v>
      </c>
      <c r="F58" s="32">
        <f>(F21-E21)*10000</f>
        <v>109.49964980611071</v>
      </c>
      <c r="G58" s="32"/>
      <c r="H58" s="40">
        <f>(H21-F21)*10000</f>
        <v>751.7682064289555</v>
      </c>
      <c r="I58" s="1"/>
    </row>
    <row r="59">
      <c r="B59" s="1"/>
      <c r="C59" s="1"/>
      <c r="D59" s="1"/>
      <c r="E59" s="1"/>
      <c r="F59" s="1"/>
      <c r="G59" s="1"/>
      <c r="H59" s="14"/>
      <c r="I59" s="1"/>
    </row>
    <row r="60">
      <c r="B60" s="1" t="s">
        <v>124</v>
      </c>
      <c r="C60" s="2">
        <f>C24</f>
        <v>208.88461140075268</v>
      </c>
      <c r="D60" s="2">
        <f>D24</f>
        <v>180.54611536193218</v>
      </c>
      <c r="E60" s="2">
        <f>E24</f>
        <v>176.9195889342706</v>
      </c>
      <c r="F60" s="2">
        <f>F24</f>
        <v>184.39541674732996</v>
      </c>
      <c r="G60" s="2">
        <f>G24</f>
        <v>185.9251535144473</v>
      </c>
      <c r="H60" s="6">
        <f>H24</f>
        <v>212.36226196852974</v>
      </c>
      <c r="I60" s="1"/>
    </row>
    <row r="61">
      <c r="B61" s="1" t="s">
        <v>74</v>
      </c>
      <c r="C61" s="26"/>
      <c r="D61" s="26"/>
      <c r="E61" s="26"/>
      <c r="F61" s="26"/>
      <c r="G61" s="26"/>
      <c r="H61" s="31">
        <f>IFERROR(H24/C24-1,0)</f>
        <v>0.01664866810655119</v>
      </c>
      <c r="I61" s="1"/>
    </row>
    <row r="62">
      <c r="B62" s="1" t="s">
        <v>75</v>
      </c>
      <c r="C62" s="1"/>
      <c r="D62" s="2">
        <f>D24-C24</f>
        <v>-28.338496038820495</v>
      </c>
      <c r="E62" s="2">
        <f>E24-D24</f>
        <v>-3.626526427661588</v>
      </c>
      <c r="F62" s="2">
        <f>F24-E24</f>
        <v>7.475827813059368</v>
      </c>
      <c r="G62" s="1"/>
      <c r="H62" s="6">
        <f>H24-F24</f>
        <v>27.966845221199776</v>
      </c>
      <c r="I62" s="1"/>
    </row>
    <row r="63">
      <c r="B63" s="1"/>
      <c r="C63" s="1"/>
      <c r="D63" s="1"/>
      <c r="E63" s="1"/>
      <c r="F63" s="1"/>
      <c r="G63" s="1"/>
      <c r="H63" s="14"/>
      <c r="I63" s="1"/>
    </row>
    <row r="64">
      <c r="B64" s="1" t="s">
        <v>125</v>
      </c>
      <c r="C64" s="2">
        <f>C27</f>
        <v>94.97902496288366</v>
      </c>
      <c r="D64" s="2">
        <f>D27</f>
        <v>82.09362041042552</v>
      </c>
      <c r="E64" s="2">
        <f>E27</f>
        <v>80.4446528690081</v>
      </c>
      <c r="F64" s="2">
        <f>F27</f>
        <v>83.84388286356496</v>
      </c>
      <c r="G64" s="2">
        <f>G27</f>
        <v>84.53944825546418</v>
      </c>
      <c r="H64" s="6">
        <f>H27</f>
        <v>96.56029922657456</v>
      </c>
      <c r="I64" s="1"/>
    </row>
    <row r="65">
      <c r="B65" s="1" t="s">
        <v>74</v>
      </c>
      <c r="C65" s="26"/>
      <c r="D65" s="26"/>
      <c r="E65" s="26"/>
      <c r="F65" s="26"/>
      <c r="G65" s="26"/>
      <c r="H65" s="31">
        <f>IFERROR(H27/C27-1,0)</f>
        <v>0.01664866810655119</v>
      </c>
      <c r="I65" s="1"/>
    </row>
    <row r="66">
      <c r="B66" s="1" t="s">
        <v>75</v>
      </c>
      <c r="C66" s="1"/>
      <c r="D66" s="2">
        <f>D27-C27</f>
        <v>-12.88540455245814</v>
      </c>
      <c r="E66" s="2">
        <f>E27-D27</f>
        <v>-1.64896754141742</v>
      </c>
      <c r="F66" s="2">
        <f>F27-E27</f>
        <v>3.399229994556862</v>
      </c>
      <c r="G66" s="1"/>
      <c r="H66" s="6">
        <f>H27-F27</f>
        <v>12.7164163630096</v>
      </c>
      <c r="I66" s="1"/>
    </row>
    <row r="67">
      <c r="B67" s="1"/>
      <c r="C67" s="1"/>
      <c r="D67" s="1"/>
      <c r="E67" s="1"/>
      <c r="F67" s="1"/>
      <c r="G67" s="1"/>
      <c r="H67" s="14"/>
      <c r="I67" s="1"/>
    </row>
    <row r="68">
      <c r="B68" s="1" t="s">
        <v>126</v>
      </c>
      <c r="C68" s="2">
        <f>C31</f>
        <v>5348</v>
      </c>
      <c r="D68" s="2">
        <f>D31</f>
        <v>4135</v>
      </c>
      <c r="E68" s="2">
        <f>E31</f>
        <v>4019</v>
      </c>
      <c r="F68" s="2">
        <f>F31</f>
        <v>4412</v>
      </c>
      <c r="G68" s="2">
        <f>G31</f>
        <v>17604</v>
      </c>
      <c r="H68" s="6">
        <f>H31</f>
        <v>5492.395999999998</v>
      </c>
      <c r="I68" s="1"/>
    </row>
    <row r="69">
      <c r="B69" s="1" t="s">
        <v>74</v>
      </c>
      <c r="C69" s="26"/>
      <c r="D69" s="26"/>
      <c r="E69" s="26"/>
      <c r="F69" s="26"/>
      <c r="G69" s="26"/>
      <c r="H69" s="31">
        <f>IFERROR(H31/C31-1,0)</f>
        <v>0.02699999999999969</v>
      </c>
      <c r="I69" s="1"/>
    </row>
    <row r="70">
      <c r="B70" s="1" t="s">
        <v>75</v>
      </c>
      <c r="C70" s="1"/>
      <c r="D70" s="2">
        <f>D31-C31</f>
        <v>-1213</v>
      </c>
      <c r="E70" s="2">
        <f>E31-D31</f>
        <v>-116</v>
      </c>
      <c r="F70" s="2">
        <f>F31-E31</f>
        <v>393</v>
      </c>
      <c r="G70" s="1"/>
      <c r="H70" s="6">
        <f>H31-F31</f>
        <v>1080.395999999998</v>
      </c>
      <c r="I70" s="1"/>
    </row>
    <row r="71">
      <c r="B71" s="1"/>
      <c r="C71" s="1"/>
      <c r="D71" s="1"/>
      <c r="E71" s="1"/>
      <c r="F71" s="1"/>
      <c r="G71" s="1"/>
      <c r="H71" s="14"/>
      <c r="I71" s="1"/>
    </row>
    <row r="72">
      <c r="B72" s="1" t="s">
        <v>127</v>
      </c>
      <c r="C72" s="26">
        <f>C42</f>
        <v>0.2832834704562453</v>
      </c>
      <c r="D72" s="26">
        <f>D42</f>
        <v>0.12333736396614269</v>
      </c>
      <c r="E72" s="26">
        <f>E42</f>
        <v>0.14157750684249815</v>
      </c>
      <c r="F72" s="26">
        <f>F42</f>
        <v>0.14913871260199457</v>
      </c>
      <c r="G72" s="26">
        <f>G42</f>
        <v>0.18365144285389684</v>
      </c>
      <c r="H72" s="31">
        <f>H42</f>
        <v>0.2571413292312149</v>
      </c>
      <c r="I72" s="1"/>
    </row>
    <row r="73">
      <c r="B73" s="1" t="s">
        <v>78</v>
      </c>
      <c r="C73" s="32"/>
      <c r="D73" s="32"/>
      <c r="E73" s="32"/>
      <c r="F73" s="32"/>
      <c r="G73" s="32"/>
      <c r="H73" s="40">
        <f>(H42-C42)*10000</f>
        <v>-261.4214122503039</v>
      </c>
      <c r="I73" s="1"/>
    </row>
    <row r="74">
      <c r="B74" s="1" t="s">
        <v>79</v>
      </c>
      <c r="C74" s="32"/>
      <c r="D74" s="32">
        <f>(D42-C42)*10000</f>
        <v>-1599.461064901026</v>
      </c>
      <c r="E74" s="32">
        <f>(E42-D42)*10000</f>
        <v>182.4014287635546</v>
      </c>
      <c r="F74" s="32">
        <f>(F42-E42)*10000</f>
        <v>75.61205759496426</v>
      </c>
      <c r="G74" s="32"/>
      <c r="H74" s="40">
        <f>(H42-F42)*10000</f>
        <v>1080.0261662922035</v>
      </c>
      <c r="I74" s="1"/>
    </row>
    <row r="75">
      <c r="B75" s="1"/>
      <c r="C75" s="1"/>
      <c r="D75" s="1"/>
      <c r="E75" s="1"/>
      <c r="F75" s="1"/>
      <c r="G75" s="1"/>
      <c r="H75" s="14"/>
      <c r="I75" s="1"/>
    </row>
    <row r="76">
      <c r="B76" s="1"/>
      <c r="C76" s="1"/>
      <c r="D76" s="1"/>
      <c r="E76" s="1"/>
      <c r="F76" s="1"/>
      <c r="G76" s="1"/>
      <c r="H76" s="14"/>
      <c r="I76" s="1"/>
    </row>
    <row r="77">
      <c r="B77" s="1"/>
      <c r="C77" s="1"/>
      <c r="D77" s="1"/>
      <c r="E77" s="1"/>
      <c r="F77" s="1"/>
      <c r="G77" s="1"/>
      <c r="H77" s="14"/>
      <c r="I77" s="1"/>
    </row>
    <row r="78">
      <c r="B78" s="1" t="s">
        <v>128</v>
      </c>
      <c r="C78" s="1"/>
      <c r="D78" s="1"/>
      <c r="E78" s="1"/>
      <c r="F78" s="1"/>
      <c r="G78" s="1"/>
      <c r="H78" s="14"/>
      <c r="I78" s="1"/>
    </row>
    <row r="79">
      <c r="B79" s="1" t="s">
        <v>129</v>
      </c>
      <c r="C79" s="2">
        <f>C23</f>
        <v>3676.3691606532475</v>
      </c>
      <c r="D79" s="2">
        <f>D23</f>
        <v>2842.5180402582605</v>
      </c>
      <c r="E79" s="2">
        <f>E23</f>
        <v>2762.7763007975695</v>
      </c>
      <c r="F79" s="2">
        <f>F23</f>
        <v>3032.9358146600835</v>
      </c>
      <c r="G79" s="2">
        <f>G23</f>
        <v>12101.496391948347</v>
      </c>
      <c r="H79" s="6">
        <f>H23</f>
        <v>3775.6311279908837</v>
      </c>
      <c r="I79" s="1"/>
    </row>
    <row r="80">
      <c r="B80" s="1" t="s">
        <v>130</v>
      </c>
      <c r="C80" s="26"/>
      <c r="D80" s="26"/>
      <c r="E80" s="26"/>
      <c r="F80" s="26"/>
      <c r="G80" s="26"/>
      <c r="H80" s="31">
        <f>H79/C79-1</f>
        <v>0.02699999999999969</v>
      </c>
      <c r="I80" s="1"/>
    </row>
    <row r="81">
      <c r="B81" s="1" t="s">
        <v>131</v>
      </c>
      <c r="C81" s="26"/>
      <c r="D81" s="26"/>
      <c r="E81" s="26"/>
      <c r="F81" s="26"/>
      <c r="G81" s="26"/>
      <c r="H81" s="30">
        <f>Inputs!H200</f>
        <v>0</v>
      </c>
      <c r="I81" s="1"/>
    </row>
    <row r="82">
      <c r="B82" s="1" t="s">
        <v>132</v>
      </c>
      <c r="C82" s="26"/>
      <c r="D82" s="26"/>
      <c r="E82" s="26"/>
      <c r="F82" s="26"/>
      <c r="G82" s="26"/>
      <c r="H82" s="30">
        <f>Inputs!H200</f>
        <v>0</v>
      </c>
      <c r="I82" s="1"/>
    </row>
    <row r="83">
      <c r="B83" s="1" t="s">
        <v>133</v>
      </c>
      <c r="C83" s="26"/>
      <c r="D83" s="26"/>
      <c r="E83" s="26"/>
      <c r="F83" s="26"/>
      <c r="G83" s="26"/>
      <c r="H83" s="31">
        <f>(1+H80)/((1+H81)*(1+H82))-1</f>
        <v>0.02699999999999969</v>
      </c>
      <c r="I83" s="1"/>
    </row>
    <row r="84">
      <c r="B84" s="1" t="s">
        <v>75</v>
      </c>
      <c r="C84" s="1"/>
      <c r="D84" s="1"/>
      <c r="E84" s="1"/>
      <c r="F84" s="1"/>
      <c r="G84" s="1"/>
      <c r="H84" s="6">
        <f>H79-F79</f>
        <v>742.6953133308002</v>
      </c>
      <c r="I84" s="1"/>
    </row>
    <row r="85">
      <c r="B85" s="1" t="s">
        <v>71</v>
      </c>
      <c r="C85" s="2">
        <f>C26</f>
        <v>1671.6308393467525</v>
      </c>
      <c r="D85" s="2">
        <f>D26</f>
        <v>1292.4819597417395</v>
      </c>
      <c r="E85" s="2">
        <f>E26</f>
        <v>1256.2236992024305</v>
      </c>
      <c r="F85" s="2">
        <f>F26</f>
        <v>1379.0641853399165</v>
      </c>
      <c r="G85" s="2">
        <f>G26</f>
        <v>5502.503608051653</v>
      </c>
      <c r="H85" s="6">
        <f>H26</f>
        <v>1716.7648720091142</v>
      </c>
      <c r="I85" s="1"/>
    </row>
    <row r="86">
      <c r="B86" s="1" t="s">
        <v>130</v>
      </c>
      <c r="C86" s="26"/>
      <c r="D86" s="26"/>
      <c r="E86" s="26"/>
      <c r="F86" s="26"/>
      <c r="G86" s="26"/>
      <c r="H86" s="31">
        <f>H85/C85-1</f>
        <v>0.02699999999999969</v>
      </c>
      <c r="I86" s="1"/>
    </row>
    <row r="87">
      <c r="B87" s="1" t="s">
        <v>131</v>
      </c>
      <c r="C87" s="26"/>
      <c r="D87" s="26"/>
      <c r="E87" s="26"/>
      <c r="F87" s="26"/>
      <c r="G87" s="26"/>
      <c r="H87" s="30">
        <f>Inputs!H200</f>
        <v>0</v>
      </c>
      <c r="I87" s="1"/>
    </row>
    <row r="88">
      <c r="B88" s="1" t="s">
        <v>132</v>
      </c>
      <c r="C88" s="26"/>
      <c r="D88" s="26"/>
      <c r="E88" s="26"/>
      <c r="F88" s="26"/>
      <c r="G88" s="26"/>
      <c r="H88" s="30">
        <f>Inputs!H200</f>
        <v>0</v>
      </c>
      <c r="I88" s="1"/>
    </row>
    <row r="89">
      <c r="B89" s="1" t="s">
        <v>133</v>
      </c>
      <c r="C89" s="26"/>
      <c r="D89" s="26"/>
      <c r="E89" s="26"/>
      <c r="F89" s="26"/>
      <c r="G89" s="26"/>
      <c r="H89" s="31">
        <f>(1+H86)/((1+H87)*(1+H88))-1</f>
        <v>0.02699999999999969</v>
      </c>
      <c r="I89" s="1"/>
    </row>
    <row r="90">
      <c r="B90" s="1" t="s">
        <v>75</v>
      </c>
      <c r="C90" s="1"/>
      <c r="D90" s="1"/>
      <c r="E90" s="1"/>
      <c r="F90" s="1"/>
      <c r="G90" s="1"/>
      <c r="H90" s="6">
        <f>H85-F85</f>
        <v>337.7006866691977</v>
      </c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134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85</v>
      </c>
      <c r="C9" s="2"/>
      <c r="D9" s="2"/>
      <c r="E9" s="2"/>
      <c r="F9" s="2"/>
      <c r="G9" s="2"/>
      <c r="H9" s="6"/>
      <c r="I9" s="1" t="s">
        <v>86</v>
      </c>
    </row>
    <row r="10">
      <c r="B10" s="1" t="s">
        <v>87</v>
      </c>
      <c r="C10" s="2" t="s">
        <v>26</v>
      </c>
      <c r="D10" s="2">
        <f>C14</f>
        <v>8.856</v>
      </c>
      <c r="E10" s="2">
        <f>D14</f>
        <v>8.676</v>
      </c>
      <c r="F10" s="2">
        <f>E14</f>
        <v>8.532</v>
      </c>
      <c r="G10" s="2" t="s">
        <v>26</v>
      </c>
      <c r="H10" s="6">
        <f>F14</f>
        <v>8.892</v>
      </c>
      <c r="I10" s="1"/>
    </row>
    <row r="11">
      <c r="B11" s="1" t="s">
        <v>88</v>
      </c>
      <c r="C11" s="2" t="s">
        <v>26</v>
      </c>
      <c r="D11" s="10">
        <f>MAX(D15-D10,Inputs!H200)</f>
        <v>0</v>
      </c>
      <c r="E11" s="10">
        <f>MAX(E15-E10,Inputs!H200)</f>
        <v>0</v>
      </c>
      <c r="F11" s="10">
        <f>MAX(F15-F10,Inputs!H200)</f>
        <v>0.35999999999999943</v>
      </c>
      <c r="G11" s="2" t="s">
        <v>26</v>
      </c>
      <c r="H11" s="27">
        <f>MAX(H15-H10,Inputs!H200)</f>
        <v>0.07199999999999918</v>
      </c>
      <c r="I11" s="1" t="s">
        <v>89</v>
      </c>
    </row>
    <row r="12">
      <c r="B12" s="1" t="s">
        <v>90</v>
      </c>
      <c r="C12" s="2" t="s">
        <v>26</v>
      </c>
      <c r="D12" s="10">
        <f>MIN(D15-D10,Inputs!H200)</f>
        <v>-0.17999999999999972</v>
      </c>
      <c r="E12" s="10">
        <f>MIN(E15-E10,Inputs!H200)</f>
        <v>-0.14400000000000013</v>
      </c>
      <c r="F12" s="10">
        <f>MIN(F15-F10,Inputs!H200)</f>
        <v>0</v>
      </c>
      <c r="G12" s="2" t="s">
        <v>26</v>
      </c>
      <c r="H12" s="27">
        <f>MIN(H15-H10,Inputs!H200)</f>
        <v>0</v>
      </c>
      <c r="I12" s="1" t="s">
        <v>91</v>
      </c>
    </row>
    <row r="13">
      <c r="B13" s="1" t="s">
        <v>92</v>
      </c>
      <c r="C13" s="2"/>
      <c r="D13" s="2">
        <f>SUM(D11:D12)</f>
        <v>-0.17999999999999972</v>
      </c>
      <c r="E13" s="2">
        <f>SUM(E11:E12)</f>
        <v>-0.14400000000000013</v>
      </c>
      <c r="F13" s="2">
        <f>SUM(F11:F12)</f>
        <v>0.35999999999999943</v>
      </c>
      <c r="G13" s="2"/>
      <c r="H13" s="6">
        <f>SUM(H11:H12)</f>
        <v>0.07199999999999918</v>
      </c>
      <c r="I13" s="1"/>
    </row>
    <row r="14">
      <c r="B14" s="1" t="s">
        <v>93</v>
      </c>
      <c r="C14" s="2">
        <f>C15</f>
        <v>8.856</v>
      </c>
      <c r="D14" s="2">
        <f>D10+D13</f>
        <v>8.676</v>
      </c>
      <c r="E14" s="2">
        <f>E10+E13</f>
        <v>8.532</v>
      </c>
      <c r="F14" s="2">
        <f>F10+F13</f>
        <v>8.892</v>
      </c>
      <c r="G14" s="2">
        <f>G15</f>
        <v>34.74</v>
      </c>
      <c r="H14" s="6">
        <f>H10+H13</f>
        <v>8.963999999999999</v>
      </c>
      <c r="I14" s="1"/>
    </row>
    <row r="15">
      <c r="B15" s="1" t="s">
        <v>94</v>
      </c>
      <c r="C15" s="10">
        <f>Inputs!C127*Inputs!H202</f>
        <v>8.856</v>
      </c>
      <c r="D15" s="10">
        <f>Inputs!D127*Inputs!H202</f>
        <v>8.676</v>
      </c>
      <c r="E15" s="10">
        <f>Inputs!E127*Inputs!H202</f>
        <v>8.532</v>
      </c>
      <c r="F15" s="10">
        <f>Inputs!F127*Inputs!H202</f>
        <v>8.892</v>
      </c>
      <c r="G15" s="10">
        <f>Inputs!G127*Inputs!H202</f>
        <v>34.74</v>
      </c>
      <c r="H15" s="27">
        <f>Inputs!H191*Inputs!H202</f>
        <v>8.963999999999999</v>
      </c>
      <c r="I15" s="1"/>
    </row>
    <row r="16">
      <c r="B16" s="1" t="s">
        <v>95</v>
      </c>
      <c r="C16" s="26"/>
      <c r="D16" s="26"/>
      <c r="E16" s="26"/>
      <c r="F16" s="26">
        <f>IFERROR(F15/$C15-1,0)</f>
        <v>0.00406504065040636</v>
      </c>
      <c r="G16" s="26"/>
      <c r="H16" s="31">
        <f>H15/C15-1</f>
        <v>0.012195121951219301</v>
      </c>
      <c r="I16" s="1"/>
    </row>
    <row r="17">
      <c r="B17" s="1" t="s">
        <v>96</v>
      </c>
      <c r="C17" s="2"/>
      <c r="D17" s="2"/>
      <c r="E17" s="2"/>
      <c r="F17" s="2"/>
      <c r="G17" s="2"/>
      <c r="H17" s="6">
        <f>H15-F15</f>
        <v>0.07199999999999918</v>
      </c>
      <c r="I17" s="1"/>
    </row>
    <row r="18">
      <c r="B18" s="1" t="s">
        <v>97</v>
      </c>
      <c r="C18" s="10">
        <f>Inputs!C126*Inputs!H202</f>
        <v>9.9</v>
      </c>
      <c r="D18" s="10">
        <f>Inputs!D126*Inputs!H202</f>
        <v>8.856</v>
      </c>
      <c r="E18" s="10">
        <f>Inputs!E126*Inputs!H202</f>
        <v>8.783999999999999</v>
      </c>
      <c r="F18" s="10">
        <f>Inputs!F126*Inputs!H202</f>
        <v>9.251999999999999</v>
      </c>
      <c r="G18" s="10">
        <f>Inputs!G126*Inputs!H202</f>
        <v>36.612</v>
      </c>
      <c r="H18" s="27">
        <f>Inputs!H192*Inputs!H202</f>
        <v>10.0008</v>
      </c>
      <c r="I18" s="1"/>
    </row>
    <row r="19">
      <c r="B19" s="1" t="s">
        <v>98</v>
      </c>
      <c r="C19" s="26"/>
      <c r="D19" s="26"/>
      <c r="E19" s="26"/>
      <c r="F19" s="26"/>
      <c r="G19" s="26"/>
      <c r="H19" s="31">
        <f>H18/C18-1</f>
        <v>0.01018181818181807</v>
      </c>
      <c r="I19" s="1"/>
    </row>
    <row r="20">
      <c r="B20" s="1" t="s">
        <v>99</v>
      </c>
      <c r="C20" s="2"/>
      <c r="D20" s="2"/>
      <c r="E20" s="2"/>
      <c r="F20" s="2"/>
      <c r="G20" s="2"/>
      <c r="H20" s="6">
        <f>H18-F18</f>
        <v>0.748800000000001</v>
      </c>
      <c r="I20" s="1"/>
    </row>
    <row r="21">
      <c r="B21" s="1" t="s">
        <v>100</v>
      </c>
      <c r="C21" s="26">
        <f>C18/C15</f>
        <v>1.1178861788617886</v>
      </c>
      <c r="D21" s="26">
        <f>D18/D15</f>
        <v>1.020746887966805</v>
      </c>
      <c r="E21" s="26">
        <f>E18/E15</f>
        <v>1.0295358649789028</v>
      </c>
      <c r="F21" s="26">
        <f>F18/F15</f>
        <v>1.040485829959514</v>
      </c>
      <c r="G21" s="26">
        <f>G18/G15</f>
        <v>1.0538860103626944</v>
      </c>
      <c r="H21" s="31">
        <f>H18/H15</f>
        <v>1.1156626506024099</v>
      </c>
      <c r="I21" s="1"/>
    </row>
    <row r="22">
      <c r="B22" s="1" t="s">
        <v>101</v>
      </c>
      <c r="C22" s="2"/>
      <c r="D22" s="2"/>
      <c r="E22" s="2"/>
      <c r="F22" s="2">
        <f>(F21-$C21)*10000</f>
        <v>-774.0034890227454</v>
      </c>
      <c r="G22" s="2"/>
      <c r="H22" s="6">
        <f>(H21-C21)*10000</f>
        <v>-22.23528259378771</v>
      </c>
      <c r="I22" s="1"/>
    </row>
    <row r="23">
      <c r="B23" s="1" t="s">
        <v>65</v>
      </c>
      <c r="C23" s="10">
        <f>C31*Inputs!H204</f>
        <v>1753.6308393467527</v>
      </c>
      <c r="D23" s="10">
        <f>D31*Inputs!H204</f>
        <v>1426.414736042537</v>
      </c>
      <c r="E23" s="10">
        <f>E31*Inputs!H204</f>
        <v>1422.2901633118117</v>
      </c>
      <c r="F23" s="10">
        <f>F31*Inputs!H204</f>
        <v>1458.723889099886</v>
      </c>
      <c r="G23" s="10">
        <f>G31*Inputs!H204</f>
        <v>5820.459551842006</v>
      </c>
      <c r="H23" s="27">
        <f>H18*C24*(1+Inputs!H171)</f>
        <v>1779.9353019369535</v>
      </c>
      <c r="I23" s="1"/>
    </row>
    <row r="24">
      <c r="B24" s="1" t="s">
        <v>102</v>
      </c>
      <c r="C24" s="2">
        <f>C23/C18</f>
        <v>177.1344282168437</v>
      </c>
      <c r="D24" s="2">
        <f>D23/D18</f>
        <v>161.06760795421602</v>
      </c>
      <c r="E24" s="2">
        <f>E23/E18</f>
        <v>161.91827906555235</v>
      </c>
      <c r="F24" s="2">
        <f>F23/F18</f>
        <v>157.6657900021494</v>
      </c>
      <c r="G24" s="2">
        <f>G23/G18</f>
        <v>158.9768259543867</v>
      </c>
      <c r="H24" s="6">
        <f>H23/H18</f>
        <v>177.97929185034732</v>
      </c>
      <c r="I24" s="1"/>
    </row>
    <row r="25">
      <c r="B25" s="1" t="s">
        <v>103</v>
      </c>
      <c r="C25" s="26"/>
      <c r="D25" s="26"/>
      <c r="E25" s="26"/>
      <c r="F25" s="26">
        <f>IFERROR(F24/$C24-1,0)</f>
        <v>-0.1099088325780534</v>
      </c>
      <c r="G25" s="26"/>
      <c r="H25" s="31">
        <f>H24/C24-1</f>
        <v>0.004769618430525258</v>
      </c>
      <c r="I25" s="1"/>
    </row>
    <row r="26">
      <c r="B26" s="1" t="s">
        <v>71</v>
      </c>
      <c r="C26" s="2">
        <f>C31-C23</f>
        <v>797.3691606532473</v>
      </c>
      <c r="D26" s="2">
        <f>D31-D23</f>
        <v>648.585263957463</v>
      </c>
      <c r="E26" s="2">
        <f>E31-E23</f>
        <v>646.7098366881883</v>
      </c>
      <c r="F26" s="2">
        <f>F31-F23</f>
        <v>663.276110900114</v>
      </c>
      <c r="G26" s="2">
        <f>G31-G23</f>
        <v>2646.5404481579944</v>
      </c>
      <c r="H26" s="27">
        <f>H18*C27*(1+Inputs!H171)</f>
        <v>809.3296980630457</v>
      </c>
      <c r="I26" s="1"/>
    </row>
    <row r="27">
      <c r="B27" s="1" t="s">
        <v>104</v>
      </c>
      <c r="C27" s="2">
        <f>C26/C18</f>
        <v>80.54233945992397</v>
      </c>
      <c r="D27" s="2">
        <f>D26/D18</f>
        <v>73.2368184233811</v>
      </c>
      <c r="E27" s="2">
        <f>E26/E18</f>
        <v>73.62361528781743</v>
      </c>
      <c r="F27" s="2">
        <f>F26/F18</f>
        <v>71.69002495677843</v>
      </c>
      <c r="G27" s="2">
        <f>G26/G18</f>
        <v>72.28614793395593</v>
      </c>
      <c r="H27" s="6">
        <f>H26/H18</f>
        <v>80.92649568664964</v>
      </c>
      <c r="I27" s="1"/>
    </row>
    <row r="28">
      <c r="B28" s="1" t="s">
        <v>105</v>
      </c>
      <c r="C28" s="26"/>
      <c r="D28" s="26"/>
      <c r="E28" s="26"/>
      <c r="F28" s="26">
        <f>IFERROR(F27/$C27-1,0)</f>
        <v>-0.1099088325780535</v>
      </c>
      <c r="G28" s="26"/>
      <c r="H28" s="31">
        <f>H27/C27-1</f>
        <v>0.004769618430525258</v>
      </c>
      <c r="I28" s="1"/>
    </row>
    <row r="29">
      <c r="B29" s="16" t="s">
        <v>106</v>
      </c>
      <c r="C29" s="4">
        <f>SUM(C23,C26)</f>
        <v>2551</v>
      </c>
      <c r="D29" s="4">
        <f>SUM(D23,D26)</f>
        <v>2075</v>
      </c>
      <c r="E29" s="4">
        <f>SUM(E23,E26)</f>
        <v>2069</v>
      </c>
      <c r="F29" s="4">
        <f>SUM(F23,F26)</f>
        <v>2122</v>
      </c>
      <c r="G29" s="4">
        <f>SUM(G23,G26)</f>
        <v>8467</v>
      </c>
      <c r="H29" s="9">
        <f>SUM(H23,H26)</f>
        <v>2589.2649999999994</v>
      </c>
      <c r="I29" s="1"/>
    </row>
    <row r="30">
      <c r="B30" s="1" t="s">
        <v>107</v>
      </c>
      <c r="C30" s="2"/>
      <c r="D30" s="2"/>
      <c r="E30" s="2"/>
      <c r="F30" s="2"/>
      <c r="G30" s="2"/>
      <c r="H30" s="27">
        <f>Inputs!H200</f>
        <v>0</v>
      </c>
      <c r="I30" s="1"/>
    </row>
    <row r="31">
      <c r="B31" s="16" t="s">
        <v>108</v>
      </c>
      <c r="C31" s="17">
        <f>Inputs!C101</f>
        <v>2551</v>
      </c>
      <c r="D31" s="17">
        <f>Inputs!D101</f>
        <v>2075</v>
      </c>
      <c r="E31" s="17">
        <f>Inputs!E101</f>
        <v>2069</v>
      </c>
      <c r="F31" s="17">
        <f>Inputs!F101</f>
        <v>2122</v>
      </c>
      <c r="G31" s="17">
        <f>Inputs!G101</f>
        <v>8467</v>
      </c>
      <c r="H31" s="9">
        <f>H23+H26+H30</f>
        <v>2589.2649999999994</v>
      </c>
      <c r="I31" s="1"/>
    </row>
    <row r="32">
      <c r="B32" s="1" t="s">
        <v>109</v>
      </c>
      <c r="C32" s="26"/>
      <c r="D32" s="26"/>
      <c r="E32" s="26"/>
      <c r="F32" s="26">
        <f>F35</f>
        <v>-0.1681693453547628</v>
      </c>
      <c r="G32" s="26"/>
      <c r="H32" s="31">
        <f>(1+H35)/((1+H33)*(1+H34))-1</f>
        <v>0.01499999999999968</v>
      </c>
      <c r="I32" s="1"/>
    </row>
    <row r="33">
      <c r="B33" s="1" t="s">
        <v>110</v>
      </c>
      <c r="C33" s="26"/>
      <c r="D33" s="26"/>
      <c r="E33" s="26"/>
      <c r="F33" s="26"/>
      <c r="G33" s="26"/>
      <c r="H33" s="30">
        <f>Inputs!H200</f>
        <v>0</v>
      </c>
      <c r="I33" s="1"/>
    </row>
    <row r="34">
      <c r="B34" s="1" t="s">
        <v>111</v>
      </c>
      <c r="C34" s="26"/>
      <c r="D34" s="26"/>
      <c r="E34" s="26"/>
      <c r="F34" s="26"/>
      <c r="G34" s="26"/>
      <c r="H34" s="30">
        <f>Inputs!H200</f>
        <v>0</v>
      </c>
      <c r="I34" s="1"/>
    </row>
    <row r="35">
      <c r="B35" s="1" t="s">
        <v>112</v>
      </c>
      <c r="C35" s="26"/>
      <c r="D35" s="26"/>
      <c r="E35" s="26"/>
      <c r="F35" s="26">
        <f>F31/$C31-1</f>
        <v>-0.1681693453547628</v>
      </c>
      <c r="G35" s="26"/>
      <c r="H35" s="31">
        <f>H31/$C31-1</f>
        <v>0.01499999999999968</v>
      </c>
      <c r="I35" s="1"/>
    </row>
    <row r="36">
      <c r="B36" s="1" t="s">
        <v>113</v>
      </c>
      <c r="C36" s="26"/>
      <c r="D36" s="26">
        <f>IFERROR(D31/C31-1,0)</f>
        <v>-0.186593492747942</v>
      </c>
      <c r="E36" s="26">
        <f>IFERROR(E31/D31-1,0)</f>
        <v>-0.0028915662650602636</v>
      </c>
      <c r="F36" s="26">
        <f>IFERROR(F31/E31-1,0)</f>
        <v>0.025616239729337797</v>
      </c>
      <c r="G36" s="26"/>
      <c r="H36" s="31">
        <f>H31/F31-1</f>
        <v>0.22020028275212034</v>
      </c>
      <c r="I36" s="1"/>
    </row>
    <row r="37">
      <c r="B37" s="1" t="s">
        <v>114</v>
      </c>
      <c r="C37" s="15">
        <f>C31/'Revenue summary'!C18</f>
        <v>0.3128909603826812</v>
      </c>
      <c r="D37" s="15">
        <f>D31/'Revenue summary'!D18</f>
        <v>0.3278041074249605</v>
      </c>
      <c r="E37" s="15">
        <f>E31/'Revenue summary'!E18</f>
        <v>0.3356042173560422</v>
      </c>
      <c r="F37" s="15">
        <f>F31/'Revenue summary'!F18</f>
        <v>0.3184751613387363</v>
      </c>
      <c r="G37" s="15">
        <f>G31/'Revenue summary'!G18</f>
        <v>0.3180452257531365</v>
      </c>
      <c r="H37" s="30">
        <f>H31/'Revenue summary'!H18</f>
        <v>0.3097617853851665</v>
      </c>
      <c r="I37" s="1"/>
    </row>
    <row r="38">
      <c r="B38" s="1" t="s">
        <v>115</v>
      </c>
      <c r="C38" s="10">
        <f>Inputs!C224</f>
        <v>1301</v>
      </c>
      <c r="D38" s="10">
        <f>Inputs!D224</f>
        <v>1299</v>
      </c>
      <c r="E38" s="10">
        <f>Inputs!E224</f>
        <v>1421</v>
      </c>
      <c r="F38" s="10">
        <f>Inputs!F224</f>
        <v>1334</v>
      </c>
      <c r="G38" s="10">
        <f>Inputs!G224</f>
        <v>5078</v>
      </c>
      <c r="H38" s="27">
        <f>C38*'Income Statement'!H22/'Income Statement'!C22</f>
        <v>1400.54355986317</v>
      </c>
      <c r="I38" s="1"/>
    </row>
    <row r="39">
      <c r="B39" s="1" t="s">
        <v>116</v>
      </c>
      <c r="C39" s="10">
        <f>Inputs!C225</f>
        <v>244</v>
      </c>
      <c r="D39" s="10">
        <f>Inputs!D225</f>
        <v>291</v>
      </c>
      <c r="E39" s="10">
        <f>Inputs!E225</f>
        <v>283</v>
      </c>
      <c r="F39" s="10">
        <f>Inputs!F225</f>
        <v>260</v>
      </c>
      <c r="G39" s="10">
        <f>Inputs!G225</f>
        <v>1034</v>
      </c>
      <c r="H39" s="27">
        <f>C39*'Income Statement'!H23/'Income Statement'!C23</f>
        <v>248.88000000000002</v>
      </c>
      <c r="I39" s="1"/>
    </row>
    <row r="40">
      <c r="B40" s="1" t="s">
        <v>117</v>
      </c>
      <c r="C40" s="10">
        <f>Inputs!C226</f>
        <v>196</v>
      </c>
      <c r="D40" s="10">
        <f>Inputs!D226</f>
        <v>194</v>
      </c>
      <c r="E40" s="10">
        <f>Inputs!E226</f>
        <v>194</v>
      </c>
      <c r="F40" s="10">
        <f>Inputs!F226</f>
        <v>203</v>
      </c>
      <c r="G40" s="10">
        <f>Inputs!G226</f>
        <v>746</v>
      </c>
      <c r="H40" s="27">
        <f>C40*'Income Statement'!H24/'Income Statement'!C24</f>
        <v>202.28730822873084</v>
      </c>
      <c r="I40" s="1"/>
    </row>
    <row r="41">
      <c r="B41" s="16" t="s">
        <v>118</v>
      </c>
      <c r="C41" s="4">
        <f>C31-SUM(C38:C40)+C44</f>
        <v>810</v>
      </c>
      <c r="D41" s="4">
        <f>D31-SUM(D38:D40)+D44</f>
        <v>292</v>
      </c>
      <c r="E41" s="4">
        <f>E31-SUM(E38:E40)+E44</f>
        <v>170</v>
      </c>
      <c r="F41" s="4">
        <f>F31-SUM(F38:F40)+F44</f>
        <v>326</v>
      </c>
      <c r="G41" s="4">
        <f>G31-SUM(G38:G40)+G44</f>
        <v>1610</v>
      </c>
      <c r="H41" s="9">
        <f>H31-SUM(H38:H40)</f>
        <v>737.5541319080985</v>
      </c>
      <c r="I41" s="1"/>
    </row>
    <row r="42">
      <c r="B42" s="1" t="s">
        <v>119</v>
      </c>
      <c r="C42" s="26">
        <f>IFERROR(C41/C31,0)</f>
        <v>0.31752254018032144</v>
      </c>
      <c r="D42" s="26">
        <f>IFERROR(D41/D31,0)</f>
        <v>0.14072289156626505</v>
      </c>
      <c r="E42" s="26">
        <f>IFERROR(E41/E31,0)</f>
        <v>0.08216529724504591</v>
      </c>
      <c r="F42" s="26">
        <f>IFERROR(F41/F31,0)</f>
        <v>0.1536286522148916</v>
      </c>
      <c r="G42" s="26">
        <f>IFERROR(G41/G31,0)</f>
        <v>0.1901499940947207</v>
      </c>
      <c r="H42" s="31">
        <f>H41/H31</f>
        <v>0.2848507711292968</v>
      </c>
      <c r="I42" s="1"/>
    </row>
    <row r="43">
      <c r="B43" s="1" t="s">
        <v>120</v>
      </c>
      <c r="C43" s="2"/>
      <c r="D43" s="2"/>
      <c r="E43" s="2"/>
      <c r="F43" s="2"/>
      <c r="G43" s="2"/>
      <c r="H43" s="6">
        <f>(H42-C42)*10000</f>
        <v>-326.7176905102465</v>
      </c>
      <c r="I43" s="1"/>
    </row>
    <row r="44">
      <c r="B44" s="1" t="s">
        <v>121</v>
      </c>
      <c r="C44" s="10">
        <f>Inputs!C227-C31+SUM(C38:C40)</f>
        <v>0</v>
      </c>
      <c r="D44" s="10">
        <f>Inputs!D227-D31+SUM(D38:D40)</f>
        <v>1</v>
      </c>
      <c r="E44" s="10">
        <f>Inputs!E227-E31+SUM(E38:E40)</f>
        <v>-1</v>
      </c>
      <c r="F44" s="10">
        <f>Inputs!F227-F31+SUM(F38:F40)</f>
        <v>1</v>
      </c>
      <c r="G44" s="10">
        <f>Inputs!G227-G31+SUM(G38:G40)</f>
        <v>1</v>
      </c>
      <c r="H44" s="27">
        <f>Inputs!H200</f>
        <v>0</v>
      </c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 t="s">
        <v>122</v>
      </c>
      <c r="C47" s="2"/>
      <c r="D47" s="2"/>
      <c r="E47" s="2"/>
      <c r="F47" s="2"/>
      <c r="G47" s="2"/>
      <c r="H47" s="6"/>
      <c r="I47" s="1"/>
    </row>
    <row r="48">
      <c r="B48" s="1" t="s">
        <v>73</v>
      </c>
      <c r="C48" s="2">
        <f>C15</f>
        <v>8.856</v>
      </c>
      <c r="D48" s="2">
        <f>D15</f>
        <v>8.676</v>
      </c>
      <c r="E48" s="2">
        <f>E15</f>
        <v>8.532</v>
      </c>
      <c r="F48" s="2">
        <f>F15</f>
        <v>8.892</v>
      </c>
      <c r="G48" s="2">
        <f>G15</f>
        <v>34.74</v>
      </c>
      <c r="H48" s="6">
        <f>H15</f>
        <v>8.963999999999999</v>
      </c>
      <c r="I48" s="1"/>
    </row>
    <row r="49">
      <c r="B49" s="1" t="s">
        <v>74</v>
      </c>
      <c r="C49" s="26"/>
      <c r="D49" s="26"/>
      <c r="E49" s="26"/>
      <c r="F49" s="26"/>
      <c r="G49" s="26"/>
      <c r="H49" s="31">
        <f>IFERROR(H15/C15-1,0)</f>
        <v>0.012195121951219301</v>
      </c>
      <c r="I49" s="1"/>
    </row>
    <row r="50">
      <c r="B50" s="1" t="s">
        <v>75</v>
      </c>
      <c r="C50" s="2"/>
      <c r="D50" s="2">
        <f>D15-C15</f>
        <v>-0.17999999999999972</v>
      </c>
      <c r="E50" s="2">
        <f>E15-D15</f>
        <v>-0.14400000000000013</v>
      </c>
      <c r="F50" s="2">
        <f>F15-E15</f>
        <v>0.35999999999999943</v>
      </c>
      <c r="G50" s="2"/>
      <c r="H50" s="6">
        <f>H15-F15</f>
        <v>0.07199999999999918</v>
      </c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 t="s">
        <v>123</v>
      </c>
      <c r="C52" s="2">
        <f>C18</f>
        <v>9.9</v>
      </c>
      <c r="D52" s="2">
        <f>D18</f>
        <v>8.856</v>
      </c>
      <c r="E52" s="2">
        <f>E18</f>
        <v>8.783999999999999</v>
      </c>
      <c r="F52" s="2">
        <f>F18</f>
        <v>9.251999999999999</v>
      </c>
      <c r="G52" s="2">
        <f>G18</f>
        <v>36.612</v>
      </c>
      <c r="H52" s="6">
        <f>H18</f>
        <v>10.0008</v>
      </c>
      <c r="I52" s="1"/>
    </row>
    <row r="53">
      <c r="B53" s="1" t="s">
        <v>74</v>
      </c>
      <c r="C53" s="26"/>
      <c r="D53" s="26"/>
      <c r="E53" s="26"/>
      <c r="F53" s="26"/>
      <c r="G53" s="26"/>
      <c r="H53" s="31">
        <f>IFERROR(H18/C18-1,0)</f>
        <v>0.01018181818181807</v>
      </c>
      <c r="I53" s="1"/>
    </row>
    <row r="54">
      <c r="B54" s="1" t="s">
        <v>75</v>
      </c>
      <c r="C54" s="2"/>
      <c r="D54" s="2">
        <f>D18-C18</f>
        <v>-1.0440000000000005</v>
      </c>
      <c r="E54" s="2">
        <f>E18-D18</f>
        <v>-0.07200000000000095</v>
      </c>
      <c r="F54" s="2">
        <f>F18-E18</f>
        <v>0.46799999999999997</v>
      </c>
      <c r="G54" s="2"/>
      <c r="H54" s="6">
        <f>H18-F18</f>
        <v>0.748800000000001</v>
      </c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 t="s">
        <v>77</v>
      </c>
      <c r="C56" s="26">
        <f>C21</f>
        <v>1.1178861788617886</v>
      </c>
      <c r="D56" s="26">
        <f>D21</f>
        <v>1.020746887966805</v>
      </c>
      <c r="E56" s="26">
        <f>E21</f>
        <v>1.0295358649789028</v>
      </c>
      <c r="F56" s="26">
        <f>F21</f>
        <v>1.040485829959514</v>
      </c>
      <c r="G56" s="26">
        <f>G21</f>
        <v>1.0538860103626944</v>
      </c>
      <c r="H56" s="31">
        <f>H21</f>
        <v>1.1156626506024099</v>
      </c>
      <c r="I56" s="1"/>
    </row>
    <row r="57">
      <c r="B57" s="1" t="s">
        <v>78</v>
      </c>
      <c r="C57" s="32"/>
      <c r="D57" s="32"/>
      <c r="E57" s="32"/>
      <c r="F57" s="32"/>
      <c r="G57" s="32"/>
      <c r="H57" s="40">
        <f>(H21-C21)*10000</f>
        <v>-22.23528259378771</v>
      </c>
      <c r="I57" s="1"/>
    </row>
    <row r="58">
      <c r="B58" s="1" t="s">
        <v>79</v>
      </c>
      <c r="C58" s="32"/>
      <c r="D58" s="32">
        <f>(D21-C21)*10000</f>
        <v>-971.3929089498374</v>
      </c>
      <c r="E58" s="32">
        <f>(E21-D21)*10000</f>
        <v>87.8897701209791</v>
      </c>
      <c r="F58" s="32">
        <f>(F21-E21)*10000</f>
        <v>109.49964980611293</v>
      </c>
      <c r="G58" s="32"/>
      <c r="H58" s="40">
        <f>(H21-F21)*10000</f>
        <v>751.7682064289577</v>
      </c>
      <c r="I58" s="1"/>
    </row>
    <row r="59">
      <c r="B59" s="1"/>
      <c r="C59" s="1"/>
      <c r="D59" s="1"/>
      <c r="E59" s="1"/>
      <c r="F59" s="1"/>
      <c r="G59" s="1"/>
      <c r="H59" s="14"/>
      <c r="I59" s="1"/>
    </row>
    <row r="60">
      <c r="B60" s="1" t="s">
        <v>124</v>
      </c>
      <c r="C60" s="2">
        <f>C24</f>
        <v>177.1344282168437</v>
      </c>
      <c r="D60" s="2">
        <f>D24</f>
        <v>161.06760795421602</v>
      </c>
      <c r="E60" s="2">
        <f>E24</f>
        <v>161.91827906555235</v>
      </c>
      <c r="F60" s="2">
        <f>F24</f>
        <v>157.6657900021494</v>
      </c>
      <c r="G60" s="2">
        <f>G24</f>
        <v>158.9768259543867</v>
      </c>
      <c r="H60" s="6">
        <f>H24</f>
        <v>177.97929185034732</v>
      </c>
      <c r="I60" s="1"/>
    </row>
    <row r="61">
      <c r="B61" s="1" t="s">
        <v>74</v>
      </c>
      <c r="C61" s="26"/>
      <c r="D61" s="26"/>
      <c r="E61" s="26"/>
      <c r="F61" s="26"/>
      <c r="G61" s="26"/>
      <c r="H61" s="31">
        <f>IFERROR(H24/C24-1,0)</f>
        <v>0.004769618430525258</v>
      </c>
      <c r="I61" s="1"/>
    </row>
    <row r="62">
      <c r="B62" s="1" t="s">
        <v>75</v>
      </c>
      <c r="C62" s="1"/>
      <c r="D62" s="2">
        <f>D24-C24</f>
        <v>-16.066820262627687</v>
      </c>
      <c r="E62" s="2">
        <f>E24-D24</f>
        <v>0.8506711113363394</v>
      </c>
      <c r="F62" s="2">
        <f>F24-E24</f>
        <v>-4.2524890634029475</v>
      </c>
      <c r="G62" s="1"/>
      <c r="H62" s="6">
        <f>H24-F24</f>
        <v>20.313501848197916</v>
      </c>
      <c r="I62" s="1"/>
    </row>
    <row r="63">
      <c r="B63" s="1"/>
      <c r="C63" s="1"/>
      <c r="D63" s="1"/>
      <c r="E63" s="1"/>
      <c r="F63" s="1"/>
      <c r="G63" s="1"/>
      <c r="H63" s="14"/>
      <c r="I63" s="1"/>
    </row>
    <row r="64">
      <c r="B64" s="1" t="s">
        <v>125</v>
      </c>
      <c r="C64" s="2">
        <f>C27</f>
        <v>80.54233945992397</v>
      </c>
      <c r="D64" s="2">
        <f>D27</f>
        <v>73.2368184233811</v>
      </c>
      <c r="E64" s="2">
        <f>E27</f>
        <v>73.62361528781743</v>
      </c>
      <c r="F64" s="2">
        <f>F27</f>
        <v>71.69002495677843</v>
      </c>
      <c r="G64" s="2">
        <f>G27</f>
        <v>72.28614793395593</v>
      </c>
      <c r="H64" s="6">
        <f>H27</f>
        <v>80.92649568664964</v>
      </c>
      <c r="I64" s="1"/>
    </row>
    <row r="65">
      <c r="B65" s="1" t="s">
        <v>74</v>
      </c>
      <c r="C65" s="26"/>
      <c r="D65" s="26"/>
      <c r="E65" s="26"/>
      <c r="F65" s="26"/>
      <c r="G65" s="26"/>
      <c r="H65" s="31">
        <f>IFERROR(H27/C27-1,0)</f>
        <v>0.004769618430525258</v>
      </c>
      <c r="I65" s="1"/>
    </row>
    <row r="66">
      <c r="B66" s="1" t="s">
        <v>75</v>
      </c>
      <c r="C66" s="1"/>
      <c r="D66" s="2">
        <f>D27-C27</f>
        <v>-7.305521036542871</v>
      </c>
      <c r="E66" s="2">
        <f>E27-D27</f>
        <v>0.38679686443633443</v>
      </c>
      <c r="F66" s="2">
        <f>F27-E27</f>
        <v>-1.9335903310389995</v>
      </c>
      <c r="G66" s="1"/>
      <c r="H66" s="6">
        <f>H27-F27</f>
        <v>9.236470729871215</v>
      </c>
      <c r="I66" s="1"/>
    </row>
    <row r="67">
      <c r="B67" s="1"/>
      <c r="C67" s="1"/>
      <c r="D67" s="1"/>
      <c r="E67" s="1"/>
      <c r="F67" s="1"/>
      <c r="G67" s="1"/>
      <c r="H67" s="14"/>
      <c r="I67" s="1"/>
    </row>
    <row r="68">
      <c r="B68" s="1" t="s">
        <v>126</v>
      </c>
      <c r="C68" s="2">
        <f>C31</f>
        <v>2551</v>
      </c>
      <c r="D68" s="2">
        <f>D31</f>
        <v>2075</v>
      </c>
      <c r="E68" s="2">
        <f>E31</f>
        <v>2069</v>
      </c>
      <c r="F68" s="2">
        <f>F31</f>
        <v>2122</v>
      </c>
      <c r="G68" s="2">
        <f>G31</f>
        <v>8467</v>
      </c>
      <c r="H68" s="6">
        <f>H31</f>
        <v>2589.2649999999994</v>
      </c>
      <c r="I68" s="1"/>
    </row>
    <row r="69">
      <c r="B69" s="1" t="s">
        <v>74</v>
      </c>
      <c r="C69" s="26"/>
      <c r="D69" s="26"/>
      <c r="E69" s="26"/>
      <c r="F69" s="26"/>
      <c r="G69" s="26"/>
      <c r="H69" s="31">
        <f>IFERROR(H31/C31-1,0)</f>
        <v>0.01499999999999968</v>
      </c>
      <c r="I69" s="1"/>
    </row>
    <row r="70">
      <c r="B70" s="1" t="s">
        <v>75</v>
      </c>
      <c r="C70" s="1"/>
      <c r="D70" s="2">
        <f>D31-C31</f>
        <v>-476</v>
      </c>
      <c r="E70" s="2">
        <f>E31-D31</f>
        <v>-6</v>
      </c>
      <c r="F70" s="2">
        <f>F31-E31</f>
        <v>53</v>
      </c>
      <c r="G70" s="1"/>
      <c r="H70" s="6">
        <f>H31-F31</f>
        <v>467.2649999999994</v>
      </c>
      <c r="I70" s="1"/>
    </row>
    <row r="71">
      <c r="B71" s="1"/>
      <c r="C71" s="1"/>
      <c r="D71" s="1"/>
      <c r="E71" s="1"/>
      <c r="F71" s="1"/>
      <c r="G71" s="1"/>
      <c r="H71" s="14"/>
      <c r="I71" s="1"/>
    </row>
    <row r="72">
      <c r="B72" s="1" t="s">
        <v>127</v>
      </c>
      <c r="C72" s="26">
        <f>C42</f>
        <v>0.31752254018032144</v>
      </c>
      <c r="D72" s="26">
        <f>D42</f>
        <v>0.14072289156626505</v>
      </c>
      <c r="E72" s="26">
        <f>E42</f>
        <v>0.08216529724504591</v>
      </c>
      <c r="F72" s="26">
        <f>F42</f>
        <v>0.1536286522148916</v>
      </c>
      <c r="G72" s="26">
        <f>G42</f>
        <v>0.1901499940947207</v>
      </c>
      <c r="H72" s="31">
        <f>H42</f>
        <v>0.2848507711292968</v>
      </c>
      <c r="I72" s="1"/>
    </row>
    <row r="73">
      <c r="B73" s="1" t="s">
        <v>78</v>
      </c>
      <c r="C73" s="32"/>
      <c r="D73" s="32"/>
      <c r="E73" s="32"/>
      <c r="F73" s="32"/>
      <c r="G73" s="32"/>
      <c r="H73" s="40">
        <f>(H42-C42)*10000</f>
        <v>-326.7176905102465</v>
      </c>
      <c r="I73" s="1"/>
    </row>
    <row r="74">
      <c r="B74" s="1" t="s">
        <v>79</v>
      </c>
      <c r="C74" s="32"/>
      <c r="D74" s="32">
        <f>(D42-C42)*10000</f>
        <v>-1767.996486140564</v>
      </c>
      <c r="E74" s="32">
        <f>(E42-D42)*10000</f>
        <v>-585.5759432121914</v>
      </c>
      <c r="F74" s="32">
        <f>(F42-E42)*10000</f>
        <v>714.6335496984569</v>
      </c>
      <c r="G74" s="32"/>
      <c r="H74" s="40">
        <f>(H42-F42)*10000</f>
        <v>1312.221189144052</v>
      </c>
      <c r="I74" s="1"/>
    </row>
    <row r="75">
      <c r="B75" s="1"/>
      <c r="C75" s="1"/>
      <c r="D75" s="1"/>
      <c r="E75" s="1"/>
      <c r="F75" s="1"/>
      <c r="G75" s="1"/>
      <c r="H75" s="14"/>
      <c r="I75" s="1"/>
    </row>
    <row r="76">
      <c r="B76" s="1"/>
      <c r="C76" s="1"/>
      <c r="D76" s="1"/>
      <c r="E76" s="1"/>
      <c r="F76" s="1"/>
      <c r="G76" s="1"/>
      <c r="H76" s="14"/>
      <c r="I76" s="1"/>
    </row>
    <row r="77">
      <c r="B77" s="1"/>
      <c r="C77" s="1"/>
      <c r="D77" s="1"/>
      <c r="E77" s="1"/>
      <c r="F77" s="1"/>
      <c r="G77" s="1"/>
      <c r="H77" s="14"/>
      <c r="I77" s="1"/>
    </row>
    <row r="78">
      <c r="B78" s="1" t="s">
        <v>128</v>
      </c>
      <c r="C78" s="1"/>
      <c r="D78" s="1"/>
      <c r="E78" s="1"/>
      <c r="F78" s="1"/>
      <c r="G78" s="1"/>
      <c r="H78" s="14"/>
      <c r="I78" s="1"/>
    </row>
    <row r="79">
      <c r="B79" s="1" t="s">
        <v>129</v>
      </c>
      <c r="C79" s="2">
        <f>C23</f>
        <v>1753.6308393467527</v>
      </c>
      <c r="D79" s="2">
        <f>D23</f>
        <v>1426.414736042537</v>
      </c>
      <c r="E79" s="2">
        <f>E23</f>
        <v>1422.2901633118117</v>
      </c>
      <c r="F79" s="2">
        <f>F23</f>
        <v>1458.723889099886</v>
      </c>
      <c r="G79" s="2">
        <f>G23</f>
        <v>5820.459551842006</v>
      </c>
      <c r="H79" s="6">
        <f>H23</f>
        <v>1779.9353019369535</v>
      </c>
      <c r="I79" s="1"/>
    </row>
    <row r="80">
      <c r="B80" s="1" t="s">
        <v>130</v>
      </c>
      <c r="C80" s="26"/>
      <c r="D80" s="26"/>
      <c r="E80" s="26"/>
      <c r="F80" s="26"/>
      <c r="G80" s="26"/>
      <c r="H80" s="31">
        <f>H79/C79-1</f>
        <v>0.01499999999999968</v>
      </c>
      <c r="I80" s="1"/>
    </row>
    <row r="81">
      <c r="B81" s="1" t="s">
        <v>131</v>
      </c>
      <c r="C81" s="26"/>
      <c r="D81" s="26"/>
      <c r="E81" s="26"/>
      <c r="F81" s="26"/>
      <c r="G81" s="26"/>
      <c r="H81" s="30">
        <f>Inputs!H200</f>
        <v>0</v>
      </c>
      <c r="I81" s="1"/>
    </row>
    <row r="82">
      <c r="B82" s="1" t="s">
        <v>132</v>
      </c>
      <c r="C82" s="26"/>
      <c r="D82" s="26"/>
      <c r="E82" s="26"/>
      <c r="F82" s="26"/>
      <c r="G82" s="26"/>
      <c r="H82" s="30">
        <f>Inputs!H200</f>
        <v>0</v>
      </c>
      <c r="I82" s="1"/>
    </row>
    <row r="83">
      <c r="B83" s="1" t="s">
        <v>133</v>
      </c>
      <c r="C83" s="26"/>
      <c r="D83" s="26"/>
      <c r="E83" s="26"/>
      <c r="F83" s="26"/>
      <c r="G83" s="26"/>
      <c r="H83" s="31">
        <f>(1+H80)/((1+H81)*(1+H82))-1</f>
        <v>0.01499999999999968</v>
      </c>
      <c r="I83" s="1"/>
    </row>
    <row r="84">
      <c r="B84" s="1" t="s">
        <v>75</v>
      </c>
      <c r="C84" s="1"/>
      <c r="D84" s="1"/>
      <c r="E84" s="1"/>
      <c r="F84" s="1"/>
      <c r="G84" s="1"/>
      <c r="H84" s="6">
        <f>H79-F79</f>
        <v>321.2114128370674</v>
      </c>
      <c r="I84" s="1"/>
    </row>
    <row r="85">
      <c r="B85" s="1" t="s">
        <v>71</v>
      </c>
      <c r="C85" s="2">
        <f>C26</f>
        <v>797.3691606532473</v>
      </c>
      <c r="D85" s="2">
        <f>D26</f>
        <v>648.585263957463</v>
      </c>
      <c r="E85" s="2">
        <f>E26</f>
        <v>646.7098366881883</v>
      </c>
      <c r="F85" s="2">
        <f>F26</f>
        <v>663.276110900114</v>
      </c>
      <c r="G85" s="2">
        <f>G26</f>
        <v>2646.5404481579944</v>
      </c>
      <c r="H85" s="6">
        <f>H26</f>
        <v>809.3296980630457</v>
      </c>
      <c r="I85" s="1"/>
    </row>
    <row r="86">
      <c r="B86" s="1" t="s">
        <v>130</v>
      </c>
      <c r="C86" s="26"/>
      <c r="D86" s="26"/>
      <c r="E86" s="26"/>
      <c r="F86" s="26"/>
      <c r="G86" s="26"/>
      <c r="H86" s="31">
        <f>H85/C85-1</f>
        <v>0.01499999999999968</v>
      </c>
      <c r="I86" s="1"/>
    </row>
    <row r="87">
      <c r="B87" s="1" t="s">
        <v>131</v>
      </c>
      <c r="C87" s="26"/>
      <c r="D87" s="26"/>
      <c r="E87" s="26"/>
      <c r="F87" s="26"/>
      <c r="G87" s="26"/>
      <c r="H87" s="30">
        <f>Inputs!H200</f>
        <v>0</v>
      </c>
      <c r="I87" s="1"/>
    </row>
    <row r="88">
      <c r="B88" s="1" t="s">
        <v>132</v>
      </c>
      <c r="C88" s="26"/>
      <c r="D88" s="26"/>
      <c r="E88" s="26"/>
      <c r="F88" s="26"/>
      <c r="G88" s="26"/>
      <c r="H88" s="30">
        <f>Inputs!H200</f>
        <v>0</v>
      </c>
      <c r="I88" s="1"/>
    </row>
    <row r="89">
      <c r="B89" s="1" t="s">
        <v>133</v>
      </c>
      <c r="C89" s="26"/>
      <c r="D89" s="26"/>
      <c r="E89" s="26"/>
      <c r="F89" s="26"/>
      <c r="G89" s="26"/>
      <c r="H89" s="31">
        <f>(1+H86)/((1+H87)*(1+H88))-1</f>
        <v>0.01499999999999968</v>
      </c>
      <c r="I89" s="1"/>
    </row>
    <row r="90">
      <c r="B90" s="1" t="s">
        <v>75</v>
      </c>
      <c r="C90" s="1"/>
      <c r="D90" s="1"/>
      <c r="E90" s="1"/>
      <c r="F90" s="1"/>
      <c r="G90" s="1"/>
      <c r="H90" s="6">
        <f>H85-F85</f>
        <v>146.05358716293176</v>
      </c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135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136</v>
      </c>
      <c r="C9" s="2"/>
      <c r="D9" s="2"/>
      <c r="E9" s="2"/>
      <c r="F9" s="2"/>
      <c r="G9" s="2"/>
      <c r="H9" s="6"/>
      <c r="I9" s="1" t="s">
        <v>137</v>
      </c>
    </row>
    <row r="10">
      <c r="B10" s="1" t="s">
        <v>138</v>
      </c>
      <c r="C10" s="2"/>
      <c r="D10" s="2"/>
      <c r="E10" s="2"/>
      <c r="F10" s="2"/>
      <c r="G10" s="2"/>
      <c r="H10" s="6"/>
      <c r="I10" s="1" t="s">
        <v>139</v>
      </c>
    </row>
    <row r="11">
      <c r="B11" s="1" t="s">
        <v>140</v>
      </c>
      <c r="C11" s="2"/>
      <c r="D11" s="2"/>
      <c r="E11" s="2"/>
      <c r="F11" s="2"/>
      <c r="G11" s="2"/>
      <c r="H11" s="6"/>
      <c r="I11" s="1"/>
    </row>
    <row r="12">
      <c r="B12" s="1" t="s">
        <v>141</v>
      </c>
      <c r="C12" s="2"/>
      <c r="D12" s="2"/>
      <c r="E12" s="2"/>
      <c r="F12" s="2"/>
      <c r="G12" s="2"/>
      <c r="H12" s="6"/>
      <c r="I12" s="1"/>
    </row>
    <row r="13">
      <c r="B13" s="1" t="s">
        <v>142</v>
      </c>
      <c r="C13" s="2"/>
      <c r="D13" s="2"/>
      <c r="E13" s="2"/>
      <c r="F13" s="2"/>
      <c r="G13" s="2"/>
      <c r="H13" s="6"/>
      <c r="I13" s="1"/>
    </row>
    <row r="14">
      <c r="B14" s="1"/>
      <c r="C14" s="2"/>
      <c r="D14" s="2"/>
      <c r="E14" s="2"/>
      <c r="F14" s="2"/>
      <c r="G14" s="2"/>
      <c r="H14" s="6"/>
      <c r="I14" s="1"/>
    </row>
    <row r="15">
      <c r="B15" s="1"/>
      <c r="C15" s="2"/>
      <c r="D15" s="2"/>
      <c r="E15" s="2"/>
      <c r="F15" s="2"/>
      <c r="G15" s="2"/>
      <c r="H15" s="6"/>
      <c r="I15" s="1"/>
    </row>
    <row r="16">
      <c r="B16" s="1"/>
      <c r="C16" s="26"/>
      <c r="D16" s="26"/>
      <c r="E16" s="26"/>
      <c r="F16" s="26"/>
      <c r="G16" s="26"/>
      <c r="H16" s="31"/>
      <c r="I16" s="1"/>
    </row>
    <row r="17">
      <c r="B17" s="1"/>
      <c r="C17" s="2"/>
      <c r="D17" s="2"/>
      <c r="E17" s="2"/>
      <c r="F17" s="2"/>
      <c r="G17" s="2"/>
      <c r="H17" s="6"/>
      <c r="I17" s="1"/>
    </row>
    <row r="18">
      <c r="B18" s="1" t="s">
        <v>143</v>
      </c>
      <c r="C18" s="10">
        <f>Inputs!C126</f>
        <v>27.5</v>
      </c>
      <c r="D18" s="10">
        <f>Inputs!D126</f>
        <v>24.6</v>
      </c>
      <c r="E18" s="10">
        <f>Inputs!E126</f>
        <v>24.4</v>
      </c>
      <c r="F18" s="10">
        <f>Inputs!F126</f>
        <v>25.7</v>
      </c>
      <c r="G18" s="10">
        <f>Inputs!G126</f>
        <v>101.7</v>
      </c>
      <c r="H18" s="27">
        <f>Inputs!H192</f>
        <v>27.78</v>
      </c>
      <c r="I18" s="1"/>
    </row>
    <row r="19">
      <c r="B19" s="1" t="s">
        <v>144</v>
      </c>
      <c r="C19" s="26"/>
      <c r="D19" s="26"/>
      <c r="E19" s="26"/>
      <c r="F19" s="26"/>
      <c r="G19" s="26"/>
      <c r="H19" s="31">
        <f>H18/C18-1</f>
        <v>0.010181818181818292</v>
      </c>
      <c r="I19" s="1"/>
    </row>
    <row r="20">
      <c r="B20" s="1" t="s">
        <v>145</v>
      </c>
      <c r="C20" s="2"/>
      <c r="D20" s="2">
        <f>D18-C18</f>
        <v>-2.8999999999999986</v>
      </c>
      <c r="E20" s="2">
        <f>E18-D18</f>
        <v>-0.20000000000000284</v>
      </c>
      <c r="F20" s="2">
        <f>F18-E18</f>
        <v>1.3000000000000007</v>
      </c>
      <c r="G20" s="2"/>
      <c r="H20" s="6">
        <f>H18-F18</f>
        <v>2.080000000000002</v>
      </c>
      <c r="I20" s="1"/>
    </row>
    <row r="21">
      <c r="B21" s="1" t="s">
        <v>146</v>
      </c>
      <c r="C21" s="26"/>
      <c r="D21" s="26"/>
      <c r="E21" s="26"/>
      <c r="F21" s="26"/>
      <c r="G21" s="26"/>
      <c r="H21" s="31"/>
      <c r="I21" s="1"/>
    </row>
    <row r="22">
      <c r="B22" s="1" t="s">
        <v>147</v>
      </c>
      <c r="C22" s="2"/>
      <c r="D22" s="2"/>
      <c r="E22" s="2"/>
      <c r="F22" s="2"/>
      <c r="G22" s="2"/>
      <c r="H22" s="6"/>
      <c r="I22" s="1"/>
    </row>
    <row r="23">
      <c r="B23" s="1" t="s">
        <v>148</v>
      </c>
      <c r="C23" s="2"/>
      <c r="D23" s="2"/>
      <c r="E23" s="2"/>
      <c r="F23" s="2"/>
      <c r="G23" s="2"/>
      <c r="H23" s="27">
        <f>H18*C24*(1+Inputs!H172)</f>
        <v>103.59999999999998</v>
      </c>
      <c r="I23" s="1"/>
    </row>
    <row r="24">
      <c r="B24" s="1" t="s">
        <v>149</v>
      </c>
      <c r="C24" s="2">
        <f>C31/C18</f>
        <v>2.690909090909091</v>
      </c>
      <c r="D24" s="2"/>
      <c r="E24" s="2"/>
      <c r="F24" s="2"/>
      <c r="G24" s="2"/>
      <c r="H24" s="6">
        <f>H23/H18</f>
        <v>3.7293016558675296</v>
      </c>
      <c r="I24" s="1"/>
    </row>
    <row r="25">
      <c r="B25" s="1" t="s">
        <v>103</v>
      </c>
      <c r="C25" s="26"/>
      <c r="D25" s="26"/>
      <c r="E25" s="26"/>
      <c r="F25" s="26"/>
      <c r="G25" s="26"/>
      <c r="H25" s="31">
        <f>H24/C24-1</f>
        <v>0.38588912886968996</v>
      </c>
      <c r="I25" s="1"/>
    </row>
    <row r="26">
      <c r="B26" s="1" t="s">
        <v>150</v>
      </c>
      <c r="C26" s="2"/>
      <c r="D26" s="2"/>
      <c r="E26" s="2"/>
      <c r="F26" s="2"/>
      <c r="G26" s="2"/>
      <c r="H26" s="27">
        <f>Inputs!H200</f>
        <v>0</v>
      </c>
      <c r="I26" s="1"/>
    </row>
    <row r="27">
      <c r="B27" s="1" t="s">
        <v>104</v>
      </c>
      <c r="C27" s="2"/>
      <c r="D27" s="2"/>
      <c r="E27" s="2"/>
      <c r="F27" s="2"/>
      <c r="G27" s="2"/>
      <c r="H27" s="6"/>
      <c r="I27" s="1"/>
    </row>
    <row r="28">
      <c r="B28" s="1" t="s">
        <v>105</v>
      </c>
      <c r="C28" s="26"/>
      <c r="D28" s="26"/>
      <c r="E28" s="26"/>
      <c r="F28" s="26"/>
      <c r="G28" s="26"/>
      <c r="H28" s="31"/>
      <c r="I28" s="1"/>
    </row>
    <row r="29">
      <c r="B29" s="16" t="s">
        <v>151</v>
      </c>
      <c r="C29" s="4">
        <f>C31</f>
        <v>74</v>
      </c>
      <c r="D29" s="4">
        <f>D31</f>
        <v>90</v>
      </c>
      <c r="E29" s="4">
        <f>E31</f>
        <v>77</v>
      </c>
      <c r="F29" s="4">
        <f>F31</f>
        <v>95</v>
      </c>
      <c r="G29" s="4">
        <f>G31</f>
        <v>309</v>
      </c>
      <c r="H29" s="9">
        <f>H31</f>
        <v>103.59999999999998</v>
      </c>
      <c r="I29" s="1"/>
    </row>
    <row r="30">
      <c r="B30" s="1" t="s">
        <v>152</v>
      </c>
      <c r="C30" s="2"/>
      <c r="D30" s="2"/>
      <c r="E30" s="2"/>
      <c r="F30" s="2"/>
      <c r="G30" s="2"/>
      <c r="H30" s="27">
        <f>Inputs!H200</f>
        <v>0</v>
      </c>
      <c r="I30" s="1"/>
    </row>
    <row r="31">
      <c r="B31" s="16" t="s">
        <v>108</v>
      </c>
      <c r="C31" s="17">
        <f>Inputs!C102</f>
        <v>74</v>
      </c>
      <c r="D31" s="17">
        <f>Inputs!D102</f>
        <v>90</v>
      </c>
      <c r="E31" s="17">
        <f>Inputs!E102</f>
        <v>77</v>
      </c>
      <c r="F31" s="17">
        <f>Inputs!F102</f>
        <v>95</v>
      </c>
      <c r="G31" s="17">
        <f>Inputs!G102</f>
        <v>309</v>
      </c>
      <c r="H31" s="9">
        <f>H23+H26+H30</f>
        <v>103.59999999999998</v>
      </c>
      <c r="I31" s="1"/>
    </row>
    <row r="32">
      <c r="B32" s="1" t="s">
        <v>109</v>
      </c>
      <c r="C32" s="26"/>
      <c r="D32" s="26"/>
      <c r="E32" s="26"/>
      <c r="F32" s="26">
        <f>F35</f>
        <v>0.28378378378378377</v>
      </c>
      <c r="G32" s="26"/>
      <c r="H32" s="31">
        <f>(1+H35)/((1+H33)*(1+H34))-1</f>
        <v>0.3999999999999997</v>
      </c>
      <c r="I32" s="1"/>
    </row>
    <row r="33">
      <c r="B33" s="1" t="s">
        <v>110</v>
      </c>
      <c r="C33" s="26"/>
      <c r="D33" s="26"/>
      <c r="E33" s="26"/>
      <c r="F33" s="26"/>
      <c r="G33" s="26"/>
      <c r="H33" s="30">
        <f>Inputs!H200</f>
        <v>0</v>
      </c>
      <c r="I33" s="1"/>
    </row>
    <row r="34">
      <c r="B34" s="1" t="s">
        <v>111</v>
      </c>
      <c r="C34" s="26"/>
      <c r="D34" s="26"/>
      <c r="E34" s="26"/>
      <c r="F34" s="26"/>
      <c r="G34" s="26"/>
      <c r="H34" s="30">
        <f>Inputs!H200</f>
        <v>0</v>
      </c>
      <c r="I34" s="1"/>
    </row>
    <row r="35">
      <c r="B35" s="1" t="s">
        <v>112</v>
      </c>
      <c r="C35" s="26"/>
      <c r="D35" s="26"/>
      <c r="E35" s="26"/>
      <c r="F35" s="26">
        <f>F31/$C31-1</f>
        <v>0.28378378378378377</v>
      </c>
      <c r="G35" s="26"/>
      <c r="H35" s="31">
        <f>H31/$C31-1</f>
        <v>0.3999999999999997</v>
      </c>
      <c r="I35" s="1"/>
    </row>
    <row r="36">
      <c r="B36" s="1" t="s">
        <v>113</v>
      </c>
      <c r="C36" s="26"/>
      <c r="D36" s="26">
        <f>IFERROR(D31/C31-1,0)</f>
        <v>0.21621621621621623</v>
      </c>
      <c r="E36" s="26">
        <f>IFERROR(E31/D31-1,0)</f>
        <v>-0.1444444444444445</v>
      </c>
      <c r="F36" s="26">
        <f>IFERROR(F31/E31-1,0)</f>
        <v>0.23376623376623384</v>
      </c>
      <c r="G36" s="26"/>
      <c r="H36" s="31">
        <f>H31/F31-1</f>
        <v>0.09052631578947357</v>
      </c>
      <c r="I36" s="1"/>
    </row>
    <row r="37">
      <c r="B37" s="1" t="s">
        <v>114</v>
      </c>
      <c r="C37" s="15">
        <f>C31/'Revenue summary'!C18</f>
        <v>0.009076413590089538</v>
      </c>
      <c r="D37" s="15">
        <f>D31/'Revenue summary'!D18</f>
        <v>0.014218009478672985</v>
      </c>
      <c r="E37" s="15">
        <f>E31/'Revenue summary'!E18</f>
        <v>0.012489862124898622</v>
      </c>
      <c r="F37" s="15">
        <f>F31/'Revenue summary'!F18</f>
        <v>0.014257841812997149</v>
      </c>
      <c r="G37" s="15">
        <f>G31/'Revenue summary'!G18</f>
        <v>0.011606941627225602</v>
      </c>
      <c r="H37" s="30">
        <f>H31/'Revenue summary'!H18</f>
        <v>0.0123939886283958</v>
      </c>
      <c r="I37" s="1"/>
    </row>
    <row r="38">
      <c r="B38" s="1" t="s">
        <v>115</v>
      </c>
      <c r="C38" s="10">
        <f>Inputs!C228</f>
        <v>52</v>
      </c>
      <c r="D38" s="10">
        <f>Inputs!D228</f>
        <v>68</v>
      </c>
      <c r="E38" s="10">
        <f>Inputs!E228</f>
        <v>53</v>
      </c>
      <c r="F38" s="10">
        <f>Inputs!F228</f>
        <v>65</v>
      </c>
      <c r="G38" s="10">
        <f>Inputs!G228</f>
        <v>211</v>
      </c>
      <c r="H38" s="27">
        <f>C38*'Income Statement'!H22/'Income Statement'!C22</f>
        <v>55.97868187001141</v>
      </c>
      <c r="I38" s="1"/>
    </row>
    <row r="39">
      <c r="B39" s="1" t="s">
        <v>116</v>
      </c>
      <c r="C39" s="10">
        <f>Inputs!C229</f>
        <v>94</v>
      </c>
      <c r="D39" s="10">
        <f>Inputs!D229</f>
        <v>108</v>
      </c>
      <c r="E39" s="10">
        <f>Inputs!E229</f>
        <v>83</v>
      </c>
      <c r="F39" s="10">
        <f>Inputs!F229</f>
        <v>87</v>
      </c>
      <c r="G39" s="10">
        <f>Inputs!G229</f>
        <v>365</v>
      </c>
      <c r="H39" s="27">
        <f>C39*'Income Statement'!H23/'Income Statement'!C23</f>
        <v>95.88000000000001</v>
      </c>
      <c r="I39" s="1"/>
    </row>
    <row r="40">
      <c r="B40" s="1" t="s">
        <v>117</v>
      </c>
      <c r="C40" s="10">
        <f>Inputs!C230</f>
        <v>53</v>
      </c>
      <c r="D40" s="10">
        <f>Inputs!D230</f>
        <v>52</v>
      </c>
      <c r="E40" s="10">
        <f>Inputs!E230</f>
        <v>34</v>
      </c>
      <c r="F40" s="10">
        <f>Inputs!F230</f>
        <v>37</v>
      </c>
      <c r="G40" s="10">
        <f>Inputs!G230</f>
        <v>200</v>
      </c>
      <c r="H40" s="27">
        <f>C40*'Income Statement'!H24/'Income Statement'!C24</f>
        <v>54.700139470013944</v>
      </c>
      <c r="I40" s="1"/>
    </row>
    <row r="41">
      <c r="B41" s="16" t="s">
        <v>118</v>
      </c>
      <c r="C41" s="4">
        <f>C31-SUM(C38:C40)+C44</f>
        <v>-125</v>
      </c>
      <c r="D41" s="4">
        <f>D31-SUM(D38:D40)+D44</f>
        <v>-140</v>
      </c>
      <c r="E41" s="4">
        <f>E31-SUM(E38:E40)+E44</f>
        <v>-92</v>
      </c>
      <c r="F41" s="4">
        <f>F31-SUM(F38:F40)+F44</f>
        <v>-94</v>
      </c>
      <c r="G41" s="4">
        <f>G31-SUM(G38:G40)+G44</f>
        <v>-468</v>
      </c>
      <c r="H41" s="9">
        <f>H31-SUM(H38:H40)</f>
        <v>-102.95882134002538</v>
      </c>
      <c r="I41" s="1"/>
    </row>
    <row r="42">
      <c r="B42" s="1" t="s">
        <v>119</v>
      </c>
      <c r="C42" s="26">
        <f>IFERROR(C41/C31,0)</f>
        <v>-1.6891891891891893</v>
      </c>
      <c r="D42" s="26">
        <f>IFERROR(D41/D31,0)</f>
        <v>-1.5555555555555556</v>
      </c>
      <c r="E42" s="26">
        <f>IFERROR(E41/E31,0)</f>
        <v>-1.1948051948051948</v>
      </c>
      <c r="F42" s="26">
        <f>IFERROR(F41/F31,0)</f>
        <v>-0.9894736842105263</v>
      </c>
      <c r="G42" s="26">
        <f>IFERROR(G41/G31,0)</f>
        <v>-1.5145631067961165</v>
      </c>
      <c r="H42" s="31">
        <f>H41/H31</f>
        <v>-0.993811016795612</v>
      </c>
      <c r="I42" s="1"/>
    </row>
    <row r="43">
      <c r="B43" s="1" t="s">
        <v>120</v>
      </c>
      <c r="C43" s="2"/>
      <c r="D43" s="2"/>
      <c r="E43" s="2"/>
      <c r="F43" s="2"/>
      <c r="G43" s="2"/>
      <c r="H43" s="6">
        <f>(H42-C42)*10000</f>
        <v>6953.781723935773</v>
      </c>
      <c r="I43" s="1"/>
    </row>
    <row r="44">
      <c r="B44" s="1" t="s">
        <v>121</v>
      </c>
      <c r="C44" s="10">
        <f>Inputs!C231-C31+SUM(C38:C40)</f>
        <v>0</v>
      </c>
      <c r="D44" s="10">
        <f>Inputs!D231-D31+SUM(D38:D40)</f>
        <v>-2</v>
      </c>
      <c r="E44" s="10">
        <f>Inputs!E231-E31+SUM(E38:E40)</f>
        <v>1</v>
      </c>
      <c r="F44" s="10">
        <f>Inputs!F231-F31+SUM(F38:F40)</f>
        <v>0</v>
      </c>
      <c r="G44" s="10">
        <f>Inputs!G231-G31+SUM(G38:G40)</f>
        <v>-1</v>
      </c>
      <c r="H44" s="27">
        <f>Inputs!H200</f>
        <v>0</v>
      </c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153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136</v>
      </c>
      <c r="C9" s="2"/>
      <c r="D9" s="2"/>
      <c r="E9" s="2"/>
      <c r="F9" s="2"/>
      <c r="G9" s="2"/>
      <c r="H9" s="6"/>
      <c r="I9" s="1" t="s">
        <v>137</v>
      </c>
    </row>
    <row r="10">
      <c r="B10" s="1" t="s">
        <v>138</v>
      </c>
      <c r="C10" s="2"/>
      <c r="D10" s="2"/>
      <c r="E10" s="2"/>
      <c r="F10" s="2"/>
      <c r="G10" s="2"/>
      <c r="H10" s="6"/>
      <c r="I10" s="1" t="s">
        <v>139</v>
      </c>
    </row>
    <row r="11">
      <c r="B11" s="1" t="s">
        <v>140</v>
      </c>
      <c r="C11" s="2"/>
      <c r="D11" s="2"/>
      <c r="E11" s="2"/>
      <c r="F11" s="2"/>
      <c r="G11" s="2"/>
      <c r="H11" s="6"/>
      <c r="I11" s="1"/>
    </row>
    <row r="12">
      <c r="B12" s="1" t="s">
        <v>141</v>
      </c>
      <c r="C12" s="2"/>
      <c r="D12" s="2"/>
      <c r="E12" s="2"/>
      <c r="F12" s="2"/>
      <c r="G12" s="2"/>
      <c r="H12" s="6"/>
      <c r="I12" s="1"/>
    </row>
    <row r="13">
      <c r="B13" s="1" t="s">
        <v>142</v>
      </c>
      <c r="C13" s="2"/>
      <c r="D13" s="2"/>
      <c r="E13" s="2"/>
      <c r="F13" s="2"/>
      <c r="G13" s="2"/>
      <c r="H13" s="6"/>
      <c r="I13" s="1"/>
    </row>
    <row r="14">
      <c r="B14" s="1"/>
      <c r="C14" s="2"/>
      <c r="D14" s="2"/>
      <c r="E14" s="2"/>
      <c r="F14" s="2"/>
      <c r="G14" s="2"/>
      <c r="H14" s="6"/>
      <c r="I14" s="1"/>
    </row>
    <row r="15">
      <c r="B15" s="1"/>
      <c r="C15" s="2"/>
      <c r="D15" s="2"/>
      <c r="E15" s="2"/>
      <c r="F15" s="2"/>
      <c r="G15" s="2"/>
      <c r="H15" s="6"/>
      <c r="I15" s="1"/>
    </row>
    <row r="16">
      <c r="B16" s="1"/>
      <c r="C16" s="26"/>
      <c r="D16" s="26"/>
      <c r="E16" s="26"/>
      <c r="F16" s="26"/>
      <c r="G16" s="26"/>
      <c r="H16" s="31"/>
      <c r="I16" s="1"/>
    </row>
    <row r="17">
      <c r="B17" s="1"/>
      <c r="C17" s="2"/>
      <c r="D17" s="2"/>
      <c r="E17" s="2"/>
      <c r="F17" s="2"/>
      <c r="G17" s="2"/>
      <c r="H17" s="6"/>
      <c r="I17" s="1"/>
    </row>
    <row r="18">
      <c r="B18" s="1" t="s">
        <v>143</v>
      </c>
      <c r="C18" s="10">
        <f>Inputs!C126</f>
        <v>27.5</v>
      </c>
      <c r="D18" s="10">
        <f>Inputs!D126</f>
        <v>24.6</v>
      </c>
      <c r="E18" s="10">
        <f>Inputs!E126</f>
        <v>24.4</v>
      </c>
      <c r="F18" s="10">
        <f>Inputs!F126</f>
        <v>25.7</v>
      </c>
      <c r="G18" s="10">
        <f>Inputs!G126</f>
        <v>101.7</v>
      </c>
      <c r="H18" s="27">
        <f>Inputs!H192</f>
        <v>27.78</v>
      </c>
      <c r="I18" s="1"/>
    </row>
    <row r="19">
      <c r="B19" s="1" t="s">
        <v>144</v>
      </c>
      <c r="C19" s="26"/>
      <c r="D19" s="26"/>
      <c r="E19" s="26"/>
      <c r="F19" s="26"/>
      <c r="G19" s="26"/>
      <c r="H19" s="31">
        <f>H18/C18-1</f>
        <v>0.010181818181818292</v>
      </c>
      <c r="I19" s="1"/>
    </row>
    <row r="20">
      <c r="B20" s="1" t="s">
        <v>145</v>
      </c>
      <c r="C20" s="2"/>
      <c r="D20" s="2">
        <f>D18-C18</f>
        <v>-2.8999999999999986</v>
      </c>
      <c r="E20" s="2">
        <f>E18-D18</f>
        <v>-0.20000000000000284</v>
      </c>
      <c r="F20" s="2">
        <f>F18-E18</f>
        <v>1.3000000000000007</v>
      </c>
      <c r="G20" s="2"/>
      <c r="H20" s="6">
        <f>H18-F18</f>
        <v>2.080000000000002</v>
      </c>
      <c r="I20" s="1"/>
    </row>
    <row r="21">
      <c r="B21" s="1" t="s">
        <v>146</v>
      </c>
      <c r="C21" s="26"/>
      <c r="D21" s="26"/>
      <c r="E21" s="26"/>
      <c r="F21" s="26"/>
      <c r="G21" s="26"/>
      <c r="H21" s="31"/>
      <c r="I21" s="1"/>
    </row>
    <row r="22">
      <c r="B22" s="1" t="s">
        <v>147</v>
      </c>
      <c r="C22" s="2"/>
      <c r="D22" s="2"/>
      <c r="E22" s="2"/>
      <c r="F22" s="2"/>
      <c r="G22" s="2"/>
      <c r="H22" s="6"/>
      <c r="I22" s="1"/>
    </row>
    <row r="23">
      <c r="B23" s="1" t="s">
        <v>148</v>
      </c>
      <c r="C23" s="2"/>
      <c r="D23" s="2"/>
      <c r="E23" s="2"/>
      <c r="F23" s="2"/>
      <c r="G23" s="2"/>
      <c r="H23" s="27">
        <f>H18*C24*(1+Inputs!H173)</f>
        <v>173.63</v>
      </c>
      <c r="I23" s="1"/>
    </row>
    <row r="24">
      <c r="B24" s="1" t="s">
        <v>149</v>
      </c>
      <c r="C24" s="2">
        <f>C31/C18</f>
        <v>6.509090909090909</v>
      </c>
      <c r="D24" s="2"/>
      <c r="E24" s="2"/>
      <c r="F24" s="2"/>
      <c r="G24" s="2"/>
      <c r="H24" s="6">
        <f>H23/H18</f>
        <v>6.250179985601151</v>
      </c>
      <c r="I24" s="1"/>
    </row>
    <row r="25">
      <c r="B25" s="1" t="s">
        <v>103</v>
      </c>
      <c r="C25" s="26"/>
      <c r="D25" s="26"/>
      <c r="E25" s="26"/>
      <c r="F25" s="26"/>
      <c r="G25" s="26"/>
      <c r="H25" s="31">
        <f>H24/C24-1</f>
        <v>-0.03977681785457177</v>
      </c>
      <c r="I25" s="1"/>
    </row>
    <row r="26">
      <c r="B26" s="1" t="s">
        <v>150</v>
      </c>
      <c r="C26" s="2"/>
      <c r="D26" s="2"/>
      <c r="E26" s="2"/>
      <c r="F26" s="2"/>
      <c r="G26" s="2"/>
      <c r="H26" s="27">
        <f>Inputs!H200</f>
        <v>0</v>
      </c>
      <c r="I26" s="1"/>
    </row>
    <row r="27">
      <c r="B27" s="1" t="s">
        <v>104</v>
      </c>
      <c r="C27" s="2"/>
      <c r="D27" s="2"/>
      <c r="E27" s="2"/>
      <c r="F27" s="2"/>
      <c r="G27" s="2"/>
      <c r="H27" s="6"/>
      <c r="I27" s="1"/>
    </row>
    <row r="28">
      <c r="B28" s="1" t="s">
        <v>105</v>
      </c>
      <c r="C28" s="26"/>
      <c r="D28" s="26"/>
      <c r="E28" s="26"/>
      <c r="F28" s="26"/>
      <c r="G28" s="26"/>
      <c r="H28" s="31"/>
      <c r="I28" s="1"/>
    </row>
    <row r="29">
      <c r="B29" s="16" t="s">
        <v>151</v>
      </c>
      <c r="C29" s="4">
        <f>C31</f>
        <v>179</v>
      </c>
      <c r="D29" s="4">
        <f>D31</f>
        <v>29</v>
      </c>
      <c r="E29" s="4">
        <f>E31</f>
        <v>0</v>
      </c>
      <c r="F29" s="4">
        <f>F31</f>
        <v>34</v>
      </c>
      <c r="G29" s="4">
        <f>G31</f>
        <v>241</v>
      </c>
      <c r="H29" s="9">
        <f>H31</f>
        <v>173.63</v>
      </c>
      <c r="I29" s="1"/>
    </row>
    <row r="30">
      <c r="B30" s="1" t="s">
        <v>152</v>
      </c>
      <c r="C30" s="2"/>
      <c r="D30" s="2"/>
      <c r="E30" s="2"/>
      <c r="F30" s="2"/>
      <c r="G30" s="2"/>
      <c r="H30" s="27">
        <f>Inputs!H200</f>
        <v>0</v>
      </c>
      <c r="I30" s="1"/>
    </row>
    <row r="31">
      <c r="B31" s="16" t="s">
        <v>108</v>
      </c>
      <c r="C31" s="17">
        <f>Inputs!C103</f>
        <v>179</v>
      </c>
      <c r="D31" s="17">
        <f>Inputs!D103</f>
        <v>29</v>
      </c>
      <c r="E31" s="17">
        <f>Inputs!E103</f>
        <v>0</v>
      </c>
      <c r="F31" s="17">
        <f>Inputs!F103</f>
        <v>34</v>
      </c>
      <c r="G31" s="17">
        <f>Inputs!G103</f>
        <v>241</v>
      </c>
      <c r="H31" s="9">
        <f>H23+H26+H30</f>
        <v>173.63</v>
      </c>
      <c r="I31" s="1"/>
    </row>
    <row r="32">
      <c r="B32" s="1" t="s">
        <v>109</v>
      </c>
      <c r="C32" s="26"/>
      <c r="D32" s="26"/>
      <c r="E32" s="26"/>
      <c r="F32" s="26">
        <f>F35</f>
        <v>-0.8100558659217877</v>
      </c>
      <c r="G32" s="26"/>
      <c r="H32" s="31">
        <f>(1+H35)/((1+H33)*(1+H34))-1</f>
        <v>-0.030000000000000027</v>
      </c>
      <c r="I32" s="1"/>
    </row>
    <row r="33">
      <c r="B33" s="1" t="s">
        <v>110</v>
      </c>
      <c r="C33" s="26"/>
      <c r="D33" s="26"/>
      <c r="E33" s="26"/>
      <c r="F33" s="26"/>
      <c r="G33" s="26"/>
      <c r="H33" s="30">
        <f>Inputs!H200</f>
        <v>0</v>
      </c>
      <c r="I33" s="1"/>
    </row>
    <row r="34">
      <c r="B34" s="1" t="s">
        <v>111</v>
      </c>
      <c r="C34" s="26"/>
      <c r="D34" s="26"/>
      <c r="E34" s="26"/>
      <c r="F34" s="26"/>
      <c r="G34" s="26"/>
      <c r="H34" s="30">
        <f>Inputs!H200</f>
        <v>0</v>
      </c>
      <c r="I34" s="1"/>
    </row>
    <row r="35">
      <c r="B35" s="1" t="s">
        <v>112</v>
      </c>
      <c r="C35" s="26"/>
      <c r="D35" s="26"/>
      <c r="E35" s="26"/>
      <c r="F35" s="26">
        <f>F31/$C31-1</f>
        <v>-0.8100558659217877</v>
      </c>
      <c r="G35" s="26"/>
      <c r="H35" s="31">
        <f>H31/$C31-1</f>
        <v>-0.030000000000000027</v>
      </c>
      <c r="I35" s="1"/>
    </row>
    <row r="36">
      <c r="B36" s="1" t="s">
        <v>113</v>
      </c>
      <c r="C36" s="26"/>
      <c r="D36" s="26">
        <f>IFERROR(D31/C31-1,0)</f>
        <v>-0.8379888268156425</v>
      </c>
      <c r="E36" s="26">
        <f>IFERROR(E31/D31-1,0)</f>
        <v>-1</v>
      </c>
      <c r="F36" s="26">
        <f>IFERROR(F31/E31-1,0)</f>
        <v>0</v>
      </c>
      <c r="G36" s="26"/>
      <c r="H36" s="31">
        <f>H31/F31-1</f>
        <v>4.106764705882353</v>
      </c>
      <c r="I36" s="1"/>
    </row>
    <row r="37">
      <c r="B37" s="1" t="s">
        <v>114</v>
      </c>
      <c r="C37" s="15">
        <f>C31/'Revenue summary'!C18</f>
        <v>0.021955108549000367</v>
      </c>
      <c r="D37" s="15">
        <f>D31/'Revenue summary'!D18</f>
        <v>0.004581358609794629</v>
      </c>
      <c r="E37" s="15">
        <f>E31/'Revenue summary'!E18</f>
        <v>0</v>
      </c>
      <c r="F37" s="15">
        <f>F31/'Revenue summary'!F18</f>
        <v>0.00510280654359898</v>
      </c>
      <c r="G37" s="15">
        <f>G31/'Revenue summary'!G18</f>
        <v>0.009052663210878222</v>
      </c>
      <c r="H37" s="30">
        <f>H31/'Revenue summary'!H18</f>
        <v>0.02077189426204984</v>
      </c>
      <c r="I37" s="1"/>
    </row>
    <row r="38">
      <c r="B38" s="1" t="s">
        <v>115</v>
      </c>
      <c r="C38" s="10">
        <f>Inputs!C232</f>
        <v>97</v>
      </c>
      <c r="D38" s="10">
        <f>Inputs!D232</f>
        <v>33</v>
      </c>
      <c r="E38" s="10">
        <f>Inputs!E232</f>
        <v>13</v>
      </c>
      <c r="F38" s="10">
        <f>Inputs!F232</f>
        <v>42</v>
      </c>
      <c r="G38" s="10">
        <f>Inputs!G232</f>
        <v>177</v>
      </c>
      <c r="H38" s="27">
        <f>C38*'Income Statement'!H22/'Income Statement'!C22</f>
        <v>104.42177194982897</v>
      </c>
      <c r="I38" s="1"/>
    </row>
    <row r="39">
      <c r="B39" s="1" t="s">
        <v>116</v>
      </c>
      <c r="C39" s="10">
        <f>Inputs!C233</f>
        <v>4</v>
      </c>
      <c r="D39" s="10">
        <f>Inputs!D233</f>
        <v>4</v>
      </c>
      <c r="E39" s="10">
        <f>Inputs!E233</f>
        <v>5</v>
      </c>
      <c r="F39" s="10">
        <f>Inputs!F233</f>
        <v>5</v>
      </c>
      <c r="G39" s="10">
        <f>Inputs!G233</f>
        <v>17</v>
      </c>
      <c r="H39" s="27">
        <f>C39*'Income Statement'!H23/'Income Statement'!C23</f>
        <v>4.08</v>
      </c>
      <c r="I39" s="1"/>
    </row>
    <row r="40">
      <c r="B40" s="1" t="s">
        <v>117</v>
      </c>
      <c r="C40" s="10">
        <f>Inputs!C234</f>
        <v>7</v>
      </c>
      <c r="D40" s="10">
        <f>Inputs!D234</f>
        <v>7</v>
      </c>
      <c r="E40" s="10">
        <f>Inputs!E234</f>
        <v>7</v>
      </c>
      <c r="F40" s="10">
        <f>Inputs!F234</f>
        <v>7</v>
      </c>
      <c r="G40" s="10">
        <f>Inputs!G234</f>
        <v>26</v>
      </c>
      <c r="H40" s="27">
        <f>C40*'Income Statement'!H24/'Income Statement'!C24</f>
        <v>7.224546722454672</v>
      </c>
      <c r="I40" s="1"/>
    </row>
    <row r="41">
      <c r="B41" s="16" t="s">
        <v>118</v>
      </c>
      <c r="C41" s="4">
        <f>C31-SUM(C38:C40)+C44</f>
        <v>71</v>
      </c>
      <c r="D41" s="4">
        <f>D31-SUM(D38:D40)+D44</f>
        <v>-14</v>
      </c>
      <c r="E41" s="4">
        <f>E31-SUM(E38:E40)+E44</f>
        <v>-24</v>
      </c>
      <c r="F41" s="4">
        <f>F31-SUM(F38:F40)+F44</f>
        <v>-21</v>
      </c>
      <c r="G41" s="4">
        <f>G31-SUM(G38:G40)+G44</f>
        <v>22</v>
      </c>
      <c r="H41" s="9">
        <f>H31-SUM(H38:H40)</f>
        <v>57.903681327716356</v>
      </c>
      <c r="I41" s="1"/>
    </row>
    <row r="42">
      <c r="B42" s="1" t="s">
        <v>119</v>
      </c>
      <c r="C42" s="26">
        <f>IFERROR(C41/C31,0)</f>
        <v>0.39664804469273746</v>
      </c>
      <c r="D42" s="26">
        <f>IFERROR(D41/D31,0)</f>
        <v>-0.4827586206896552</v>
      </c>
      <c r="E42" s="26">
        <f>IFERROR(E41/E31,0)</f>
        <v>0</v>
      </c>
      <c r="F42" s="26">
        <f>IFERROR(F41/F31,0)</f>
        <v>-0.6176470588235294</v>
      </c>
      <c r="G42" s="26">
        <f>IFERROR(G41/G31,0)</f>
        <v>0.0912863070539419</v>
      </c>
      <c r="H42" s="31">
        <f>H41/H31</f>
        <v>0.3334889208530574</v>
      </c>
      <c r="I42" s="1"/>
    </row>
    <row r="43">
      <c r="B43" s="1" t="s">
        <v>120</v>
      </c>
      <c r="C43" s="2"/>
      <c r="D43" s="2"/>
      <c r="E43" s="2"/>
      <c r="F43" s="2"/>
      <c r="G43" s="2"/>
      <c r="H43" s="6">
        <f>(H42-C42)*10000</f>
        <v>-631.5912383968003</v>
      </c>
      <c r="I43" s="1"/>
    </row>
    <row r="44">
      <c r="B44" s="1" t="s">
        <v>121</v>
      </c>
      <c r="C44" s="10">
        <f>Inputs!C235-C31+SUM(C38:C40)</f>
        <v>0</v>
      </c>
      <c r="D44" s="10">
        <f>Inputs!D235-D31+SUM(D38:D40)</f>
        <v>1</v>
      </c>
      <c r="E44" s="10">
        <f>Inputs!E235-E31+SUM(E38:E40)</f>
        <v>1</v>
      </c>
      <c r="F44" s="10">
        <f>Inputs!F235-F31+SUM(F38:F40)</f>
        <v>-1</v>
      </c>
      <c r="G44" s="10">
        <f>Inputs!G235-G31+SUM(G38:G40)</f>
        <v>1</v>
      </c>
      <c r="H44" s="27">
        <f>Inputs!H200</f>
        <v>0</v>
      </c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154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155</v>
      </c>
      <c r="C9" s="2"/>
      <c r="D9" s="2"/>
      <c r="E9" s="2"/>
      <c r="F9" s="2"/>
      <c r="G9" s="2"/>
      <c r="H9" s="6"/>
      <c r="I9" s="1"/>
    </row>
    <row r="10">
      <c r="B10" s="1" t="s">
        <v>47</v>
      </c>
      <c r="C10" s="10">
        <f>Inputs!C104</f>
        <v>5430</v>
      </c>
      <c r="D10" s="10">
        <f>Inputs!D104</f>
        <v>4053</v>
      </c>
      <c r="E10" s="10">
        <f>Inputs!E104</f>
        <v>4023</v>
      </c>
      <c r="F10" s="10">
        <f>Inputs!F104</f>
        <v>4273</v>
      </c>
      <c r="G10" s="10">
        <f>Inputs!G104</f>
        <v>17419</v>
      </c>
      <c r="H10" s="27">
        <f>'Revenue summary'!H21</f>
        <v>5555.566429927837</v>
      </c>
      <c r="I10" s="1"/>
    </row>
    <row r="11">
      <c r="B11" s="1" t="s">
        <v>48</v>
      </c>
      <c r="C11" s="10">
        <f>Inputs!C105</f>
        <v>2723</v>
      </c>
      <c r="D11" s="10">
        <f>Inputs!D105</f>
        <v>2277</v>
      </c>
      <c r="E11" s="10">
        <f>Inputs!E105</f>
        <v>2142</v>
      </c>
      <c r="F11" s="10">
        <f>Inputs!F105</f>
        <v>2390</v>
      </c>
      <c r="G11" s="10">
        <f>Inputs!G105</f>
        <v>9202</v>
      </c>
      <c r="H11" s="27">
        <f>'Revenue summary'!H22</f>
        <v>2803.32457007216</v>
      </c>
      <c r="I11" s="1"/>
    </row>
    <row r="12">
      <c r="B12" s="16" t="s">
        <v>44</v>
      </c>
      <c r="C12" s="4">
        <f>SUM(C10:C11)</f>
        <v>8153</v>
      </c>
      <c r="D12" s="4">
        <f>SUM(D10:D11)</f>
        <v>6330</v>
      </c>
      <c r="E12" s="4">
        <f>SUM(E10:E11)</f>
        <v>6165</v>
      </c>
      <c r="F12" s="4">
        <f>SUM(F10:F11)</f>
        <v>6663</v>
      </c>
      <c r="G12" s="17">
        <f>SUM(G10:G11,'Revenue summary'!G15)</f>
        <v>26622</v>
      </c>
      <c r="H12" s="9">
        <f>SUM(H10:H11)</f>
        <v>8358.890999999996</v>
      </c>
      <c r="I12" s="1"/>
    </row>
    <row r="13">
      <c r="B13" s="1" t="s">
        <v>45</v>
      </c>
      <c r="C13" s="26"/>
      <c r="D13" s="26"/>
      <c r="E13" s="26"/>
      <c r="F13" s="26">
        <f>F12/$C12-1</f>
        <v>-0.18275481417882988</v>
      </c>
      <c r="G13" s="26"/>
      <c r="H13" s="31">
        <f>H12/$C12-1</f>
        <v>0.025253403655095763</v>
      </c>
      <c r="I13" s="1"/>
    </row>
    <row r="14">
      <c r="B14" s="1" t="s">
        <v>156</v>
      </c>
      <c r="C14" s="26">
        <f>C12/C12</f>
        <v>1</v>
      </c>
      <c r="D14" s="26">
        <f>D12/D12</f>
        <v>1</v>
      </c>
      <c r="E14" s="26">
        <f>E12/E12</f>
        <v>1</v>
      </c>
      <c r="F14" s="26">
        <f>F12/F12</f>
        <v>1</v>
      </c>
      <c r="G14" s="26">
        <f>G12/G12</f>
        <v>1</v>
      </c>
      <c r="H14" s="31">
        <f>H12/H12</f>
        <v>1</v>
      </c>
      <c r="I14" s="1"/>
    </row>
    <row r="15">
      <c r="B15" s="1" t="s">
        <v>157</v>
      </c>
      <c r="C15" s="2"/>
      <c r="D15" s="2"/>
      <c r="E15" s="2"/>
      <c r="F15" s="2"/>
      <c r="G15" s="2"/>
      <c r="H15" s="6"/>
      <c r="I15" s="1"/>
    </row>
    <row r="16">
      <c r="B16" s="1" t="s">
        <v>158</v>
      </c>
      <c r="C16" s="10">
        <f>Inputs!C107</f>
        <v>973</v>
      </c>
      <c r="D16" s="10">
        <f>Inputs!D107</f>
        <v>728</v>
      </c>
      <c r="E16" s="10">
        <f>Inputs!E107</f>
        <v>872</v>
      </c>
      <c r="F16" s="10">
        <f>Inputs!F107</f>
        <v>778</v>
      </c>
      <c r="G16" s="10">
        <f>Inputs!G107</f>
        <v>3331</v>
      </c>
      <c r="H16" s="27">
        <f>$C16*(1+Inputs!H175)</f>
        <v>1002.19</v>
      </c>
      <c r="I16" s="1"/>
    </row>
    <row r="17">
      <c r="B17" s="1" t="s">
        <v>159</v>
      </c>
      <c r="C17" s="10">
        <f>Inputs!C108</f>
        <v>883</v>
      </c>
      <c r="D17" s="10">
        <f>Inputs!D108</f>
        <v>663</v>
      </c>
      <c r="E17" s="10">
        <f>Inputs!E108</f>
        <v>618</v>
      </c>
      <c r="F17" s="10">
        <f>Inputs!F108</f>
        <v>697</v>
      </c>
      <c r="G17" s="10">
        <f>Inputs!G108</f>
        <v>2816</v>
      </c>
      <c r="H17" s="27">
        <f>$C17*(1+Inputs!H176)</f>
        <v>900.66</v>
      </c>
      <c r="I17" s="1"/>
    </row>
    <row r="18">
      <c r="B18" s="1" t="s">
        <v>160</v>
      </c>
      <c r="C18" s="10">
        <f>Inputs!C109</f>
        <v>636</v>
      </c>
      <c r="D18" s="10">
        <f>Inputs!D109</f>
        <v>673</v>
      </c>
      <c r="E18" s="10">
        <f>Inputs!E109</f>
        <v>684</v>
      </c>
      <c r="F18" s="10">
        <f>Inputs!F109</f>
        <v>699</v>
      </c>
      <c r="G18" s="10">
        <f>Inputs!G109</f>
        <v>2589</v>
      </c>
      <c r="H18" s="27">
        <f>$C18*(1+Inputs!H177)</f>
        <v>661.44</v>
      </c>
      <c r="I18" s="1"/>
    </row>
    <row r="19">
      <c r="B19" s="1" t="s">
        <v>161</v>
      </c>
      <c r="C19" s="10">
        <f>Inputs!C110</f>
        <v>451</v>
      </c>
      <c r="D19" s="10">
        <f>Inputs!D110</f>
        <v>425</v>
      </c>
      <c r="E19" s="10">
        <f>Inputs!E110</f>
        <v>397</v>
      </c>
      <c r="F19" s="10">
        <f>Inputs!F110</f>
        <v>595</v>
      </c>
      <c r="G19" s="10">
        <f>Inputs!G110</f>
        <v>1808</v>
      </c>
      <c r="H19" s="27">
        <f>Inputs!H181</f>
        <v>620</v>
      </c>
      <c r="I19" s="1"/>
    </row>
    <row r="20">
      <c r="B20" s="1" t="s">
        <v>162</v>
      </c>
      <c r="C20" s="10">
        <f>Inputs!C111</f>
        <v>398</v>
      </c>
      <c r="D20" s="10">
        <f>Inputs!D111</f>
        <v>375</v>
      </c>
      <c r="E20" s="10">
        <f>Inputs!E111</f>
        <v>382</v>
      </c>
      <c r="F20" s="10">
        <f>Inputs!F111</f>
        <v>389</v>
      </c>
      <c r="G20" s="10">
        <f>Inputs!G111</f>
        <v>1499</v>
      </c>
      <c r="H20" s="27">
        <f>$C20*(1+Inputs!H178)</f>
        <v>413.92</v>
      </c>
      <c r="I20" s="1"/>
    </row>
    <row r="21">
      <c r="B21" s="1" t="s">
        <v>163</v>
      </c>
      <c r="C21" s="10">
        <f>Inputs!C112</f>
        <v>1044</v>
      </c>
      <c r="D21" s="10">
        <f>Inputs!D112</f>
        <v>1046</v>
      </c>
      <c r="E21" s="10">
        <f>Inputs!E112</f>
        <v>986</v>
      </c>
      <c r="F21" s="10">
        <f>Inputs!F112</f>
        <v>1067</v>
      </c>
      <c r="G21" s="10">
        <f>Inputs!G112</f>
        <v>3904</v>
      </c>
      <c r="H21" s="27">
        <f>$C21*(1+Inputs!H179)</f>
        <v>1122.3</v>
      </c>
      <c r="I21" s="1"/>
    </row>
    <row r="22">
      <c r="B22" s="16" t="s">
        <v>164</v>
      </c>
      <c r="C22" s="4">
        <f>SUM(C16:C21)</f>
        <v>4385</v>
      </c>
      <c r="D22" s="4">
        <f>SUM(D16:D21)</f>
        <v>3910</v>
      </c>
      <c r="E22" s="4">
        <f>SUM(E16:E21)</f>
        <v>3939</v>
      </c>
      <c r="F22" s="4">
        <f>SUM(F16:F21)</f>
        <v>4225</v>
      </c>
      <c r="G22" s="4">
        <f>SUM(G16:G21)</f>
        <v>15947</v>
      </c>
      <c r="H22" s="9">
        <f>SUM(H16:H21)</f>
        <v>4720.51</v>
      </c>
      <c r="I22" s="1"/>
    </row>
    <row r="23">
      <c r="B23" s="1" t="s">
        <v>116</v>
      </c>
      <c r="C23" s="10">
        <f>Inputs!C113</f>
        <v>779</v>
      </c>
      <c r="D23" s="10">
        <f>Inputs!D113</f>
        <v>959</v>
      </c>
      <c r="E23" s="10">
        <f>Inputs!E113</f>
        <v>924</v>
      </c>
      <c r="F23" s="10">
        <f>Inputs!F113</f>
        <v>863</v>
      </c>
      <c r="G23" s="10">
        <f>Inputs!G113</f>
        <v>3402</v>
      </c>
      <c r="H23" s="27">
        <f>$C23*(1+Inputs!H180)</f>
        <v>794.58</v>
      </c>
      <c r="I23" s="1"/>
    </row>
    <row r="24">
      <c r="B24" s="1" t="s">
        <v>165</v>
      </c>
      <c r="C24" s="10">
        <f>Inputs!C114</f>
        <v>717</v>
      </c>
      <c r="D24" s="10">
        <f>Inputs!D114</f>
        <v>727</v>
      </c>
      <c r="E24" s="10">
        <f>Inputs!E114</f>
        <v>696</v>
      </c>
      <c r="F24" s="10">
        <f>Inputs!F114</f>
        <v>723</v>
      </c>
      <c r="G24" s="10">
        <f>Inputs!G114</f>
        <v>2790</v>
      </c>
      <c r="H24" s="27">
        <f>Inputs!H182</f>
        <v>740</v>
      </c>
      <c r="I24" s="1"/>
    </row>
    <row r="25">
      <c r="B25" s="16" t="s">
        <v>166</v>
      </c>
      <c r="C25" s="4">
        <f>C12-C22-C23-C24</f>
        <v>2272</v>
      </c>
      <c r="D25" s="4">
        <f>D12-D22-D23-D24</f>
        <v>734</v>
      </c>
      <c r="E25" s="4">
        <f>E12-E22-E23-E24</f>
        <v>606</v>
      </c>
      <c r="F25" s="4">
        <f>F12-F22-F23-F24</f>
        <v>852</v>
      </c>
      <c r="G25" s="4">
        <f>G12-G22-G23-G24</f>
        <v>4483</v>
      </c>
      <c r="H25" s="9">
        <f>H12-H22-H23-H24</f>
        <v>2103.800999999996</v>
      </c>
      <c r="I25" s="1"/>
    </row>
    <row r="26">
      <c r="B26" s="1" t="s">
        <v>119</v>
      </c>
      <c r="C26" s="26">
        <f>C25/C12</f>
        <v>0.27867042806328957</v>
      </c>
      <c r="D26" s="26">
        <f>D25/D12</f>
        <v>0.11595576619273301</v>
      </c>
      <c r="E26" s="26">
        <f>E25/E12</f>
        <v>0.09829683698296837</v>
      </c>
      <c r="F26" s="26">
        <f>F25/F12</f>
        <v>0.12787032868077441</v>
      </c>
      <c r="G26" s="26">
        <f>G25/G12</f>
        <v>0.1683945608894899</v>
      </c>
      <c r="H26" s="31">
        <f>H25/H12</f>
        <v>0.2516842246178347</v>
      </c>
      <c r="I26" s="1"/>
    </row>
    <row r="27">
      <c r="B27" s="1" t="s">
        <v>167</v>
      </c>
      <c r="C27" s="10">
        <f>Inputs!C115</f>
        <v>15</v>
      </c>
      <c r="D27" s="10">
        <f>Inputs!D115</f>
        <v>17</v>
      </c>
      <c r="E27" s="10">
        <f>Inputs!E115</f>
        <v>12</v>
      </c>
      <c r="F27" s="10">
        <f>Inputs!F115</f>
        <v>12</v>
      </c>
      <c r="G27" s="10">
        <f>Inputs!G115</f>
        <v>51</v>
      </c>
      <c r="H27" s="27">
        <f>Inputs!H184</f>
        <v>14</v>
      </c>
      <c r="I27" s="1"/>
    </row>
    <row r="28">
      <c r="B28" s="1" t="s">
        <v>168</v>
      </c>
      <c r="C28" s="10">
        <f>Inputs!C116</f>
        <v>-317</v>
      </c>
      <c r="D28" s="10">
        <f>Inputs!D116</f>
        <v>-315</v>
      </c>
      <c r="E28" s="10">
        <f>Inputs!E116</f>
        <v>-291</v>
      </c>
      <c r="F28" s="10">
        <f>Inputs!F116</f>
        <v>-285</v>
      </c>
      <c r="G28" s="10">
        <f>Inputs!G116</f>
        <v>-1349</v>
      </c>
      <c r="H28" s="27">
        <f>-Inputs!H183</f>
        <v>-270</v>
      </c>
      <c r="I28" s="1"/>
    </row>
    <row r="29">
      <c r="B29" s="1" t="s">
        <v>169</v>
      </c>
      <c r="C29" s="10">
        <f>Inputs!C117</f>
        <v>-111</v>
      </c>
      <c r="D29" s="10">
        <f>Inputs!D117</f>
        <v>-43</v>
      </c>
      <c r="E29" s="10">
        <f>Inputs!E117</f>
        <v>0</v>
      </c>
      <c r="F29" s="10">
        <f>Inputs!F117</f>
        <v>0</v>
      </c>
      <c r="G29" s="10">
        <f>Inputs!G117</f>
        <v>-409</v>
      </c>
      <c r="H29" s="27">
        <f>Inputs!H200</f>
        <v>0</v>
      </c>
      <c r="I29" s="1"/>
    </row>
    <row r="30">
      <c r="B30" s="1" t="s">
        <v>170</v>
      </c>
      <c r="C30" s="10">
        <f>Inputs!C118</f>
        <v>-2</v>
      </c>
      <c r="D30" s="10">
        <f>Inputs!D118</f>
        <v>10</v>
      </c>
      <c r="E30" s="10">
        <f>Inputs!E118</f>
        <v>-47</v>
      </c>
      <c r="F30" s="10">
        <f>Inputs!F118</f>
        <v>-23</v>
      </c>
      <c r="G30" s="10">
        <f>Inputs!G118</f>
        <v>-4</v>
      </c>
      <c r="H30" s="27">
        <f>Inputs!H185</f>
        <v>-5</v>
      </c>
      <c r="I30" s="1"/>
    </row>
    <row r="31">
      <c r="B31" s="16" t="s">
        <v>171</v>
      </c>
      <c r="C31" s="4">
        <f>SUM(C25,C27:C30)</f>
        <v>1857</v>
      </c>
      <c r="D31" s="4">
        <f>SUM(D25,D27:D30)</f>
        <v>403</v>
      </c>
      <c r="E31" s="4">
        <f>SUM(E25,E27:E30)</f>
        <v>280</v>
      </c>
      <c r="F31" s="4">
        <f>SUM(F25,F27:F30)</f>
        <v>556</v>
      </c>
      <c r="G31" s="4">
        <f>SUM(G25,G27:G30)</f>
        <v>2772</v>
      </c>
      <c r="H31" s="9">
        <f>SUM(H25,H27:H30)</f>
        <v>1842.8009999999958</v>
      </c>
      <c r="I31" s="1"/>
    </row>
    <row r="32">
      <c r="B32" s="1" t="s">
        <v>172</v>
      </c>
      <c r="C32" s="10">
        <f>Inputs!C119</f>
        <v>-6</v>
      </c>
      <c r="D32" s="10">
        <f>Inputs!D119</f>
        <v>18</v>
      </c>
      <c r="E32" s="10">
        <f>Inputs!E119</f>
        <v>-17</v>
      </c>
      <c r="F32" s="10">
        <f>Inputs!F119</f>
        <v>-17</v>
      </c>
      <c r="G32" s="10">
        <f>Inputs!G119</f>
        <v>-12</v>
      </c>
      <c r="H32" s="27">
        <f>Inputs!H186</f>
        <v>-25</v>
      </c>
      <c r="I32" s="1"/>
    </row>
    <row r="33">
      <c r="B33" s="16" t="s">
        <v>173</v>
      </c>
      <c r="C33" s="4">
        <f>SUM(C31:C32)</f>
        <v>1851</v>
      </c>
      <c r="D33" s="4">
        <f>SUM(D31:D32)</f>
        <v>421</v>
      </c>
      <c r="E33" s="4">
        <f>SUM(E31:E32)</f>
        <v>263</v>
      </c>
      <c r="F33" s="4">
        <f>SUM(F31:F32)</f>
        <v>539</v>
      </c>
      <c r="G33" s="4">
        <f>SUM(G31:G32)</f>
        <v>2760</v>
      </c>
      <c r="H33" s="9">
        <f>SUM(H31:H32)</f>
        <v>1817.8009999999958</v>
      </c>
      <c r="I33" s="1"/>
    </row>
    <row r="34">
      <c r="B34" s="1" t="s">
        <v>174</v>
      </c>
      <c r="C34" s="10">
        <f>Inputs!C120</f>
        <v>0</v>
      </c>
      <c r="D34" s="10">
        <f>Inputs!D120</f>
        <v>0</v>
      </c>
      <c r="E34" s="10">
        <f>Inputs!E120</f>
        <v>4</v>
      </c>
      <c r="F34" s="10">
        <f>Inputs!F120</f>
        <v>2</v>
      </c>
      <c r="G34" s="10">
        <f>Inputs!G120</f>
        <v>0</v>
      </c>
      <c r="H34" s="27">
        <f>Inputs!H187</f>
        <v>3</v>
      </c>
      <c r="I34" s="1"/>
    </row>
    <row r="35">
      <c r="B35" s="16" t="s">
        <v>175</v>
      </c>
      <c r="C35" s="4">
        <f>C33-C34</f>
        <v>1851</v>
      </c>
      <c r="D35" s="4">
        <f>D33-D34</f>
        <v>421</v>
      </c>
      <c r="E35" s="4">
        <f>E33-E34</f>
        <v>259</v>
      </c>
      <c r="F35" s="4">
        <f>F33-F34</f>
        <v>537</v>
      </c>
      <c r="G35" s="4">
        <f>G33-G34</f>
        <v>2760</v>
      </c>
      <c r="H35" s="9">
        <f>H33-H34</f>
        <v>1814.8009999999958</v>
      </c>
      <c r="I35" s="1"/>
    </row>
    <row r="36">
      <c r="B36" s="1" t="s">
        <v>176</v>
      </c>
      <c r="C36" s="10">
        <f>'Share Count'!C10</f>
        <v>1313</v>
      </c>
      <c r="D36" s="10">
        <f>'Share Count'!D10</f>
        <v>1313</v>
      </c>
      <c r="E36" s="10">
        <f>'Share Count'!E10</f>
        <v>1379</v>
      </c>
      <c r="F36" s="10">
        <f>'Share Count'!F10</f>
        <v>1382</v>
      </c>
      <c r="G36" s="10">
        <f>'Share Count'!G10</f>
        <v>1312</v>
      </c>
      <c r="H36" s="27">
        <f>'Share Count'!H10</f>
        <v>1372</v>
      </c>
      <c r="I36" s="1"/>
    </row>
    <row r="37">
      <c r="B37" s="1" t="s">
        <v>177</v>
      </c>
      <c r="C37" s="10">
        <f>'Share Count'!C11</f>
        <v>1402</v>
      </c>
      <c r="D37" s="10">
        <f>'Share Count'!D11</f>
        <v>1403</v>
      </c>
      <c r="E37" s="10">
        <f>'Share Count'!E11</f>
        <v>1392</v>
      </c>
      <c r="F37" s="10">
        <f>'Share Count'!F11</f>
        <v>1388</v>
      </c>
      <c r="G37" s="10">
        <f>'Share Count'!G11</f>
        <v>1402</v>
      </c>
      <c r="H37" s="27">
        <f>'Share Count'!H11</f>
        <v>1377</v>
      </c>
      <c r="I37" s="1"/>
    </row>
    <row r="38">
      <c r="B38" s="1" t="s">
        <v>178</v>
      </c>
      <c r="C38" s="10">
        <f>Inputs!C121</f>
        <v>18</v>
      </c>
      <c r="D38" s="10">
        <f>Inputs!D121</f>
        <v>18</v>
      </c>
      <c r="E38" s="10">
        <f>Inputs!E121</f>
        <v>0</v>
      </c>
      <c r="F38" s="10">
        <f>Inputs!F121</f>
        <v>0</v>
      </c>
      <c r="G38" s="10">
        <f>Inputs!G121</f>
        <v>71</v>
      </c>
      <c r="H38" s="27">
        <f>Inputs!H200</f>
        <v>0</v>
      </c>
      <c r="I38" s="1"/>
    </row>
    <row r="39">
      <c r="B39" s="1" t="s">
        <v>179</v>
      </c>
      <c r="C39" s="36">
        <f>(C35+C38)/C37</f>
        <v>1.3330955777460771</v>
      </c>
      <c r="D39" s="36">
        <f>(D35+D38)/D37</f>
        <v>0.31290092658588736</v>
      </c>
      <c r="E39" s="36">
        <f>(E35+E38)/E37</f>
        <v>0.18606321839080459</v>
      </c>
      <c r="F39" s="36">
        <f>(F35+F38)/F37</f>
        <v>0.3868876080691643</v>
      </c>
      <c r="G39" s="36">
        <f>(G35+G38)/G37</f>
        <v>2.0192582025677606</v>
      </c>
      <c r="H39" s="43">
        <f>(H35+H38)/H37</f>
        <v>1.3179382716049353</v>
      </c>
      <c r="I39" s="1"/>
    </row>
    <row r="40">
      <c r="B40" s="1" t="s">
        <v>180</v>
      </c>
      <c r="C40" s="10">
        <f>Inputs!C210</f>
        <v>0</v>
      </c>
      <c r="D40" s="10">
        <f>Inputs!D210</f>
        <v>-9</v>
      </c>
      <c r="E40" s="10">
        <f>Inputs!E210</f>
        <v>0</v>
      </c>
      <c r="F40" s="10">
        <f>Inputs!F210</f>
        <v>0</v>
      </c>
      <c r="G40" s="10">
        <f>Inputs!G210</f>
        <v>-110</v>
      </c>
      <c r="H40" s="27">
        <f>Inputs!H200</f>
        <v>0</v>
      </c>
      <c r="I40" s="1"/>
    </row>
    <row r="41">
      <c r="B41" s="1" t="s">
        <v>181</v>
      </c>
      <c r="C41" s="2">
        <f>-C29</f>
        <v>111</v>
      </c>
      <c r="D41" s="2">
        <f>-D29</f>
        <v>43</v>
      </c>
      <c r="E41" s="2">
        <f>-E29</f>
        <v>0</v>
      </c>
      <c r="F41" s="2">
        <f>-F29</f>
        <v>0</v>
      </c>
      <c r="G41" s="2">
        <f>-G29</f>
        <v>409</v>
      </c>
      <c r="H41" s="6">
        <f>-H29</f>
        <v>0</v>
      </c>
      <c r="I41" s="1"/>
    </row>
    <row r="42">
      <c r="B42" s="1" t="s">
        <v>182</v>
      </c>
      <c r="C42" s="10">
        <f>Inputs!C211</f>
        <v>3</v>
      </c>
      <c r="D42" s="10">
        <f>Inputs!D211</f>
        <v>8</v>
      </c>
      <c r="E42" s="10">
        <f>Inputs!E211</f>
        <v>0</v>
      </c>
      <c r="F42" s="10">
        <f>Inputs!F211</f>
        <v>0</v>
      </c>
      <c r="G42" s="10">
        <f>Inputs!G211</f>
        <v>13</v>
      </c>
      <c r="H42" s="27">
        <f>Inputs!H200</f>
        <v>0</v>
      </c>
      <c r="I42" s="1"/>
    </row>
    <row r="43">
      <c r="B43" s="1" t="s">
        <v>183</v>
      </c>
      <c r="C43" s="10">
        <f>Inputs!C212</f>
        <v>17</v>
      </c>
      <c r="D43" s="10">
        <f>Inputs!D212</f>
        <v>-10</v>
      </c>
      <c r="E43" s="10">
        <f>Inputs!E212</f>
        <v>17</v>
      </c>
      <c r="F43" s="10">
        <f>Inputs!F212</f>
        <v>32</v>
      </c>
      <c r="G43" s="10">
        <f>Inputs!G212</f>
        <v>7</v>
      </c>
      <c r="H43" s="27">
        <f>Inputs!H188</f>
        <v>18</v>
      </c>
      <c r="I43" s="1"/>
    </row>
    <row r="44">
      <c r="B44" s="16" t="s">
        <v>184</v>
      </c>
      <c r="C44" s="4">
        <f>SUM(C35,C40:C43,C51)</f>
        <v>1982</v>
      </c>
      <c r="D44" s="4">
        <f>SUM(D35,D40:D43,D51)</f>
        <v>454</v>
      </c>
      <c r="E44" s="4">
        <f>SUM(E35,E40:E43,E51)</f>
        <v>275</v>
      </c>
      <c r="F44" s="4">
        <f>SUM(F35,F40:F43,F51)</f>
        <v>569</v>
      </c>
      <c r="G44" s="4">
        <f>SUM(G35,G40:G43,G51)</f>
        <v>3079</v>
      </c>
      <c r="H44" s="9">
        <f>SUM(H35,H40:H43,H51)</f>
        <v>1832.8009999999958</v>
      </c>
      <c r="I44" s="1"/>
    </row>
    <row r="45">
      <c r="B45" s="1" t="s">
        <v>185</v>
      </c>
      <c r="C45" s="36">
        <f>(C44+C38)/C37</f>
        <v>1.4265335235378032</v>
      </c>
      <c r="D45" s="36">
        <f>(D44+D38)/D37</f>
        <v>0.33642195295794725</v>
      </c>
      <c r="E45" s="36">
        <f>(E44+E38)/E37</f>
        <v>0.19755747126436782</v>
      </c>
      <c r="F45" s="36">
        <f>(F44+F38)/F37</f>
        <v>0.4099423631123919</v>
      </c>
      <c r="G45" s="36">
        <f>(G44+G38)/G37</f>
        <v>2.24679029957204</v>
      </c>
      <c r="H45" s="43">
        <f>(H44+H38)/H37</f>
        <v>1.3310101670297718</v>
      </c>
      <c r="I45" s="1"/>
    </row>
    <row r="46">
      <c r="B46" s="1" t="s">
        <v>186</v>
      </c>
      <c r="C46" s="35">
        <f>C45-Inputs!D13</f>
        <v>-0.003466476462196777</v>
      </c>
      <c r="D46" s="35">
        <f>D45-Inputs!D14</f>
        <v>-0.003578047042052779</v>
      </c>
      <c r="E46" s="35">
        <f>E45-Inputs!D15</f>
        <v>-0.0024425287356321934</v>
      </c>
      <c r="F46" s="35">
        <f>F45-Inputs!D16</f>
        <v>-0.000057636887608070175</v>
      </c>
      <c r="G46" s="36"/>
      <c r="H46" s="34">
        <f>H45-Inputs!C29</f>
        <v>-0.01898983297022827</v>
      </c>
      <c r="I46" s="1"/>
    </row>
    <row r="47">
      <c r="B47" s="1" t="s">
        <v>187</v>
      </c>
      <c r="C47" s="35">
        <f>C39-Inputs!F13</f>
        <v>0.0030955777460770495</v>
      </c>
      <c r="D47" s="35">
        <f>D39-Inputs!F14</f>
        <v>0.0029009265858873645</v>
      </c>
      <c r="E47" s="35">
        <f>E39-Inputs!F15</f>
        <v>-0.003936781609195417</v>
      </c>
      <c r="F47" s="35">
        <f>F39-Inputs!F16</f>
        <v>-0.003112391930835734</v>
      </c>
      <c r="G47" s="36"/>
      <c r="H47" s="34">
        <f>H39-Inputs!C38</f>
        <v>-0.032061728395064826</v>
      </c>
      <c r="I47" s="1"/>
    </row>
    <row r="48">
      <c r="B48" s="1" t="s">
        <v>188</v>
      </c>
      <c r="C48" s="2">
        <f>C39*C37-C35-C38</f>
        <v>0</v>
      </c>
      <c r="D48" s="2">
        <f>D39*D37-D35-D38</f>
        <v>0</v>
      </c>
      <c r="E48" s="2">
        <f>E39*E37-E35-E38</f>
        <v>0</v>
      </c>
      <c r="F48" s="2">
        <f>F39*F37-F35-F38</f>
        <v>0</v>
      </c>
      <c r="G48" s="2">
        <f>G39*G37-G35-G38</f>
        <v>0</v>
      </c>
      <c r="H48" s="6">
        <f>H39*H37-H35-H38</f>
        <v>0</v>
      </c>
      <c r="I48" s="1"/>
    </row>
    <row r="49">
      <c r="B49" s="1" t="s">
        <v>189</v>
      </c>
      <c r="C49" s="26">
        <f>C35/C12</f>
        <v>0.22703299398994234</v>
      </c>
      <c r="D49" s="26">
        <f>D35/D12</f>
        <v>0.0665086887835703</v>
      </c>
      <c r="E49" s="26">
        <f>E35/E12</f>
        <v>0.04201135442011354</v>
      </c>
      <c r="F49" s="26">
        <f>F35/F12</f>
        <v>0.08059432687978388</v>
      </c>
      <c r="G49" s="26">
        <f>G35/G12</f>
        <v>0.10367365336939373</v>
      </c>
      <c r="H49" s="31">
        <f>H35/H12</f>
        <v>0.2171102602007846</v>
      </c>
      <c r="I49" s="1"/>
    </row>
    <row r="50">
      <c r="B50" s="16" t="s">
        <v>190</v>
      </c>
      <c r="C50" s="4">
        <f>C44-C27-C28-C32+C24</f>
        <v>3007</v>
      </c>
      <c r="D50" s="4">
        <f>D44-D27-D28-D32+D24</f>
        <v>1461</v>
      </c>
      <c r="E50" s="4">
        <f>E44-E27-E28-E32+E24</f>
        <v>1267</v>
      </c>
      <c r="F50" s="4">
        <f>F44-F27-F28-F32+F24</f>
        <v>1582</v>
      </c>
      <c r="G50" s="4">
        <f>G44-G27-G28-G32+G24</f>
        <v>7179</v>
      </c>
      <c r="H50" s="9">
        <f>H44-H27-H28-H32+H24</f>
        <v>2853.800999999996</v>
      </c>
      <c r="I50" s="1"/>
    </row>
    <row r="51">
      <c r="B51" s="1" t="s">
        <v>191</v>
      </c>
      <c r="C51" s="10">
        <f>Inputs!C125-SUM(C35,C40:C43)</f>
        <v>0</v>
      </c>
      <c r="D51" s="10">
        <f>Inputs!D125-SUM(D35,D40:D43)</f>
        <v>0</v>
      </c>
      <c r="E51" s="10">
        <f>Inputs!E125-SUM(E35,E40:E43)</f>
        <v>0</v>
      </c>
      <c r="F51" s="10">
        <f>Inputs!F125-SUM(F35,F40:F43)</f>
        <v>0</v>
      </c>
      <c r="G51" s="10">
        <f>Inputs!G125-SUM(G35,G40:G43)</f>
        <v>0</v>
      </c>
      <c r="H51" s="27">
        <f>Inputs!H200</f>
        <v>0</v>
      </c>
      <c r="I51" s="1"/>
    </row>
    <row r="52">
      <c r="B52" s="1" t="s">
        <v>192</v>
      </c>
      <c r="C52" s="35">
        <f>Inputs!C13</f>
        <v>1.32</v>
      </c>
      <c r="D52" s="35">
        <f>Inputs!C14</f>
        <v>0.25</v>
      </c>
      <c r="E52" s="35">
        <f>Inputs!C15</f>
        <v>0.18</v>
      </c>
      <c r="F52" s="35">
        <f>Inputs!C16</f>
        <v>0.34</v>
      </c>
      <c r="G52" s="36"/>
      <c r="H52" s="34">
        <f>Inputs!C29</f>
        <v>1.35</v>
      </c>
      <c r="I52" s="1"/>
    </row>
    <row r="53">
      <c r="B53" s="1" t="s">
        <v>193</v>
      </c>
      <c r="C53" s="35">
        <f>Inputs!E13</f>
        <v>1.31</v>
      </c>
      <c r="D53" s="35">
        <f>Inputs!E14</f>
        <v>0.24</v>
      </c>
      <c r="E53" s="35">
        <f>Inputs!E15</f>
        <v>0.19</v>
      </c>
      <c r="F53" s="35">
        <f>Inputs!E16</f>
        <v>0.34</v>
      </c>
      <c r="G53" s="36"/>
      <c r="H53" s="34">
        <f>Inputs!C38</f>
        <v>1.35</v>
      </c>
      <c r="I53" s="1"/>
    </row>
    <row r="54">
      <c r="B54" s="1" t="s">
        <v>194</v>
      </c>
      <c r="C54" s="10">
        <f>Inputs!G13</f>
        <v>8107.81</v>
      </c>
      <c r="D54" s="10">
        <f>Inputs!G14</f>
        <v>6373.17</v>
      </c>
      <c r="E54" s="10">
        <f>Inputs!G15</f>
        <v>6138.54</v>
      </c>
      <c r="F54" s="10">
        <f>Inputs!G16</f>
        <v>6693.69</v>
      </c>
      <c r="G54" s="2"/>
      <c r="H54" s="27">
        <f>Inputs!C46</f>
        <v>8390.79</v>
      </c>
      <c r="I54" s="1"/>
    </row>
    <row r="55">
      <c r="B55" s="1" t="s">
        <v>195</v>
      </c>
      <c r="C55" s="10">
        <f>C12-Inputs!H13</f>
        <v>0</v>
      </c>
      <c r="D55" s="10">
        <f>D12-Inputs!H14</f>
        <v>0</v>
      </c>
      <c r="E55" s="10">
        <f>E12-Inputs!H15</f>
        <v>0</v>
      </c>
      <c r="F55" s="10">
        <f>F12-Inputs!H16</f>
        <v>0</v>
      </c>
      <c r="G55" s="2"/>
      <c r="H55" s="6">
        <f>H12-H54</f>
        <v>-31.89900000000489</v>
      </c>
      <c r="I55" s="1"/>
    </row>
    <row r="56">
      <c r="B56" s="1" t="s">
        <v>196</v>
      </c>
      <c r="C56" s="1"/>
      <c r="D56" s="1"/>
      <c r="E56" s="1"/>
      <c r="F56" s="1"/>
      <c r="G56" s="10">
        <f>'Revenue summary'!G15</f>
        <v>1</v>
      </c>
      <c r="H56" s="14"/>
      <c r="I56" s="1"/>
    </row>
    <row r="57">
      <c r="B57" s="1"/>
      <c r="C57" s="1"/>
      <c r="D57" s="1"/>
      <c r="E57" s="1"/>
      <c r="F57" s="1"/>
      <c r="G57" s="1"/>
      <c r="H57" s="14"/>
      <c r="I57" s="1"/>
    </row>
    <row r="58">
      <c r="B58" s="1"/>
      <c r="C58" s="1"/>
      <c r="D58" s="1"/>
      <c r="E58" s="1"/>
      <c r="F58" s="1"/>
      <c r="G58" s="1"/>
      <c r="H58" s="14"/>
      <c r="I58" s="1"/>
    </row>
    <row r="59">
      <c r="B59" s="1" t="s">
        <v>197</v>
      </c>
      <c r="C59" s="1"/>
      <c r="D59" s="1"/>
      <c r="E59" s="1"/>
      <c r="F59" s="1"/>
      <c r="G59" s="1"/>
      <c r="H59" s="14"/>
      <c r="I59" s="1"/>
    </row>
    <row r="60">
      <c r="B60" s="1" t="s">
        <v>65</v>
      </c>
      <c r="C60" s="10">
        <f>'Revenue summary'!C60</f>
        <v>5430</v>
      </c>
      <c r="D60" s="10">
        <f>'Revenue summary'!D60</f>
        <v>4053</v>
      </c>
      <c r="E60" s="10">
        <f>'Revenue summary'!E60</f>
        <v>4023</v>
      </c>
      <c r="F60" s="10">
        <f>'Revenue summary'!F60</f>
        <v>4273</v>
      </c>
      <c r="G60" s="10">
        <f>'Revenue summary'!G60</f>
        <v>17419</v>
      </c>
      <c r="H60" s="27">
        <f>'Revenue summary'!H60</f>
        <v>5555.566429927837</v>
      </c>
      <c r="I60" s="1"/>
    </row>
    <row r="61">
      <c r="B61" s="1" t="s">
        <v>66</v>
      </c>
      <c r="C61" s="26"/>
      <c r="D61" s="26"/>
      <c r="E61" s="26"/>
      <c r="F61" s="26"/>
      <c r="G61" s="26"/>
      <c r="H61" s="30">
        <f>'Revenue summary'!H61</f>
        <v>0.02312457273072499</v>
      </c>
      <c r="I61" s="1"/>
    </row>
    <row r="62">
      <c r="B62" s="1" t="s">
        <v>67</v>
      </c>
      <c r="C62" s="26"/>
      <c r="D62" s="26"/>
      <c r="E62" s="26"/>
      <c r="F62" s="26"/>
      <c r="G62" s="26"/>
      <c r="H62" s="30">
        <f>'Revenue summary'!H62</f>
        <v>0</v>
      </c>
      <c r="I62" s="1"/>
    </row>
    <row r="63">
      <c r="B63" s="1" t="s">
        <v>68</v>
      </c>
      <c r="C63" s="26"/>
      <c r="D63" s="26"/>
      <c r="E63" s="26"/>
      <c r="F63" s="26"/>
      <c r="G63" s="26"/>
      <c r="H63" s="30">
        <f>'Revenue summary'!H63</f>
        <v>0</v>
      </c>
      <c r="I63" s="1"/>
    </row>
    <row r="64">
      <c r="B64" s="1" t="s">
        <v>69</v>
      </c>
      <c r="C64" s="26"/>
      <c r="D64" s="26"/>
      <c r="E64" s="26"/>
      <c r="F64" s="26"/>
      <c r="G64" s="26"/>
      <c r="H64" s="30">
        <f>'Revenue summary'!H64</f>
        <v>0.02312457273072499</v>
      </c>
      <c r="I64" s="1"/>
    </row>
    <row r="65">
      <c r="B65" s="1" t="s">
        <v>70</v>
      </c>
      <c r="C65" s="1"/>
      <c r="D65" s="1"/>
      <c r="E65" s="1"/>
      <c r="F65" s="1"/>
      <c r="G65" s="1"/>
      <c r="H65" s="27">
        <f>'Revenue summary'!H65</f>
        <v>1282.566429927837</v>
      </c>
      <c r="I65" s="1"/>
    </row>
    <row r="66">
      <c r="B66" s="1" t="s">
        <v>71</v>
      </c>
      <c r="C66" s="10">
        <f>'Revenue summary'!C66</f>
        <v>2723</v>
      </c>
      <c r="D66" s="10">
        <f>'Revenue summary'!D66</f>
        <v>2277</v>
      </c>
      <c r="E66" s="10">
        <f>'Revenue summary'!E66</f>
        <v>2142</v>
      </c>
      <c r="F66" s="10">
        <f>'Revenue summary'!F66</f>
        <v>2390</v>
      </c>
      <c r="G66" s="10">
        <f>'Revenue summary'!G66</f>
        <v>9202</v>
      </c>
      <c r="H66" s="27">
        <f>'Revenue summary'!H66</f>
        <v>2803.32457007216</v>
      </c>
      <c r="I66" s="1"/>
    </row>
    <row r="67">
      <c r="B67" s="1" t="s">
        <v>66</v>
      </c>
      <c r="C67" s="26"/>
      <c r="D67" s="26"/>
      <c r="E67" s="26"/>
      <c r="F67" s="26"/>
      <c r="G67" s="26"/>
      <c r="H67" s="30">
        <f>'Revenue summary'!H67</f>
        <v>0.02949855676539115</v>
      </c>
      <c r="I67" s="1"/>
    </row>
    <row r="68">
      <c r="B68" s="1" t="s">
        <v>67</v>
      </c>
      <c r="C68" s="26"/>
      <c r="D68" s="26"/>
      <c r="E68" s="26"/>
      <c r="F68" s="26"/>
      <c r="G68" s="26"/>
      <c r="H68" s="30">
        <f>'Revenue summary'!H68</f>
        <v>0</v>
      </c>
      <c r="I68" s="1"/>
    </row>
    <row r="69">
      <c r="B69" s="1" t="s">
        <v>68</v>
      </c>
      <c r="C69" s="26"/>
      <c r="D69" s="26"/>
      <c r="E69" s="26"/>
      <c r="F69" s="26"/>
      <c r="G69" s="26"/>
      <c r="H69" s="30">
        <f>'Revenue summary'!H69</f>
        <v>0</v>
      </c>
      <c r="I69" s="1"/>
    </row>
    <row r="70">
      <c r="B70" s="1" t="s">
        <v>69</v>
      </c>
      <c r="C70" s="26"/>
      <c r="D70" s="26"/>
      <c r="E70" s="26"/>
      <c r="F70" s="26"/>
      <c r="G70" s="26"/>
      <c r="H70" s="30">
        <f>'Revenue summary'!H70</f>
        <v>0.02949855676539115</v>
      </c>
      <c r="I70" s="1"/>
    </row>
    <row r="71">
      <c r="B71" s="1" t="s">
        <v>70</v>
      </c>
      <c r="C71" s="1"/>
      <c r="D71" s="1"/>
      <c r="E71" s="1"/>
      <c r="F71" s="1"/>
      <c r="G71" s="1"/>
      <c r="H71" s="27">
        <f>'Revenue summary'!H71</f>
        <v>413.32457007216</v>
      </c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198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199</v>
      </c>
      <c r="C9" s="2"/>
      <c r="D9" s="2"/>
      <c r="E9" s="2"/>
      <c r="F9" s="2"/>
      <c r="G9" s="2"/>
      <c r="H9" s="6"/>
      <c r="I9" s="1"/>
    </row>
    <row r="10">
      <c r="B10" s="1" t="s">
        <v>200</v>
      </c>
      <c r="C10" s="10">
        <f>Inputs!C140</f>
        <v>1763</v>
      </c>
      <c r="D10" s="10">
        <f>Inputs!D140</f>
        <v>1928</v>
      </c>
      <c r="E10" s="10">
        <f>Inputs!E140</f>
        <v>1424</v>
      </c>
      <c r="F10" s="10">
        <f>Inputs!F140</f>
        <v>2243</v>
      </c>
      <c r="G10" s="10">
        <f>Inputs!G140</f>
        <v>1928</v>
      </c>
      <c r="H10" s="27">
        <f>F10+'Income Statement'!H33+'Income Statement'!H24+(H28-F28)-Inputs!H194-Inputs!H197-Inputs!H196-Inputs!H195</f>
        <v>2786.800999999996</v>
      </c>
      <c r="I10" s="1"/>
    </row>
    <row r="11">
      <c r="B11" s="1" t="s">
        <v>201</v>
      </c>
      <c r="C11" s="10">
        <f>Inputs!C141</f>
        <v>651</v>
      </c>
      <c r="D11" s="10">
        <f>Inputs!D141</f>
        <v>678</v>
      </c>
      <c r="E11" s="10">
        <f>Inputs!E141</f>
        <v>663</v>
      </c>
      <c r="F11" s="10">
        <f>Inputs!F141</f>
        <v>633</v>
      </c>
      <c r="G11" s="10">
        <f>Inputs!G141</f>
        <v>678</v>
      </c>
      <c r="H11" s="6">
        <f>F11</f>
        <v>633</v>
      </c>
      <c r="I11" s="1"/>
    </row>
    <row r="12">
      <c r="B12" s="1" t="s">
        <v>202</v>
      </c>
      <c r="C12" s="10">
        <f>Inputs!C142</f>
        <v>475</v>
      </c>
      <c r="D12" s="10">
        <f>Inputs!D142</f>
        <v>505</v>
      </c>
      <c r="E12" s="10">
        <f>Inputs!E142</f>
        <v>510</v>
      </c>
      <c r="F12" s="10">
        <f>Inputs!F142</f>
        <v>552</v>
      </c>
      <c r="G12" s="10">
        <f>Inputs!G142</f>
        <v>505</v>
      </c>
      <c r="H12" s="6">
        <f>F12</f>
        <v>552</v>
      </c>
      <c r="I12" s="1"/>
    </row>
    <row r="13">
      <c r="B13" s="1" t="s">
        <v>203</v>
      </c>
      <c r="C13" s="10">
        <f>Inputs!C143</f>
        <v>979</v>
      </c>
      <c r="D13" s="10">
        <f>Inputs!D143</f>
        <v>1108</v>
      </c>
      <c r="E13" s="10">
        <f>Inputs!E143</f>
        <v>1120</v>
      </c>
      <c r="F13" s="10">
        <f>Inputs!F143</f>
        <v>1063</v>
      </c>
      <c r="G13" s="10">
        <f>Inputs!G143</f>
        <v>1108</v>
      </c>
      <c r="H13" s="6">
        <f>F13</f>
        <v>1063</v>
      </c>
      <c r="I13" s="1"/>
    </row>
    <row r="14">
      <c r="B14" s="1" t="s">
        <v>204</v>
      </c>
      <c r="C14" s="10">
        <f>Inputs!C161-SUM(C10:C13)</f>
        <v>0</v>
      </c>
      <c r="D14" s="10">
        <f>Inputs!D161-SUM(D10:D13)</f>
        <v>0</v>
      </c>
      <c r="E14" s="10">
        <f>Inputs!E161-SUM(E10:E13)</f>
        <v>-1</v>
      </c>
      <c r="F14" s="10">
        <f>Inputs!F161-SUM(F10:F13)</f>
        <v>1</v>
      </c>
      <c r="G14" s="10">
        <f>Inputs!G161-SUM(G10:G13)</f>
        <v>0</v>
      </c>
      <c r="H14" s="6">
        <f>F14</f>
        <v>1</v>
      </c>
      <c r="I14" s="1"/>
    </row>
    <row r="15">
      <c r="B15" s="16" t="s">
        <v>205</v>
      </c>
      <c r="C15" s="4">
        <f>SUM(C10:C14)</f>
        <v>3868</v>
      </c>
      <c r="D15" s="4">
        <f>SUM(D10:D14)</f>
        <v>4219</v>
      </c>
      <c r="E15" s="4">
        <f>SUM(E10:E14)</f>
        <v>3716</v>
      </c>
      <c r="F15" s="4">
        <f>SUM(F10:F14)</f>
        <v>4492</v>
      </c>
      <c r="G15" s="4">
        <f>SUM(G10:G14)</f>
        <v>4219</v>
      </c>
      <c r="H15" s="9">
        <f>SUM(H10:H14)</f>
        <v>5035.800999999996</v>
      </c>
      <c r="I15" s="1"/>
    </row>
    <row r="16">
      <c r="B16" s="1" t="s">
        <v>206</v>
      </c>
      <c r="C16" s="10">
        <f>Inputs!C144</f>
        <v>42889</v>
      </c>
      <c r="D16" s="10">
        <f>Inputs!D144</f>
        <v>43494</v>
      </c>
      <c r="E16" s="10">
        <f>Inputs!E144</f>
        <v>43700</v>
      </c>
      <c r="F16" s="10">
        <f>Inputs!F144</f>
        <v>43616</v>
      </c>
      <c r="G16" s="10">
        <f>Inputs!G144</f>
        <v>43494</v>
      </c>
      <c r="H16" s="27">
        <f>F16+'Cash Flow Statement'!H13-'Income Statement'!H24</f>
        <v>43776</v>
      </c>
      <c r="I16" s="1"/>
    </row>
    <row r="17">
      <c r="B17" s="1" t="s">
        <v>207</v>
      </c>
      <c r="C17" s="10">
        <f>Inputs!C145</f>
        <v>1352</v>
      </c>
      <c r="D17" s="10">
        <f>Inputs!D145</f>
        <v>1328</v>
      </c>
      <c r="E17" s="10">
        <f>Inputs!E145</f>
        <v>1295</v>
      </c>
      <c r="F17" s="10">
        <f>Inputs!F145</f>
        <v>1260</v>
      </c>
      <c r="G17" s="10">
        <f>Inputs!G145</f>
        <v>1328</v>
      </c>
      <c r="H17" s="6">
        <f>F17</f>
        <v>1260</v>
      </c>
      <c r="I17" s="1"/>
    </row>
    <row r="18">
      <c r="B18" s="1" t="s">
        <v>208</v>
      </c>
      <c r="C18" s="10">
        <f>Inputs!C146</f>
        <v>579</v>
      </c>
      <c r="D18" s="10">
        <f>Inputs!D146</f>
        <v>579</v>
      </c>
      <c r="E18" s="10">
        <f>Inputs!E146</f>
        <v>579</v>
      </c>
      <c r="F18" s="10">
        <f>Inputs!F146</f>
        <v>579</v>
      </c>
      <c r="G18" s="10">
        <f>Inputs!G146</f>
        <v>579</v>
      </c>
      <c r="H18" s="6">
        <f>F18</f>
        <v>579</v>
      </c>
      <c r="I18" s="1"/>
    </row>
    <row r="19">
      <c r="B19" s="1" t="s">
        <v>209</v>
      </c>
      <c r="C19" s="10">
        <f>Inputs!C147</f>
        <v>1181</v>
      </c>
      <c r="D19" s="10">
        <f>Inputs!D147</f>
        <v>1177</v>
      </c>
      <c r="E19" s="10">
        <f>Inputs!E147</f>
        <v>1181</v>
      </c>
      <c r="F19" s="10">
        <f>Inputs!F147</f>
        <v>1181</v>
      </c>
      <c r="G19" s="10">
        <f>Inputs!G147</f>
        <v>1177</v>
      </c>
      <c r="H19" s="6">
        <f>F19</f>
        <v>1181</v>
      </c>
      <c r="I19" s="1"/>
    </row>
    <row r="20">
      <c r="B20" s="1" t="s">
        <v>210</v>
      </c>
      <c r="C20" s="10">
        <f>Inputs!C148</f>
        <v>962</v>
      </c>
      <c r="D20" s="10">
        <f>Inputs!D148</f>
        <v>890</v>
      </c>
      <c r="E20" s="10">
        <f>Inputs!E148</f>
        <v>1095</v>
      </c>
      <c r="F20" s="10">
        <f>Inputs!F148</f>
        <v>1100</v>
      </c>
      <c r="G20" s="10">
        <f>Inputs!G148</f>
        <v>890</v>
      </c>
      <c r="H20" s="6">
        <f>F20</f>
        <v>1100</v>
      </c>
      <c r="I20" s="1"/>
    </row>
    <row r="21">
      <c r="B21" s="1" t="s">
        <v>211</v>
      </c>
      <c r="C21" s="10">
        <f>Inputs!C160-SUM(C15:C20)</f>
        <v>0</v>
      </c>
      <c r="D21" s="10">
        <f>Inputs!D160-SUM(D15:D20)</f>
        <v>0</v>
      </c>
      <c r="E21" s="10">
        <f>Inputs!E160-SUM(E15:E20)</f>
        <v>1</v>
      </c>
      <c r="F21" s="10">
        <f>Inputs!F160-SUM(F15:F20)</f>
        <v>0</v>
      </c>
      <c r="G21" s="10">
        <f>Inputs!G160-SUM(G15:G20)</f>
        <v>0</v>
      </c>
      <c r="H21" s="6">
        <f>F21</f>
        <v>0</v>
      </c>
      <c r="I21" s="1"/>
    </row>
    <row r="22">
      <c r="B22" s="16" t="s">
        <v>212</v>
      </c>
      <c r="C22" s="4">
        <f>SUM(C15:C21)</f>
        <v>50831</v>
      </c>
      <c r="D22" s="4">
        <f>SUM(D15:D21)</f>
        <v>51687</v>
      </c>
      <c r="E22" s="4">
        <f>SUM(E15:E21)</f>
        <v>51567</v>
      </c>
      <c r="F22" s="4">
        <f>SUM(F15:F21)</f>
        <v>52228</v>
      </c>
      <c r="G22" s="4">
        <f>SUM(G15:G21)</f>
        <v>51687</v>
      </c>
      <c r="H22" s="9">
        <f>SUM(H15:H21)</f>
        <v>52931.80099999999</v>
      </c>
      <c r="I22" s="1"/>
    </row>
    <row r="23">
      <c r="B23" s="1" t="s">
        <v>213</v>
      </c>
      <c r="C23" s="2"/>
      <c r="D23" s="2"/>
      <c r="E23" s="2"/>
      <c r="F23" s="2"/>
      <c r="G23" s="2"/>
      <c r="H23" s="6"/>
      <c r="I23" s="1"/>
    </row>
    <row r="24">
      <c r="B24" s="1" t="s">
        <v>214</v>
      </c>
      <c r="C24" s="10">
        <f>Inputs!C149</f>
        <v>1417</v>
      </c>
      <c r="D24" s="10">
        <f>Inputs!D149</f>
        <v>2603</v>
      </c>
      <c r="E24" s="10">
        <f>Inputs!E149</f>
        <v>1502</v>
      </c>
      <c r="F24" s="10">
        <f>Inputs!F149</f>
        <v>1471</v>
      </c>
      <c r="G24" s="10">
        <f>Inputs!G149</f>
        <v>2603</v>
      </c>
      <c r="H24" s="6">
        <f>F24</f>
        <v>1471</v>
      </c>
      <c r="I24" s="1"/>
    </row>
    <row r="25">
      <c r="B25" s="1" t="s">
        <v>215</v>
      </c>
      <c r="C25" s="10">
        <f>Inputs!C150</f>
        <v>178</v>
      </c>
      <c r="D25" s="10">
        <f>Inputs!D150</f>
        <v>175</v>
      </c>
      <c r="E25" s="10">
        <f>Inputs!E150</f>
        <v>171</v>
      </c>
      <c r="F25" s="10">
        <f>Inputs!F150</f>
        <v>168</v>
      </c>
      <c r="G25" s="10">
        <f>Inputs!G150</f>
        <v>175</v>
      </c>
      <c r="H25" s="6">
        <f>F25</f>
        <v>168</v>
      </c>
      <c r="I25" s="1"/>
    </row>
    <row r="26">
      <c r="B26" s="1" t="s">
        <v>216</v>
      </c>
      <c r="C26" s="10">
        <f>Inputs!C151</f>
        <v>1173</v>
      </c>
      <c r="D26" s="10">
        <f>Inputs!D151</f>
        <v>1245</v>
      </c>
      <c r="E26" s="10">
        <f>Inputs!E151</f>
        <v>1242</v>
      </c>
      <c r="F26" s="10">
        <f>Inputs!F151</f>
        <v>1246</v>
      </c>
      <c r="G26" s="10">
        <f>Inputs!G151</f>
        <v>1245</v>
      </c>
      <c r="H26" s="6">
        <f>F26</f>
        <v>1246</v>
      </c>
      <c r="I26" s="1"/>
    </row>
    <row r="27">
      <c r="B27" s="1" t="s">
        <v>217</v>
      </c>
      <c r="C27" s="10">
        <f>Inputs!C152</f>
        <v>1977</v>
      </c>
      <c r="D27" s="10">
        <f>Inputs!D152</f>
        <v>2239</v>
      </c>
      <c r="E27" s="10">
        <f>Inputs!E152</f>
        <v>2034</v>
      </c>
      <c r="F27" s="10">
        <f>Inputs!F152</f>
        <v>2092</v>
      </c>
      <c r="G27" s="10">
        <f>Inputs!G152</f>
        <v>2239</v>
      </c>
      <c r="H27" s="6">
        <f>F27</f>
        <v>2092</v>
      </c>
      <c r="I27" s="1"/>
    </row>
    <row r="28">
      <c r="B28" s="1" t="s">
        <v>218</v>
      </c>
      <c r="C28" s="10">
        <f>Inputs!C153</f>
        <v>6691</v>
      </c>
      <c r="D28" s="10">
        <f>Inputs!D153</f>
        <v>6831</v>
      </c>
      <c r="E28" s="10">
        <f>Inputs!E153</f>
        <v>7472</v>
      </c>
      <c r="F28" s="10">
        <f>Inputs!F153</f>
        <v>8457</v>
      </c>
      <c r="G28" s="10">
        <f>Inputs!G153</f>
        <v>6831</v>
      </c>
      <c r="H28" s="27">
        <f>Inputs!H198</f>
        <v>8100</v>
      </c>
      <c r="I28" s="1"/>
    </row>
    <row r="29">
      <c r="B29" s="1" t="s">
        <v>219</v>
      </c>
      <c r="C29" s="10">
        <f>Inputs!C162-SUM(C24:C28)</f>
        <v>0</v>
      </c>
      <c r="D29" s="10">
        <f>Inputs!D162-SUM(D24:D28)</f>
        <v>-1</v>
      </c>
      <c r="E29" s="10">
        <f>Inputs!E162-SUM(E24:E28)</f>
        <v>-1</v>
      </c>
      <c r="F29" s="10">
        <f>Inputs!F162-SUM(F24:F28)</f>
        <v>0</v>
      </c>
      <c r="G29" s="10">
        <f>Inputs!G162-SUM(G24:G28)</f>
        <v>-1</v>
      </c>
      <c r="H29" s="6">
        <f>F29</f>
        <v>0</v>
      </c>
      <c r="I29" s="1"/>
    </row>
    <row r="30">
      <c r="B30" s="16" t="s">
        <v>220</v>
      </c>
      <c r="C30" s="4">
        <f>SUM(C24:C29)</f>
        <v>11436</v>
      </c>
      <c r="D30" s="4">
        <f>SUM(D24:D29)</f>
        <v>13092</v>
      </c>
      <c r="E30" s="4">
        <f>SUM(E24:E29)</f>
        <v>12420</v>
      </c>
      <c r="F30" s="4">
        <f>SUM(F24:F29)</f>
        <v>13434</v>
      </c>
      <c r="G30" s="4">
        <f>SUM(G24:G29)</f>
        <v>13092</v>
      </c>
      <c r="H30" s="9">
        <f>SUM(H24:H29)</f>
        <v>13077</v>
      </c>
      <c r="I30" s="1"/>
    </row>
    <row r="31">
      <c r="B31" s="1" t="s">
        <v>221</v>
      </c>
      <c r="C31" s="10">
        <f>Inputs!C154</f>
        <v>25064</v>
      </c>
      <c r="D31" s="10">
        <f>Inputs!D154</f>
        <v>24037</v>
      </c>
      <c r="E31" s="10">
        <f>Inputs!E154</f>
        <v>23788</v>
      </c>
      <c r="F31" s="10">
        <f>Inputs!F154</f>
        <v>23418</v>
      </c>
      <c r="G31" s="10">
        <f>Inputs!G154</f>
        <v>24037</v>
      </c>
      <c r="H31" s="27">
        <f>F31-Inputs!H197</f>
        <v>23068</v>
      </c>
      <c r="I31" s="1"/>
    </row>
    <row r="32">
      <c r="B32" s="1" t="s">
        <v>222</v>
      </c>
      <c r="C32" s="10">
        <f>Inputs!C155</f>
        <v>1201</v>
      </c>
      <c r="D32" s="10">
        <f>Inputs!D155</f>
        <v>1178</v>
      </c>
      <c r="E32" s="10">
        <f>Inputs!E155</f>
        <v>1146</v>
      </c>
      <c r="F32" s="10">
        <f>Inputs!F155</f>
        <v>1113</v>
      </c>
      <c r="G32" s="10">
        <f>Inputs!G155</f>
        <v>1178</v>
      </c>
      <c r="H32" s="6">
        <f>F32</f>
        <v>1113</v>
      </c>
      <c r="I32" s="1"/>
    </row>
    <row r="33">
      <c r="B33" s="1" t="s">
        <v>223</v>
      </c>
      <c r="C33" s="10">
        <f>Inputs!C156</f>
        <v>1202</v>
      </c>
      <c r="D33" s="10">
        <f>Inputs!D156</f>
        <v>1097</v>
      </c>
      <c r="E33" s="10">
        <f>Inputs!E156</f>
        <v>1164</v>
      </c>
      <c r="F33" s="10">
        <f>Inputs!F156</f>
        <v>1279</v>
      </c>
      <c r="G33" s="10">
        <f>Inputs!G156</f>
        <v>1097</v>
      </c>
      <c r="H33" s="6">
        <f>F33</f>
        <v>1279</v>
      </c>
      <c r="I33" s="1"/>
    </row>
    <row r="34">
      <c r="B34" s="16" t="s">
        <v>224</v>
      </c>
      <c r="C34" s="4">
        <f>SUM(C30:C33,C40)</f>
        <v>38903</v>
      </c>
      <c r="D34" s="4">
        <f>SUM(D30:D33,D40)</f>
        <v>39403</v>
      </c>
      <c r="E34" s="4">
        <f>SUM(E30:E33,E40)</f>
        <v>38518</v>
      </c>
      <c r="F34" s="4">
        <f>SUM(F30:F33,F40)</f>
        <v>39244</v>
      </c>
      <c r="G34" s="4">
        <f>SUM(G30:G33,G40)</f>
        <v>39403</v>
      </c>
      <c r="H34" s="9">
        <f>SUM(H30:H33,H40)</f>
        <v>38537</v>
      </c>
      <c r="I34" s="1"/>
    </row>
    <row r="35">
      <c r="B35" s="16" t="s">
        <v>225</v>
      </c>
      <c r="C35" s="17">
        <f>Inputs!C157</f>
        <v>11928</v>
      </c>
      <c r="D35" s="17">
        <f>Inputs!D157</f>
        <v>12284</v>
      </c>
      <c r="E35" s="17">
        <f>Inputs!E157</f>
        <v>13049</v>
      </c>
      <c r="F35" s="17">
        <f>Inputs!F157</f>
        <v>12984</v>
      </c>
      <c r="G35" s="17">
        <f>Inputs!G157</f>
        <v>12284</v>
      </c>
      <c r="H35" s="38">
        <f>F35+'Income Statement'!H33-Inputs!H195-Inputs!H196</f>
        <v>14394.800999999996</v>
      </c>
      <c r="I35" s="1"/>
    </row>
    <row r="36">
      <c r="B36" s="16" t="s">
        <v>226</v>
      </c>
      <c r="C36" s="4">
        <f>C22-C34-C35</f>
        <v>0</v>
      </c>
      <c r="D36" s="4">
        <f>D22-D34-D35</f>
        <v>0</v>
      </c>
      <c r="E36" s="4">
        <f>E22-E34-E35</f>
        <v>0</v>
      </c>
      <c r="F36" s="4">
        <f>F22-F34-F35</f>
        <v>0</v>
      </c>
      <c r="G36" s="4">
        <f>G22-G34-G35</f>
        <v>0</v>
      </c>
      <c r="H36" s="9">
        <f>IF(ABS(H22-H34-H35)&lt;0.000001,0,H22-H34-H35)</f>
        <v>0</v>
      </c>
      <c r="I36" s="1"/>
    </row>
    <row r="37">
      <c r="B37" s="1" t="s">
        <v>227</v>
      </c>
      <c r="C37" s="2"/>
      <c r="D37" s="2"/>
      <c r="E37" s="2"/>
      <c r="F37" s="2"/>
      <c r="G37" s="2"/>
      <c r="H37" s="6">
        <f>H28-F28</f>
        <v>-357</v>
      </c>
      <c r="I37" s="1"/>
    </row>
    <row r="38">
      <c r="B38" s="1" t="s">
        <v>228</v>
      </c>
      <c r="C38" s="2">
        <f>SUM(C24,C31)</f>
        <v>26481</v>
      </c>
      <c r="D38" s="2">
        <f>SUM(D24,D31)</f>
        <v>26640</v>
      </c>
      <c r="E38" s="2">
        <f>SUM(E24,E31)</f>
        <v>25290</v>
      </c>
      <c r="F38" s="2">
        <f>SUM(F24,F31)</f>
        <v>24889</v>
      </c>
      <c r="G38" s="2">
        <f>SUM(G24,G31)</f>
        <v>26640</v>
      </c>
      <c r="H38" s="6">
        <f>SUM(H24,H31)</f>
        <v>24539</v>
      </c>
      <c r="I38" s="1"/>
    </row>
    <row r="39">
      <c r="B39" s="1" t="s">
        <v>229</v>
      </c>
      <c r="C39" s="2"/>
      <c r="D39" s="2"/>
      <c r="E39" s="2"/>
      <c r="F39" s="2"/>
      <c r="G39" s="2"/>
      <c r="H39" s="6">
        <f>H35-F35</f>
        <v>1410.8009999999958</v>
      </c>
      <c r="I39" s="1"/>
    </row>
    <row r="40">
      <c r="B40" s="1" t="s">
        <v>230</v>
      </c>
      <c r="C40" s="10">
        <f>Inputs!C160-SUM(C30:C33)-C35</f>
        <v>0</v>
      </c>
      <c r="D40" s="10">
        <f>Inputs!D160-SUM(D30:D33)-D35</f>
        <v>-1</v>
      </c>
      <c r="E40" s="10">
        <f>Inputs!E160-SUM(E30:E33)-E35</f>
        <v>0</v>
      </c>
      <c r="F40" s="10">
        <f>Inputs!F160-SUM(F30:F33)-F35</f>
        <v>0</v>
      </c>
      <c r="G40" s="10">
        <f>Inputs!G160-SUM(G30:G33)-G35</f>
        <v>-1</v>
      </c>
      <c r="H40" s="6">
        <f>F40</f>
        <v>0</v>
      </c>
      <c r="I40" s="1"/>
    </row>
    <row r="41">
      <c r="B41" s="1"/>
      <c r="C41" s="2"/>
      <c r="D41" s="2"/>
      <c r="E41" s="2"/>
      <c r="F41" s="2"/>
      <c r="G41" s="2"/>
      <c r="H41" s="6"/>
      <c r="I41" s="1"/>
    </row>
    <row r="42">
      <c r="B42" s="1"/>
      <c r="C42" s="2"/>
      <c r="D42" s="2"/>
      <c r="E42" s="2"/>
      <c r="F42" s="2"/>
      <c r="G42" s="2"/>
      <c r="H42" s="6"/>
      <c r="I42" s="1"/>
    </row>
    <row r="43">
      <c r="B43" s="1"/>
      <c r="C43" s="2"/>
      <c r="D43" s="2"/>
      <c r="E43" s="2"/>
      <c r="F43" s="2"/>
      <c r="G43" s="2"/>
      <c r="H43" s="6"/>
      <c r="I43" s="1"/>
    </row>
    <row r="44">
      <c r="B44" s="1"/>
      <c r="C44" s="2"/>
      <c r="D44" s="2"/>
      <c r="E44" s="2"/>
      <c r="F44" s="2"/>
      <c r="G44" s="2"/>
      <c r="H44" s="6"/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231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232</v>
      </c>
      <c r="C9" s="2"/>
      <c r="D9" s="2"/>
      <c r="E9" s="2"/>
      <c r="F9" s="2"/>
      <c r="G9" s="2"/>
      <c r="H9" s="6"/>
      <c r="I9" s="1"/>
    </row>
    <row r="10">
      <c r="B10" s="1" t="s">
        <v>233</v>
      </c>
      <c r="C10" s="10">
        <f>Inputs!C163</f>
        <v>2146</v>
      </c>
      <c r="D10" s="10">
        <f>'Balance Sheet'!C10</f>
        <v>1763</v>
      </c>
      <c r="E10" s="10">
        <f>'Balance Sheet'!D10</f>
        <v>1928</v>
      </c>
      <c r="F10" s="10">
        <f>'Balance Sheet'!E10</f>
        <v>1424</v>
      </c>
      <c r="G10" s="10">
        <f>Inputs!C164</f>
        <v>1210</v>
      </c>
      <c r="H10" s="27">
        <f>'Balance Sheet'!F10</f>
        <v>2243</v>
      </c>
      <c r="I10" s="1"/>
    </row>
    <row r="11">
      <c r="B11" s="1" t="s">
        <v>234</v>
      </c>
      <c r="C11" s="10">
        <f>'Income Statement'!C33</f>
        <v>1851</v>
      </c>
      <c r="D11" s="10">
        <f>'Income Statement'!D33</f>
        <v>421</v>
      </c>
      <c r="E11" s="10">
        <f>'Income Statement'!E33</f>
        <v>263</v>
      </c>
      <c r="F11" s="10">
        <f>'Income Statement'!F33</f>
        <v>539</v>
      </c>
      <c r="G11" s="10">
        <f>'Income Statement'!G33</f>
        <v>2760</v>
      </c>
      <c r="H11" s="27">
        <f>'Income Statement'!H33</f>
        <v>1817.8009999999958</v>
      </c>
      <c r="I11" s="1"/>
    </row>
    <row r="12">
      <c r="B12" s="1" t="s">
        <v>235</v>
      </c>
      <c r="C12" s="10">
        <f>'Income Statement'!C24</f>
        <v>717</v>
      </c>
      <c r="D12" s="10">
        <f>'Income Statement'!D24</f>
        <v>727</v>
      </c>
      <c r="E12" s="10">
        <f>'Income Statement'!E24</f>
        <v>696</v>
      </c>
      <c r="F12" s="10">
        <f>'Income Statement'!F24</f>
        <v>723</v>
      </c>
      <c r="G12" s="10">
        <f>'Income Statement'!G24</f>
        <v>2790</v>
      </c>
      <c r="H12" s="27">
        <f>'Income Statement'!H24</f>
        <v>740</v>
      </c>
      <c r="I12" s="1"/>
    </row>
    <row r="13">
      <c r="B13" s="1" t="s">
        <v>236</v>
      </c>
      <c r="C13" s="2"/>
      <c r="D13" s="2"/>
      <c r="E13" s="2"/>
      <c r="F13" s="2"/>
      <c r="G13" s="2"/>
      <c r="H13" s="27">
        <f>Inputs!H194</f>
        <v>900</v>
      </c>
      <c r="I13" s="1"/>
    </row>
    <row r="14">
      <c r="B14" s="1" t="s">
        <v>237</v>
      </c>
      <c r="C14" s="2"/>
      <c r="D14" s="2"/>
      <c r="E14" s="2"/>
      <c r="F14" s="2"/>
      <c r="G14" s="2"/>
      <c r="H14" s="27">
        <f>'Balance Sheet'!H28-'Balance Sheet'!F28</f>
        <v>-357</v>
      </c>
      <c r="I14" s="1"/>
    </row>
    <row r="15">
      <c r="B15" s="1" t="s">
        <v>238</v>
      </c>
      <c r="C15" s="2">
        <f>C16-C11-C12</f>
        <v>-1185</v>
      </c>
      <c r="D15" s="2">
        <f>D16-D11-D12</f>
        <v>370</v>
      </c>
      <c r="E15" s="2">
        <f>E16-E11-E12</f>
        <v>304</v>
      </c>
      <c r="F15" s="2">
        <f>F16-F11-F12</f>
        <v>1368</v>
      </c>
      <c r="G15" s="2">
        <f>G16-G11-G12</f>
        <v>668</v>
      </c>
      <c r="H15" s="27">
        <f>Inputs!H200</f>
        <v>0</v>
      </c>
      <c r="I15" s="1"/>
    </row>
    <row r="16">
      <c r="B16" s="16" t="s">
        <v>239</v>
      </c>
      <c r="C16" s="39">
        <v>1383</v>
      </c>
      <c r="D16" s="39">
        <v>1518</v>
      </c>
      <c r="E16" s="39">
        <v>1263</v>
      </c>
      <c r="F16" s="39">
        <v>2630</v>
      </c>
      <c r="G16" s="39">
        <v>6218</v>
      </c>
      <c r="H16" s="9">
        <f>SUM(H11:H12,H14:H15)</f>
        <v>2200.800999999996</v>
      </c>
      <c r="I16" s="1"/>
    </row>
    <row r="17">
      <c r="B17" s="16" t="s">
        <v>240</v>
      </c>
      <c r="C17" s="39">
        <v>-624</v>
      </c>
      <c r="D17" s="39">
        <v>-1506</v>
      </c>
      <c r="E17" s="39">
        <v>-597</v>
      </c>
      <c r="F17" s="39">
        <v>-884</v>
      </c>
      <c r="G17" s="39">
        <v>-3321</v>
      </c>
      <c r="H17" s="9">
        <f>-H13</f>
        <v>-900</v>
      </c>
      <c r="I17" s="1"/>
    </row>
    <row r="18">
      <c r="B18" s="1" t="s">
        <v>241</v>
      </c>
      <c r="C18" s="2"/>
      <c r="D18" s="2"/>
      <c r="E18" s="2"/>
      <c r="F18" s="2"/>
      <c r="G18" s="2"/>
      <c r="H18" s="27">
        <f>-Inputs!H197-Inputs!H196</f>
        <v>-550</v>
      </c>
      <c r="I18" s="1"/>
    </row>
    <row r="19">
      <c r="B19" s="1" t="s">
        <v>242</v>
      </c>
      <c r="C19" s="2"/>
      <c r="D19" s="2"/>
      <c r="E19" s="2"/>
      <c r="F19" s="2"/>
      <c r="G19" s="2"/>
      <c r="H19" s="27">
        <f>-Inputs!H195</f>
        <v>-207</v>
      </c>
      <c r="I19" s="1"/>
    </row>
    <row r="20">
      <c r="B20" s="16" t="s">
        <v>243</v>
      </c>
      <c r="C20" s="39">
        <v>-1144</v>
      </c>
      <c r="D20" s="39">
        <v>166</v>
      </c>
      <c r="E20" s="39">
        <v>-1166</v>
      </c>
      <c r="F20" s="39">
        <v>-938</v>
      </c>
      <c r="G20" s="39">
        <v>-2189</v>
      </c>
      <c r="H20" s="9">
        <f>SUM(H18:H19)</f>
        <v>-757</v>
      </c>
      <c r="I20" s="1"/>
    </row>
    <row r="21">
      <c r="B21" s="1" t="s">
        <v>244</v>
      </c>
      <c r="C21" s="18">
        <v>6</v>
      </c>
      <c r="D21" s="18">
        <v>-11</v>
      </c>
      <c r="E21" s="18">
        <v>-2</v>
      </c>
      <c r="F21" s="18">
        <v>-3</v>
      </c>
      <c r="G21" s="18">
        <v>19</v>
      </c>
      <c r="H21" s="27">
        <f>Inputs!H200</f>
        <v>0</v>
      </c>
      <c r="I21" s="1"/>
    </row>
    <row r="22">
      <c r="B22" s="16" t="s">
        <v>245</v>
      </c>
      <c r="C22" s="4">
        <f>SUM(C16:C17,C20:C21,C26)</f>
        <v>-383</v>
      </c>
      <c r="D22" s="4">
        <f>SUM(D16:D17,D20:D21,D26)</f>
        <v>165</v>
      </c>
      <c r="E22" s="4">
        <f>SUM(E16:E17,E20:E21,E26)</f>
        <v>-504</v>
      </c>
      <c r="F22" s="4">
        <f>SUM(F16:F17,F20:F21,F26)</f>
        <v>819</v>
      </c>
      <c r="G22" s="4">
        <f>SUM(G16:G17,G20:G21,G26)</f>
        <v>718</v>
      </c>
      <c r="H22" s="9">
        <f>SUM(H16:H17,H20:H21,H26)</f>
        <v>543.8009999999958</v>
      </c>
      <c r="I22" s="1"/>
    </row>
    <row r="23">
      <c r="B23" s="16" t="s">
        <v>246</v>
      </c>
      <c r="C23" s="4">
        <f>SUM(C10,C22)</f>
        <v>1763</v>
      </c>
      <c r="D23" s="4">
        <f>SUM(D10,D22)</f>
        <v>1928</v>
      </c>
      <c r="E23" s="4">
        <f>SUM(E10,E22)</f>
        <v>1424</v>
      </c>
      <c r="F23" s="4">
        <f>SUM(F10,F22)</f>
        <v>2243</v>
      </c>
      <c r="G23" s="4">
        <f>SUM(G10,G22)</f>
        <v>1928</v>
      </c>
      <c r="H23" s="9">
        <f>SUM(H10,H22)</f>
        <v>2786.800999999996</v>
      </c>
      <c r="I23" s="1"/>
    </row>
    <row r="24">
      <c r="B24" s="1" t="s">
        <v>247</v>
      </c>
      <c r="C24" s="10">
        <f>'Balance Sheet'!C10</f>
        <v>1763</v>
      </c>
      <c r="D24" s="10">
        <f>'Balance Sheet'!D10</f>
        <v>1928</v>
      </c>
      <c r="E24" s="10">
        <f>'Balance Sheet'!E10</f>
        <v>1424</v>
      </c>
      <c r="F24" s="10">
        <f>'Balance Sheet'!F10</f>
        <v>2243</v>
      </c>
      <c r="G24" s="10">
        <f>'Balance Sheet'!G10</f>
        <v>1928</v>
      </c>
      <c r="H24" s="27">
        <f>'Balance Sheet'!H10</f>
        <v>2786.800999999996</v>
      </c>
      <c r="I24" s="1"/>
    </row>
    <row r="25">
      <c r="B25" s="16" t="s">
        <v>248</v>
      </c>
      <c r="C25" s="4">
        <f>C23-C24</f>
        <v>0</v>
      </c>
      <c r="D25" s="4">
        <f>D23-D24</f>
        <v>0</v>
      </c>
      <c r="E25" s="4">
        <f>E23-E24</f>
        <v>0</v>
      </c>
      <c r="F25" s="4">
        <f>F23-F24</f>
        <v>0</v>
      </c>
      <c r="G25" s="4">
        <f>G23-G24</f>
        <v>0</v>
      </c>
      <c r="H25" s="9">
        <f>H23-H24</f>
        <v>0</v>
      </c>
      <c r="I25" s="1"/>
    </row>
    <row r="26">
      <c r="B26" s="1" t="s">
        <v>249</v>
      </c>
      <c r="C26" s="10">
        <f>'Balance Sheet'!C10-C10-SUM(C16:C17,C20:C21)</f>
        <v>-4</v>
      </c>
      <c r="D26" s="10">
        <f>'Balance Sheet'!D10-D10-SUM(D16:D17,D20:D21)</f>
        <v>-2</v>
      </c>
      <c r="E26" s="10">
        <f>'Balance Sheet'!E10-E10-SUM(E16:E17,E20:E21)</f>
        <v>-2</v>
      </c>
      <c r="F26" s="10">
        <f>'Balance Sheet'!F10-F10-SUM(F16:F17,F20:F21)</f>
        <v>14</v>
      </c>
      <c r="G26" s="10">
        <f>'Balance Sheet'!G10-G10-SUM(G16:G17,G20:G21)</f>
        <v>-9</v>
      </c>
      <c r="H26" s="27">
        <f>Inputs!H200</f>
        <v>0</v>
      </c>
      <c r="I26" s="1"/>
    </row>
    <row r="27">
      <c r="B27" s="1"/>
      <c r="C27" s="2"/>
      <c r="D27" s="2"/>
      <c r="E27" s="2"/>
      <c r="F27" s="2"/>
      <c r="G27" s="2"/>
      <c r="H27" s="6"/>
      <c r="I27" s="1"/>
    </row>
    <row r="28">
      <c r="B28" s="1"/>
      <c r="C28" s="2"/>
      <c r="D28" s="2"/>
      <c r="E28" s="2"/>
      <c r="F28" s="2"/>
      <c r="G28" s="2"/>
      <c r="H28" s="6"/>
      <c r="I28" s="1"/>
    </row>
    <row r="29">
      <c r="B29" s="1"/>
      <c r="C29" s="2"/>
      <c r="D29" s="2"/>
      <c r="E29" s="2"/>
      <c r="F29" s="2"/>
      <c r="G29" s="2"/>
      <c r="H29" s="6"/>
      <c r="I29" s="1"/>
    </row>
    <row r="30">
      <c r="B30" s="1"/>
      <c r="C30" s="2"/>
      <c r="D30" s="2"/>
      <c r="E30" s="2"/>
      <c r="F30" s="2"/>
      <c r="G30" s="2"/>
      <c r="H30" s="6"/>
      <c r="I30" s="1"/>
    </row>
    <row r="31">
      <c r="B31" s="1"/>
      <c r="C31" s="2"/>
      <c r="D31" s="2"/>
      <c r="E31" s="2"/>
      <c r="F31" s="2"/>
      <c r="G31" s="2"/>
      <c r="H31" s="6"/>
      <c r="I31" s="1"/>
    </row>
    <row r="32">
      <c r="B32" s="1"/>
      <c r="C32" s="2"/>
      <c r="D32" s="2"/>
      <c r="E32" s="2"/>
      <c r="F32" s="2"/>
      <c r="G32" s="2"/>
      <c r="H32" s="6"/>
      <c r="I32" s="1"/>
    </row>
    <row r="33">
      <c r="B33" s="1"/>
      <c r="C33" s="2"/>
      <c r="D33" s="2"/>
      <c r="E33" s="2"/>
      <c r="F33" s="2"/>
      <c r="G33" s="2"/>
      <c r="H33" s="6"/>
      <c r="I33" s="1"/>
    </row>
    <row r="34">
      <c r="B34" s="1"/>
      <c r="C34" s="2"/>
      <c r="D34" s="2"/>
      <c r="E34" s="2"/>
      <c r="F34" s="2"/>
      <c r="G34" s="2"/>
      <c r="H34" s="6"/>
      <c r="I34" s="1"/>
    </row>
    <row r="35">
      <c r="B35" s="1"/>
      <c r="C35" s="2"/>
      <c r="D35" s="2"/>
      <c r="E35" s="2"/>
      <c r="F35" s="2"/>
      <c r="G35" s="2"/>
      <c r="H35" s="6"/>
      <c r="I35" s="1"/>
    </row>
    <row r="36">
      <c r="B36" s="1"/>
      <c r="C36" s="2"/>
      <c r="D36" s="2"/>
      <c r="E36" s="2"/>
      <c r="F36" s="2"/>
      <c r="G36" s="2"/>
      <c r="H36" s="6"/>
      <c r="I36" s="1"/>
    </row>
    <row r="37">
      <c r="B37" s="1"/>
      <c r="C37" s="2"/>
      <c r="D37" s="2"/>
      <c r="E37" s="2"/>
      <c r="F37" s="2"/>
      <c r="G37" s="2"/>
      <c r="H37" s="6"/>
      <c r="I37" s="1"/>
    </row>
    <row r="38">
      <c r="B38" s="1"/>
      <c r="C38" s="2"/>
      <c r="D38" s="2"/>
      <c r="E38" s="2"/>
      <c r="F38" s="2"/>
      <c r="G38" s="2"/>
      <c r="H38" s="6"/>
      <c r="I38" s="1"/>
    </row>
    <row r="39">
      <c r="B39" s="1"/>
      <c r="C39" s="2"/>
      <c r="D39" s="2"/>
      <c r="E39" s="2"/>
      <c r="F39" s="2"/>
      <c r="G39" s="2"/>
      <c r="H39" s="6"/>
      <c r="I39" s="1"/>
    </row>
    <row r="40">
      <c r="B40" s="1"/>
      <c r="C40" s="2"/>
      <c r="D40" s="2"/>
      <c r="E40" s="2"/>
      <c r="F40" s="2"/>
      <c r="G40" s="2"/>
      <c r="H40" s="6"/>
      <c r="I40" s="1"/>
    </row>
    <row r="41">
      <c r="B41" s="1"/>
      <c r="C41" s="2"/>
      <c r="D41" s="2"/>
      <c r="E41" s="2"/>
      <c r="F41" s="2"/>
      <c r="G41" s="2"/>
      <c r="H41" s="6"/>
      <c r="I41" s="1"/>
    </row>
    <row r="42">
      <c r="B42" s="1"/>
      <c r="C42" s="2"/>
      <c r="D42" s="2"/>
      <c r="E42" s="2"/>
      <c r="F42" s="2"/>
      <c r="G42" s="2"/>
      <c r="H42" s="6"/>
      <c r="I42" s="1"/>
    </row>
    <row r="43">
      <c r="B43" s="1"/>
      <c r="C43" s="2"/>
      <c r="D43" s="2"/>
      <c r="E43" s="2"/>
      <c r="F43" s="2"/>
      <c r="G43" s="2"/>
      <c r="H43" s="6"/>
      <c r="I43" s="1"/>
    </row>
    <row r="44">
      <c r="B44" s="1"/>
      <c r="C44" s="2"/>
      <c r="D44" s="2"/>
      <c r="E44" s="2"/>
      <c r="F44" s="2"/>
      <c r="G44" s="2"/>
      <c r="H44" s="6"/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250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251</v>
      </c>
      <c r="C9" s="2"/>
      <c r="D9" s="2"/>
      <c r="E9" s="2"/>
      <c r="F9" s="2"/>
      <c r="G9" s="2"/>
      <c r="H9" s="6"/>
      <c r="I9" s="1"/>
    </row>
    <row r="10">
      <c r="B10" s="1" t="s">
        <v>252</v>
      </c>
      <c r="C10" s="18"/>
      <c r="D10" s="2" t="s">
        <v>26</v>
      </c>
      <c r="E10" s="18">
        <v>3293</v>
      </c>
      <c r="F10" s="18">
        <v>3593</v>
      </c>
      <c r="G10" s="18">
        <v>14847</v>
      </c>
      <c r="H10" s="27">
        <f>F10/'Revenue summary'!F18*'Revenue summary'!H18</f>
        <v>4507.503431337234</v>
      </c>
      <c r="I10" s="1"/>
    </row>
    <row r="11">
      <c r="B11" s="1" t="s">
        <v>253</v>
      </c>
      <c r="C11" s="18"/>
      <c r="D11" s="2" t="s">
        <v>26</v>
      </c>
      <c r="E11" s="18">
        <v>821</v>
      </c>
      <c r="F11" s="18">
        <v>866</v>
      </c>
      <c r="G11" s="18">
        <v>3348</v>
      </c>
      <c r="H11" s="27">
        <f>F11/'Revenue summary'!F18*'Revenue summary'!H18</f>
        <v>1086.4174705087796</v>
      </c>
      <c r="I11" s="1" t="s">
        <v>254</v>
      </c>
    </row>
    <row r="12">
      <c r="B12" s="1" t="s">
        <v>255</v>
      </c>
      <c r="C12" s="18"/>
      <c r="D12" s="2" t="s">
        <v>26</v>
      </c>
      <c r="E12" s="18">
        <v>778</v>
      </c>
      <c r="F12" s="18">
        <v>790</v>
      </c>
      <c r="G12" s="18">
        <v>3054</v>
      </c>
      <c r="H12" s="27">
        <f>F12/'Revenue summary'!F18*'Revenue summary'!H18</f>
        <v>991.0736740207111</v>
      </c>
      <c r="I12" s="1"/>
    </row>
    <row r="13">
      <c r="B13" s="1" t="s">
        <v>256</v>
      </c>
      <c r="C13" s="18"/>
      <c r="D13" s="2" t="s">
        <v>26</v>
      </c>
      <c r="E13" s="18">
        <v>1274</v>
      </c>
      <c r="F13" s="18">
        <v>1413</v>
      </c>
      <c r="G13" s="18">
        <v>5374</v>
      </c>
      <c r="H13" s="27">
        <f>'Revenue summary'!H18-SUM(H10:H12)</f>
        <v>1773.8964241332724</v>
      </c>
      <c r="I13" s="1"/>
    </row>
    <row r="14">
      <c r="B14" s="16" t="s">
        <v>257</v>
      </c>
      <c r="C14" s="4">
        <f>C25</f>
        <v>8153</v>
      </c>
      <c r="D14" s="4" t="s">
        <v>26</v>
      </c>
      <c r="E14" s="4">
        <f>SUM(E10:E13)</f>
        <v>6166</v>
      </c>
      <c r="F14" s="4">
        <f>SUM(F10:F13)</f>
        <v>6662</v>
      </c>
      <c r="G14" s="4">
        <f>SUM(G10:G13)</f>
        <v>26623</v>
      </c>
      <c r="H14" s="9">
        <f>SUM(H10:H13)</f>
        <v>8358.890999999998</v>
      </c>
      <c r="I14" s="1"/>
    </row>
    <row r="15">
      <c r="B15" s="1" t="s">
        <v>258</v>
      </c>
      <c r="C15" s="10">
        <f>'Revenue summary'!C18-C14</f>
        <v>0</v>
      </c>
      <c r="D15" s="2"/>
      <c r="E15" s="10">
        <f>'Revenue summary'!E18-E14</f>
        <v>-1</v>
      </c>
      <c r="F15" s="10">
        <f>'Revenue summary'!F18-F14</f>
        <v>1</v>
      </c>
      <c r="G15" s="10">
        <f>'Revenue summary'!G18-G14</f>
        <v>-1</v>
      </c>
      <c r="H15" s="27">
        <f>Inputs!H200</f>
        <v>0</v>
      </c>
      <c r="I15" s="1"/>
    </row>
    <row r="16">
      <c r="B16" s="16" t="s">
        <v>259</v>
      </c>
      <c r="C16" s="17">
        <f>C14+C15-'Revenue summary'!C18</f>
        <v>0</v>
      </c>
      <c r="D16" s="4" t="s">
        <v>26</v>
      </c>
      <c r="E16" s="17">
        <f>E14+E15-'Revenue summary'!E18</f>
        <v>0</v>
      </c>
      <c r="F16" s="17">
        <f>F14+F15-'Revenue summary'!F18</f>
        <v>0</v>
      </c>
      <c r="G16" s="17">
        <f>G14+G15-'Revenue summary'!G18</f>
        <v>0</v>
      </c>
      <c r="H16" s="38">
        <f>H14+H15-'Revenue summary'!H18</f>
        <v>0</v>
      </c>
      <c r="I16" s="1"/>
    </row>
    <row r="17">
      <c r="B17" s="1" t="s">
        <v>260</v>
      </c>
      <c r="C17" s="15"/>
      <c r="D17" s="26"/>
      <c r="E17" s="15">
        <f>E10/'Revenue summary'!E18</f>
        <v>0.5341443633414437</v>
      </c>
      <c r="F17" s="15">
        <f>F10/'Revenue summary'!F18</f>
        <v>0.5392465856220922</v>
      </c>
      <c r="G17" s="15">
        <f>G10/'Revenue summary'!G18</f>
        <v>0.5576966418751409</v>
      </c>
      <c r="H17" s="30">
        <f>H10/'Revenue summary'!H18</f>
        <v>0.5392465856220922</v>
      </c>
      <c r="I17" s="1"/>
    </row>
    <row r="18">
      <c r="B18" s="1" t="s">
        <v>261</v>
      </c>
      <c r="C18" s="26"/>
      <c r="D18" s="26"/>
      <c r="E18" s="15">
        <f>E11/'Revenue summary'!E18</f>
        <v>0.13317112733171127</v>
      </c>
      <c r="F18" s="15">
        <f>F11/'Revenue summary'!F18</f>
        <v>0.129971484316374</v>
      </c>
      <c r="G18" s="15">
        <f>G11/'Revenue summary'!G18</f>
        <v>0.1257606490872211</v>
      </c>
      <c r="H18" s="30">
        <f>H11/'Revenue summary'!H18</f>
        <v>0.129971484316374</v>
      </c>
      <c r="I18" s="1"/>
    </row>
    <row r="19">
      <c r="B19" s="1"/>
      <c r="C19" s="2"/>
      <c r="D19" s="2"/>
      <c r="E19" s="2"/>
      <c r="F19" s="2"/>
      <c r="G19" s="2"/>
      <c r="H19" s="6"/>
      <c r="I19" s="1"/>
    </row>
    <row r="20">
      <c r="B20" s="3" t="s">
        <v>262</v>
      </c>
      <c r="C20" s="41"/>
      <c r="D20" s="41"/>
      <c r="E20" s="41"/>
      <c r="F20" s="41"/>
      <c r="G20" s="41"/>
      <c r="H20" s="44"/>
      <c r="I20" s="1"/>
    </row>
    <row r="21">
      <c r="B21" s="1" t="s">
        <v>263</v>
      </c>
      <c r="C21" s="18">
        <v>5000</v>
      </c>
      <c r="D21" s="2"/>
      <c r="E21" s="2"/>
      <c r="F21" s="2"/>
      <c r="G21" s="2"/>
      <c r="H21" s="6"/>
      <c r="I21" s="1"/>
    </row>
    <row r="22">
      <c r="B22" s="1" t="s">
        <v>264</v>
      </c>
      <c r="C22" s="18">
        <v>2609</v>
      </c>
      <c r="D22" s="2"/>
      <c r="E22" s="2"/>
      <c r="F22" s="2"/>
      <c r="G22" s="2"/>
      <c r="H22" s="6"/>
      <c r="I22" s="1"/>
    </row>
    <row r="23">
      <c r="B23" s="1" t="s">
        <v>265</v>
      </c>
      <c r="C23" s="18">
        <v>313</v>
      </c>
      <c r="D23" s="2"/>
      <c r="E23" s="2"/>
      <c r="F23" s="2"/>
      <c r="G23" s="2"/>
      <c r="H23" s="6"/>
      <c r="I23" s="1"/>
    </row>
    <row r="24">
      <c r="B24" s="1" t="s">
        <v>266</v>
      </c>
      <c r="C24" s="18">
        <v>231</v>
      </c>
      <c r="D24" s="2"/>
      <c r="E24" s="2"/>
      <c r="F24" s="2"/>
      <c r="G24" s="2"/>
      <c r="H24" s="6"/>
      <c r="I24" s="1"/>
    </row>
    <row r="25">
      <c r="B25" s="1" t="s">
        <v>267</v>
      </c>
      <c r="C25" s="2">
        <f>SUM(C21:C24)</f>
        <v>8153</v>
      </c>
      <c r="D25" s="2"/>
      <c r="E25" s="2"/>
      <c r="F25" s="2"/>
      <c r="G25" s="2"/>
      <c r="H25" s="6"/>
      <c r="I25" s="1"/>
    </row>
    <row r="26">
      <c r="B26" s="1" t="s">
        <v>268</v>
      </c>
      <c r="C26" s="2"/>
      <c r="D26" s="2"/>
      <c r="E26" s="2"/>
      <c r="F26" s="2"/>
      <c r="G26" s="2"/>
      <c r="H26" s="6"/>
      <c r="I26" s="1"/>
    </row>
    <row r="27">
      <c r="B27" s="1"/>
      <c r="C27" s="2"/>
      <c r="D27" s="2"/>
      <c r="E27" s="2"/>
      <c r="F27" s="2"/>
      <c r="G27" s="2"/>
      <c r="H27" s="6"/>
      <c r="I27" s="1"/>
    </row>
    <row r="28">
      <c r="B28" s="1"/>
      <c r="C28" s="2"/>
      <c r="D28" s="2"/>
      <c r="E28" s="2"/>
      <c r="F28" s="2"/>
      <c r="G28" s="2"/>
      <c r="H28" s="6"/>
      <c r="I28" s="1"/>
    </row>
    <row r="29">
      <c r="B29" s="1"/>
      <c r="C29" s="2"/>
      <c r="D29" s="2"/>
      <c r="E29" s="2"/>
      <c r="F29" s="2"/>
      <c r="G29" s="2"/>
      <c r="H29" s="6"/>
      <c r="I29" s="1"/>
    </row>
    <row r="30">
      <c r="B30" s="1"/>
      <c r="C30" s="2"/>
      <c r="D30" s="2"/>
      <c r="E30" s="2"/>
      <c r="F30" s="2"/>
      <c r="G30" s="2"/>
      <c r="H30" s="6"/>
      <c r="I30" s="1"/>
    </row>
    <row r="31">
      <c r="B31" s="1"/>
      <c r="C31" s="2"/>
      <c r="D31" s="2"/>
      <c r="E31" s="2"/>
      <c r="F31" s="2"/>
      <c r="G31" s="2"/>
      <c r="H31" s="6"/>
      <c r="I31" s="1"/>
    </row>
    <row r="32">
      <c r="B32" s="1"/>
      <c r="C32" s="2"/>
      <c r="D32" s="2"/>
      <c r="E32" s="2"/>
      <c r="F32" s="2"/>
      <c r="G32" s="2"/>
      <c r="H32" s="6"/>
      <c r="I32" s="1"/>
    </row>
    <row r="33">
      <c r="B33" s="1"/>
      <c r="C33" s="2"/>
      <c r="D33" s="2"/>
      <c r="E33" s="2"/>
      <c r="F33" s="2"/>
      <c r="G33" s="2"/>
      <c r="H33" s="6"/>
      <c r="I33" s="1"/>
    </row>
    <row r="34">
      <c r="B34" s="1"/>
      <c r="C34" s="2"/>
      <c r="D34" s="2"/>
      <c r="E34" s="2"/>
      <c r="F34" s="2"/>
      <c r="G34" s="2"/>
      <c r="H34" s="6"/>
      <c r="I34" s="1"/>
    </row>
    <row r="35">
      <c r="B35" s="1"/>
      <c r="C35" s="2"/>
      <c r="D35" s="2"/>
      <c r="E35" s="2"/>
      <c r="F35" s="2"/>
      <c r="G35" s="2"/>
      <c r="H35" s="6"/>
      <c r="I35" s="1"/>
    </row>
    <row r="36">
      <c r="B36" s="1"/>
      <c r="C36" s="2"/>
      <c r="D36" s="2"/>
      <c r="E36" s="2"/>
      <c r="F36" s="2"/>
      <c r="G36" s="2"/>
      <c r="H36" s="6"/>
      <c r="I36" s="1"/>
    </row>
    <row r="37">
      <c r="B37" s="1"/>
      <c r="C37" s="2"/>
      <c r="D37" s="2"/>
      <c r="E37" s="2"/>
      <c r="F37" s="2"/>
      <c r="G37" s="2"/>
      <c r="H37" s="6"/>
      <c r="I37" s="1"/>
    </row>
    <row r="38">
      <c r="B38" s="1"/>
      <c r="C38" s="2"/>
      <c r="D38" s="2"/>
      <c r="E38" s="2"/>
      <c r="F38" s="2"/>
      <c r="G38" s="2"/>
      <c r="H38" s="6"/>
      <c r="I38" s="1"/>
    </row>
    <row r="39">
      <c r="B39" s="1"/>
      <c r="C39" s="2"/>
      <c r="D39" s="2"/>
      <c r="E39" s="2"/>
      <c r="F39" s="2"/>
      <c r="G39" s="2"/>
      <c r="H39" s="6"/>
      <c r="I39" s="1"/>
    </row>
    <row r="40">
      <c r="B40" s="1"/>
      <c r="C40" s="2"/>
      <c r="D40" s="2"/>
      <c r="E40" s="2"/>
      <c r="F40" s="2"/>
      <c r="G40" s="2"/>
      <c r="H40" s="6"/>
      <c r="I40" s="1"/>
    </row>
    <row r="41">
      <c r="B41" s="1"/>
      <c r="C41" s="2"/>
      <c r="D41" s="2"/>
      <c r="E41" s="2"/>
      <c r="F41" s="2"/>
      <c r="G41" s="2"/>
      <c r="H41" s="6"/>
      <c r="I41" s="1"/>
    </row>
    <row r="42">
      <c r="B42" s="1"/>
      <c r="C42" s="2"/>
      <c r="D42" s="2"/>
      <c r="E42" s="2"/>
      <c r="F42" s="2"/>
      <c r="G42" s="2"/>
      <c r="H42" s="6"/>
      <c r="I42" s="1"/>
    </row>
    <row r="43">
      <c r="B43" s="1"/>
      <c r="C43" s="2"/>
      <c r="D43" s="2"/>
      <c r="E43" s="2"/>
      <c r="F43" s="2"/>
      <c r="G43" s="2"/>
      <c r="H43" s="6"/>
      <c r="I43" s="1"/>
    </row>
    <row r="44">
      <c r="B44" s="1"/>
      <c r="C44" s="2"/>
      <c r="D44" s="2"/>
      <c r="E44" s="2"/>
      <c r="F44" s="2"/>
      <c r="G44" s="2"/>
      <c r="H44" s="6"/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269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270</v>
      </c>
      <c r="C9" s="2"/>
      <c r="D9" s="2"/>
      <c r="E9" s="2"/>
      <c r="F9" s="2"/>
      <c r="G9" s="2"/>
      <c r="H9" s="6"/>
      <c r="I9" s="1"/>
    </row>
    <row r="10">
      <c r="B10" s="16" t="s">
        <v>271</v>
      </c>
      <c r="C10" s="17">
        <f>Inputs!C122</f>
        <v>1313</v>
      </c>
      <c r="D10" s="17">
        <f>Inputs!D122</f>
        <v>1313</v>
      </c>
      <c r="E10" s="17">
        <f>Inputs!E122</f>
        <v>1379</v>
      </c>
      <c r="F10" s="17">
        <f>Inputs!F122</f>
        <v>1382</v>
      </c>
      <c r="G10" s="17">
        <f>Inputs!G122</f>
        <v>1312</v>
      </c>
      <c r="H10" s="38">
        <f>Inputs!H189</f>
        <v>1372</v>
      </c>
      <c r="I10" s="1"/>
    </row>
    <row r="11">
      <c r="B11" s="16" t="s">
        <v>272</v>
      </c>
      <c r="C11" s="17">
        <f>Inputs!C123</f>
        <v>1402</v>
      </c>
      <c r="D11" s="17">
        <f>Inputs!D123</f>
        <v>1403</v>
      </c>
      <c r="E11" s="17">
        <f>Inputs!E123</f>
        <v>1392</v>
      </c>
      <c r="F11" s="17">
        <f>Inputs!F123</f>
        <v>1388</v>
      </c>
      <c r="G11" s="17">
        <f>Inputs!G123</f>
        <v>1402</v>
      </c>
      <c r="H11" s="38">
        <f>Inputs!H190</f>
        <v>1377</v>
      </c>
      <c r="I11" s="1"/>
    </row>
    <row r="12">
      <c r="B12" s="1" t="s">
        <v>273</v>
      </c>
      <c r="C12" s="2">
        <f>C11-C10</f>
        <v>89</v>
      </c>
      <c r="D12" s="2">
        <f>D11-D10</f>
        <v>90</v>
      </c>
      <c r="E12" s="2">
        <f>E11-E10</f>
        <v>13</v>
      </c>
      <c r="F12" s="2">
        <f>F11-F10</f>
        <v>6</v>
      </c>
      <c r="G12" s="2">
        <f>G11-G10</f>
        <v>90</v>
      </c>
      <c r="H12" s="6">
        <f>H11-H10</f>
        <v>5</v>
      </c>
      <c r="I12" s="1"/>
    </row>
    <row r="13">
      <c r="B13" s="1" t="s">
        <v>274</v>
      </c>
      <c r="C13" s="2"/>
      <c r="D13" s="2"/>
      <c r="E13" s="2"/>
      <c r="F13" s="2">
        <f>F10-$C10</f>
        <v>69</v>
      </c>
      <c r="G13" s="2"/>
      <c r="H13" s="6">
        <f>H10-$C10</f>
        <v>59</v>
      </c>
      <c r="I13" s="1"/>
    </row>
    <row r="14">
      <c r="B14" s="1" t="s">
        <v>275</v>
      </c>
      <c r="C14" s="2"/>
      <c r="D14" s="2"/>
      <c r="E14" s="2"/>
      <c r="F14" s="2">
        <f>F11-$C11</f>
        <v>-14</v>
      </c>
      <c r="G14" s="2"/>
      <c r="H14" s="6">
        <f>H11-$C11</f>
        <v>-25</v>
      </c>
      <c r="I14" s="1"/>
    </row>
    <row r="15">
      <c r="B15" s="1" t="s">
        <v>276</v>
      </c>
      <c r="C15" s="2">
        <f>C11</f>
        <v>1402</v>
      </c>
      <c r="D15" s="2">
        <f>D11</f>
        <v>1403</v>
      </c>
      <c r="E15" s="2">
        <f>E11</f>
        <v>1392</v>
      </c>
      <c r="F15" s="2">
        <f>F11</f>
        <v>1388</v>
      </c>
      <c r="G15" s="2">
        <f>G11</f>
        <v>1402</v>
      </c>
      <c r="H15" s="6">
        <f>H11</f>
        <v>1377</v>
      </c>
      <c r="I15" s="1"/>
    </row>
    <row r="16">
      <c r="B16" s="1" t="s">
        <v>277</v>
      </c>
      <c r="C16" s="2">
        <f>C11</f>
        <v>1402</v>
      </c>
      <c r="D16" s="2">
        <f>D11</f>
        <v>1403</v>
      </c>
      <c r="E16" s="2">
        <f>E11</f>
        <v>1392</v>
      </c>
      <c r="F16" s="2">
        <f>F11</f>
        <v>1388</v>
      </c>
      <c r="G16" s="2">
        <f>G11</f>
        <v>1402</v>
      </c>
      <c r="H16" s="6">
        <f>H11</f>
        <v>1377</v>
      </c>
      <c r="I16" s="1"/>
    </row>
    <row r="17">
      <c r="B17" s="1" t="s">
        <v>278</v>
      </c>
      <c r="C17" s="2"/>
      <c r="D17" s="2"/>
      <c r="E17" s="2"/>
      <c r="F17" s="2"/>
      <c r="G17" s="2"/>
      <c r="H17" s="27">
        <f>Inputs!H196</f>
        <v>200</v>
      </c>
      <c r="I17" s="1"/>
    </row>
    <row r="18">
      <c r="B18" s="1" t="s">
        <v>279</v>
      </c>
      <c r="C18" s="2"/>
      <c r="D18" s="2"/>
      <c r="E18" s="2"/>
      <c r="F18" s="2"/>
      <c r="G18" s="2"/>
      <c r="H18" s="6"/>
      <c r="I18" s="1"/>
    </row>
    <row r="19">
      <c r="B19" s="1" t="s">
        <v>280</v>
      </c>
      <c r="C19" s="2"/>
      <c r="D19" s="2"/>
      <c r="E19" s="2"/>
      <c r="F19" s="2"/>
      <c r="G19" s="2"/>
      <c r="H19" s="6"/>
      <c r="I19" s="1"/>
    </row>
    <row r="20">
      <c r="B20" s="16" t="s">
        <v>281</v>
      </c>
      <c r="C20" s="4">
        <f>C16</f>
        <v>1402</v>
      </c>
      <c r="D20" s="4">
        <f>D16</f>
        <v>1403</v>
      </c>
      <c r="E20" s="4">
        <f>E16</f>
        <v>1392</v>
      </c>
      <c r="F20" s="4">
        <f>F16</f>
        <v>1388</v>
      </c>
      <c r="G20" s="4">
        <f>G16</f>
        <v>1402</v>
      </c>
      <c r="H20" s="9">
        <f>H16</f>
        <v>1377</v>
      </c>
      <c r="I20" s="1"/>
    </row>
    <row r="21">
      <c r="B21" s="1"/>
      <c r="C21" s="2"/>
      <c r="D21" s="2"/>
      <c r="E21" s="2"/>
      <c r="F21" s="2"/>
      <c r="G21" s="2"/>
      <c r="H21" s="6"/>
      <c r="I21" s="1"/>
    </row>
    <row r="22">
      <c r="B22" s="1"/>
      <c r="C22" s="2"/>
      <c r="D22" s="2"/>
      <c r="E22" s="2"/>
      <c r="F22" s="2"/>
      <c r="G22" s="2"/>
      <c r="H22" s="6"/>
      <c r="I22" s="1"/>
    </row>
    <row r="23">
      <c r="B23" s="1"/>
      <c r="C23" s="2"/>
      <c r="D23" s="2"/>
      <c r="E23" s="2"/>
      <c r="F23" s="2"/>
      <c r="G23" s="2"/>
      <c r="H23" s="6"/>
      <c r="I23" s="1"/>
    </row>
    <row r="24">
      <c r="B24" s="1"/>
      <c r="C24" s="2"/>
      <c r="D24" s="2"/>
      <c r="E24" s="2"/>
      <c r="F24" s="2"/>
      <c r="G24" s="2"/>
      <c r="H24" s="6"/>
      <c r="I24" s="1"/>
    </row>
    <row r="25">
      <c r="B25" s="1"/>
      <c r="C25" s="2"/>
      <c r="D25" s="2"/>
      <c r="E25" s="2"/>
      <c r="F25" s="2"/>
      <c r="G25" s="2"/>
      <c r="H25" s="6"/>
      <c r="I25" s="1"/>
    </row>
    <row r="26">
      <c r="B26" s="1"/>
      <c r="C26" s="2"/>
      <c r="D26" s="2"/>
      <c r="E26" s="2"/>
      <c r="F26" s="2"/>
      <c r="G26" s="2"/>
      <c r="H26" s="6"/>
      <c r="I26" s="1"/>
    </row>
    <row r="27">
      <c r="B27" s="1"/>
      <c r="C27" s="2"/>
      <c r="D27" s="2"/>
      <c r="E27" s="2"/>
      <c r="F27" s="2"/>
      <c r="G27" s="2"/>
      <c r="H27" s="6"/>
      <c r="I27" s="1"/>
    </row>
    <row r="28">
      <c r="B28" s="1"/>
      <c r="C28" s="2"/>
      <c r="D28" s="2"/>
      <c r="E28" s="2"/>
      <c r="F28" s="2"/>
      <c r="G28" s="2"/>
      <c r="H28" s="6"/>
      <c r="I28" s="1"/>
    </row>
    <row r="29">
      <c r="B29" s="1"/>
      <c r="C29" s="2"/>
      <c r="D29" s="2"/>
      <c r="E29" s="2"/>
      <c r="F29" s="2"/>
      <c r="G29" s="2"/>
      <c r="H29" s="6"/>
      <c r="I29" s="1"/>
    </row>
    <row r="30">
      <c r="B30" s="1"/>
      <c r="C30" s="2"/>
      <c r="D30" s="2"/>
      <c r="E30" s="2"/>
      <c r="F30" s="2"/>
      <c r="G30" s="2"/>
      <c r="H30" s="6"/>
      <c r="I30" s="1"/>
    </row>
    <row r="31">
      <c r="B31" s="1"/>
      <c r="C31" s="2"/>
      <c r="D31" s="2"/>
      <c r="E31" s="2"/>
      <c r="F31" s="2"/>
      <c r="G31" s="2"/>
      <c r="H31" s="6"/>
      <c r="I31" s="1"/>
    </row>
    <row r="32">
      <c r="B32" s="1"/>
      <c r="C32" s="2"/>
      <c r="D32" s="2"/>
      <c r="E32" s="2"/>
      <c r="F32" s="2"/>
      <c r="G32" s="2"/>
      <c r="H32" s="6"/>
      <c r="I32" s="1"/>
    </row>
    <row r="33">
      <c r="B33" s="1"/>
      <c r="C33" s="2"/>
      <c r="D33" s="2"/>
      <c r="E33" s="2"/>
      <c r="F33" s="2"/>
      <c r="G33" s="2"/>
      <c r="H33" s="6"/>
      <c r="I33" s="1"/>
    </row>
    <row r="34">
      <c r="B34" s="1"/>
      <c r="C34" s="2"/>
      <c r="D34" s="2"/>
      <c r="E34" s="2"/>
      <c r="F34" s="2"/>
      <c r="G34" s="2"/>
      <c r="H34" s="6"/>
      <c r="I34" s="1"/>
    </row>
    <row r="35">
      <c r="B35" s="1"/>
      <c r="C35" s="2"/>
      <c r="D35" s="2"/>
      <c r="E35" s="2"/>
      <c r="F35" s="2"/>
      <c r="G35" s="2"/>
      <c r="H35" s="6"/>
      <c r="I35" s="1"/>
    </row>
    <row r="36">
      <c r="B36" s="1"/>
      <c r="C36" s="2"/>
      <c r="D36" s="2"/>
      <c r="E36" s="2"/>
      <c r="F36" s="2"/>
      <c r="G36" s="2"/>
      <c r="H36" s="6"/>
      <c r="I36" s="1"/>
    </row>
    <row r="37">
      <c r="B37" s="1"/>
      <c r="C37" s="2"/>
      <c r="D37" s="2"/>
      <c r="E37" s="2"/>
      <c r="F37" s="2"/>
      <c r="G37" s="2"/>
      <c r="H37" s="6"/>
      <c r="I37" s="1"/>
    </row>
    <row r="38">
      <c r="B38" s="1"/>
      <c r="C38" s="2"/>
      <c r="D38" s="2"/>
      <c r="E38" s="2"/>
      <c r="F38" s="2"/>
      <c r="G38" s="2"/>
      <c r="H38" s="6"/>
      <c r="I38" s="1"/>
    </row>
    <row r="39">
      <c r="B39" s="1"/>
      <c r="C39" s="2"/>
      <c r="D39" s="2"/>
      <c r="E39" s="2"/>
      <c r="F39" s="2"/>
      <c r="G39" s="2"/>
      <c r="H39" s="6"/>
      <c r="I39" s="1"/>
    </row>
    <row r="40">
      <c r="B40" s="1"/>
      <c r="C40" s="2"/>
      <c r="D40" s="2"/>
      <c r="E40" s="2"/>
      <c r="F40" s="2"/>
      <c r="G40" s="2"/>
      <c r="H40" s="6"/>
      <c r="I40" s="1"/>
    </row>
    <row r="41">
      <c r="B41" s="1"/>
      <c r="C41" s="2"/>
      <c r="D41" s="2"/>
      <c r="E41" s="2"/>
      <c r="F41" s="2"/>
      <c r="G41" s="2"/>
      <c r="H41" s="6"/>
      <c r="I41" s="1"/>
    </row>
    <row r="42">
      <c r="B42" s="1"/>
      <c r="C42" s="2"/>
      <c r="D42" s="2"/>
      <c r="E42" s="2"/>
      <c r="F42" s="2"/>
      <c r="G42" s="2"/>
      <c r="H42" s="6"/>
      <c r="I42" s="1"/>
    </row>
    <row r="43">
      <c r="B43" s="1"/>
      <c r="C43" s="2"/>
      <c r="D43" s="2"/>
      <c r="E43" s="2"/>
      <c r="F43" s="2"/>
      <c r="G43" s="2"/>
      <c r="H43" s="6"/>
      <c r="I43" s="1"/>
    </row>
    <row r="44">
      <c r="B44" s="1"/>
      <c r="C44" s="2"/>
      <c r="D44" s="2"/>
      <c r="E44" s="2"/>
      <c r="F44" s="2"/>
      <c r="G44" s="2"/>
      <c r="H44" s="6"/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8" width="13" customWidth="1"/>
    <col min="9" max="9" width="1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24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282</v>
      </c>
      <c r="C9" s="2" t="s">
        <v>3</v>
      </c>
      <c r="D9" s="2" t="s">
        <v>283</v>
      </c>
      <c r="E9" s="2" t="s">
        <v>284</v>
      </c>
      <c r="F9" s="2" t="s">
        <v>285</v>
      </c>
      <c r="G9" s="2" t="s">
        <v>286</v>
      </c>
      <c r="H9" s="6" t="s">
        <v>287</v>
      </c>
      <c r="I9" s="1" t="s">
        <v>288</v>
      </c>
    </row>
    <row r="10">
      <c r="B10" s="25">
        <v>46196</v>
      </c>
      <c r="C10" s="2" t="s">
        <v>289</v>
      </c>
      <c r="D10" s="2" t="s">
        <v>290</v>
      </c>
      <c r="E10" s="2" t="s">
        <v>291</v>
      </c>
      <c r="F10" s="42" t="s">
        <v>291</v>
      </c>
      <c r="G10" s="33">
        <v>0.013</v>
      </c>
      <c r="H10" s="6"/>
      <c r="I10" s="1"/>
    </row>
    <row r="11">
      <c r="B11" s="25">
        <v>46196</v>
      </c>
      <c r="C11" s="2" t="s">
        <v>289</v>
      </c>
      <c r="D11" s="2" t="s">
        <v>292</v>
      </c>
      <c r="E11" s="2" t="s">
        <v>291</v>
      </c>
      <c r="F11" s="42" t="s">
        <v>291</v>
      </c>
      <c r="G11" s="33">
        <v>0.012</v>
      </c>
      <c r="H11" s="6"/>
      <c r="I11" s="1"/>
    </row>
    <row r="12">
      <c r="B12" s="25">
        <v>46196</v>
      </c>
      <c r="C12" s="2" t="s">
        <v>289</v>
      </c>
      <c r="D12" s="2" t="s">
        <v>293</v>
      </c>
      <c r="E12" s="2" t="s">
        <v>291</v>
      </c>
      <c r="F12" s="42" t="s">
        <v>291</v>
      </c>
      <c r="G12" s="33">
        <v>0.028</v>
      </c>
      <c r="H12" s="6"/>
      <c r="I12" s="1"/>
    </row>
    <row r="13">
      <c r="B13" s="25">
        <v>46196</v>
      </c>
      <c r="C13" s="2" t="s">
        <v>289</v>
      </c>
      <c r="D13" s="2" t="s">
        <v>294</v>
      </c>
      <c r="E13" s="2" t="s">
        <v>291</v>
      </c>
      <c r="F13" s="18" t="s">
        <v>291</v>
      </c>
      <c r="G13" s="18">
        <v>24.9</v>
      </c>
      <c r="H13" s="6"/>
      <c r="I13" s="1"/>
    </row>
    <row r="14">
      <c r="B14" s="25">
        <v>46196</v>
      </c>
      <c r="C14" s="2" t="s">
        <v>289</v>
      </c>
      <c r="D14" s="2" t="s">
        <v>295</v>
      </c>
      <c r="E14" s="2" t="s">
        <v>291</v>
      </c>
      <c r="F14" s="18" t="s">
        <v>291</v>
      </c>
      <c r="G14" s="18">
        <v>0.7</v>
      </c>
      <c r="H14" s="6"/>
      <c r="I14" s="1"/>
    </row>
    <row r="15">
      <c r="B15" s="25">
        <v>46196</v>
      </c>
      <c r="C15" s="2" t="s">
        <v>289</v>
      </c>
      <c r="D15" s="2" t="s">
        <v>296</v>
      </c>
      <c r="E15" s="2" t="s">
        <v>291</v>
      </c>
      <c r="F15" s="18" t="s">
        <v>291</v>
      </c>
      <c r="G15" s="18">
        <v>812</v>
      </c>
      <c r="H15" s="6"/>
      <c r="I15" s="1"/>
    </row>
    <row r="16">
      <c r="B16" s="25">
        <v>46196</v>
      </c>
      <c r="C16" s="2" t="s">
        <v>289</v>
      </c>
      <c r="D16" s="2" t="s">
        <v>297</v>
      </c>
      <c r="E16" s="2" t="s">
        <v>291</v>
      </c>
      <c r="F16" s="18" t="s">
        <v>291</v>
      </c>
      <c r="G16" s="18">
        <v>620</v>
      </c>
      <c r="H16" s="6"/>
      <c r="I16" s="1"/>
    </row>
    <row r="17">
      <c r="B17" s="25">
        <v>46196</v>
      </c>
      <c r="C17" s="2" t="s">
        <v>289</v>
      </c>
      <c r="D17" s="2" t="s">
        <v>298</v>
      </c>
      <c r="E17" s="2" t="s">
        <v>291</v>
      </c>
      <c r="F17" s="18" t="s">
        <v>291</v>
      </c>
      <c r="G17" s="18">
        <v>740</v>
      </c>
      <c r="H17" s="6"/>
      <c r="I17" s="1"/>
    </row>
    <row r="18">
      <c r="B18" s="25">
        <v>46196</v>
      </c>
      <c r="C18" s="2" t="s">
        <v>289</v>
      </c>
      <c r="D18" s="2" t="s">
        <v>299</v>
      </c>
      <c r="E18" s="2" t="s">
        <v>291</v>
      </c>
      <c r="F18" s="18" t="s">
        <v>291</v>
      </c>
      <c r="G18" s="18">
        <v>270</v>
      </c>
      <c r="H18" s="6"/>
      <c r="I18" s="1"/>
    </row>
    <row r="19">
      <c r="B19" s="25">
        <v>46196</v>
      </c>
      <c r="C19" s="2" t="s">
        <v>289</v>
      </c>
      <c r="D19" s="2" t="s">
        <v>27</v>
      </c>
      <c r="E19" s="2" t="s">
        <v>291</v>
      </c>
      <c r="F19" s="18" t="s">
        <v>291</v>
      </c>
      <c r="G19" s="18">
        <v>1860</v>
      </c>
      <c r="H19" s="6"/>
      <c r="I19" s="1"/>
    </row>
    <row r="20">
      <c r="B20" s="25">
        <v>46196</v>
      </c>
      <c r="C20" s="2" t="s">
        <v>289</v>
      </c>
      <c r="D20" s="2" t="s">
        <v>300</v>
      </c>
      <c r="E20" s="2" t="s">
        <v>291</v>
      </c>
      <c r="F20" s="18" t="s">
        <v>291</v>
      </c>
      <c r="G20" s="19">
        <v>1.35</v>
      </c>
      <c r="H20" s="43"/>
      <c r="I20" s="1"/>
    </row>
    <row r="21">
      <c r="B21" s="25">
        <v>46196</v>
      </c>
      <c r="C21" s="2" t="s">
        <v>289</v>
      </c>
      <c r="D21" s="2" t="s">
        <v>301</v>
      </c>
      <c r="E21" s="2" t="s">
        <v>291</v>
      </c>
      <c r="F21" s="18" t="s">
        <v>291</v>
      </c>
      <c r="G21" s="18">
        <v>1372</v>
      </c>
      <c r="H21" s="6"/>
      <c r="I21" s="1"/>
    </row>
    <row r="22">
      <c r="B22" s="25">
        <v>46196</v>
      </c>
      <c r="C22" s="2" t="s">
        <v>289</v>
      </c>
      <c r="D22" s="2" t="s">
        <v>302</v>
      </c>
      <c r="E22" s="2" t="s">
        <v>291</v>
      </c>
      <c r="F22" s="18" t="s">
        <v>291</v>
      </c>
      <c r="G22" s="18">
        <v>1377</v>
      </c>
      <c r="H22" s="6"/>
      <c r="I22" s="1"/>
    </row>
    <row r="23">
      <c r="B23" s="25">
        <v>46196</v>
      </c>
      <c r="C23" s="2" t="s">
        <v>303</v>
      </c>
      <c r="D23" s="2" t="s">
        <v>304</v>
      </c>
      <c r="E23" s="2" t="s">
        <v>291</v>
      </c>
      <c r="F23" s="42" t="s">
        <v>291</v>
      </c>
      <c r="G23" s="33">
        <v>0.032</v>
      </c>
      <c r="H23" s="6"/>
      <c r="I23" s="1"/>
    </row>
    <row r="24">
      <c r="B24" s="25">
        <v>46196</v>
      </c>
      <c r="C24" s="2" t="s">
        <v>303</v>
      </c>
      <c r="D24" s="2" t="s">
        <v>305</v>
      </c>
      <c r="E24" s="2" t="s">
        <v>291</v>
      </c>
      <c r="F24" s="42" t="s">
        <v>291</v>
      </c>
      <c r="G24" s="33">
        <v>0.0175</v>
      </c>
      <c r="H24" s="6"/>
      <c r="I24" s="1"/>
    </row>
    <row r="25">
      <c r="B25" s="25">
        <v>46196</v>
      </c>
      <c r="C25" s="2" t="s">
        <v>303</v>
      </c>
      <c r="D25" s="2" t="s">
        <v>306</v>
      </c>
      <c r="E25" s="2" t="s">
        <v>291</v>
      </c>
      <c r="F25" s="18" t="s">
        <v>291</v>
      </c>
      <c r="G25" s="18">
        <v>7110</v>
      </c>
      <c r="H25" s="6"/>
      <c r="I25" s="1"/>
    </row>
    <row r="26">
      <c r="B26" s="25">
        <v>46196</v>
      </c>
      <c r="C26" s="2" t="s">
        <v>303</v>
      </c>
      <c r="D26" s="2" t="s">
        <v>300</v>
      </c>
      <c r="E26" s="2" t="s">
        <v>291</v>
      </c>
      <c r="F26" s="18" t="s">
        <v>291</v>
      </c>
      <c r="G26" s="19">
        <v>2.22</v>
      </c>
      <c r="H26" s="6"/>
      <c r="I26" s="1"/>
    </row>
    <row r="27">
      <c r="B27" s="25">
        <v>45929</v>
      </c>
      <c r="C27" s="2" t="s">
        <v>307</v>
      </c>
      <c r="D27" s="2" t="s">
        <v>300</v>
      </c>
      <c r="E27" s="2" t="s">
        <v>291</v>
      </c>
      <c r="F27" s="19" t="s">
        <v>291</v>
      </c>
      <c r="G27" s="19">
        <v>0.23</v>
      </c>
      <c r="H27" s="34">
        <f>'Income Statement'!D45</f>
        <v>0.33642195295794725</v>
      </c>
      <c r="I27" s="1" t="str">
        <f>IF(H27&gt;G27,"Beat",IF(H27&lt;G27,"Miss","In line"))</f>
        <v>Beat</v>
      </c>
    </row>
    <row r="28">
      <c r="B28" s="25">
        <v>45929</v>
      </c>
      <c r="C28" s="2" t="s">
        <v>307</v>
      </c>
      <c r="D28" s="2" t="s">
        <v>27</v>
      </c>
      <c r="E28" s="2" t="s">
        <v>291</v>
      </c>
      <c r="F28" s="18" t="s">
        <v>291</v>
      </c>
      <c r="G28" s="18">
        <v>300</v>
      </c>
      <c r="H28" s="27">
        <f>'Income Statement'!D44</f>
        <v>454</v>
      </c>
      <c r="I28" s="2" t="str">
        <f>IF(H28&gt;G28,"Beat",IF(H28&lt;G28,"Miss","In line"))</f>
        <v>Beat</v>
      </c>
    </row>
    <row r="29">
      <c r="B29" s="25">
        <v>46010</v>
      </c>
      <c r="C29" s="2" t="s">
        <v>308</v>
      </c>
      <c r="D29" s="2" t="s">
        <v>300</v>
      </c>
      <c r="E29" s="2" t="s">
        <v>291</v>
      </c>
      <c r="F29" s="19" t="s">
        <v>291</v>
      </c>
      <c r="G29" s="19">
        <v>0.17</v>
      </c>
      <c r="H29" s="34">
        <f>'Income Statement'!E45</f>
        <v>0.19755747126436782</v>
      </c>
      <c r="I29" s="1" t="str">
        <f>IF(H29&gt;G29,"Beat",IF(H29&lt;G29,"Miss","In line"))</f>
        <v>Beat</v>
      </c>
    </row>
    <row r="30">
      <c r="B30" s="25">
        <v>46010</v>
      </c>
      <c r="C30" s="2" t="s">
        <v>308</v>
      </c>
      <c r="D30" s="2" t="s">
        <v>27</v>
      </c>
      <c r="E30" s="2" t="s">
        <v>291</v>
      </c>
      <c r="F30" s="18" t="s">
        <v>291</v>
      </c>
      <c r="G30" s="18">
        <v>235</v>
      </c>
      <c r="H30" s="27">
        <f>'Income Statement'!E44</f>
        <v>275</v>
      </c>
      <c r="I30" s="2" t="str">
        <f>IF(H30&gt;G30,"Beat",IF(H30&lt;G30,"Miss","In line"))</f>
        <v>Beat</v>
      </c>
    </row>
    <row r="31">
      <c r="B31" s="25">
        <v>46108</v>
      </c>
      <c r="C31" s="2" t="s">
        <v>309</v>
      </c>
      <c r="D31" s="2" t="s">
        <v>300</v>
      </c>
      <c r="E31" s="2" t="s">
        <v>291</v>
      </c>
      <c r="F31" s="19" t="s">
        <v>291</v>
      </c>
      <c r="G31" s="19">
        <v>0.34</v>
      </c>
      <c r="H31" s="34">
        <f>'Income Statement'!F45</f>
        <v>0.4099423631123919</v>
      </c>
      <c r="I31" s="1" t="str">
        <f>IF(H31&gt;G31,"Beat",IF(H31&lt;G31,"Miss","In line"))</f>
        <v>Beat</v>
      </c>
    </row>
    <row r="32">
      <c r="B32" s="25">
        <v>46108</v>
      </c>
      <c r="C32" s="2" t="s">
        <v>309</v>
      </c>
      <c r="D32" s="2" t="s">
        <v>27</v>
      </c>
      <c r="E32" s="2" t="s">
        <v>291</v>
      </c>
      <c r="F32" s="18" t="s">
        <v>291</v>
      </c>
      <c r="G32" s="18">
        <v>470</v>
      </c>
      <c r="H32" s="27">
        <f>'Income Statement'!F44</f>
        <v>569</v>
      </c>
      <c r="I32" s="2" t="str">
        <f>IF(H32&gt;G32,"Beat",IF(H32&lt;G32,"Miss","In line"))</f>
        <v>Beat</v>
      </c>
    </row>
    <row r="33">
      <c r="B33" s="1"/>
      <c r="C33" s="2"/>
      <c r="D33" s="2"/>
      <c r="E33" s="2"/>
      <c r="F33" s="2"/>
      <c r="G33" s="2"/>
      <c r="H33" s="6"/>
      <c r="I33" s="1"/>
    </row>
    <row r="34">
      <c r="B34" s="1"/>
      <c r="C34" s="2"/>
      <c r="D34" s="2"/>
      <c r="E34" s="2"/>
      <c r="F34" s="2"/>
      <c r="G34" s="2"/>
      <c r="H34" s="6"/>
      <c r="I34" s="1"/>
    </row>
    <row r="35">
      <c r="B35" s="1"/>
      <c r="C35" s="2"/>
      <c r="D35" s="2"/>
      <c r="E35" s="2"/>
      <c r="F35" s="2"/>
      <c r="G35" s="2"/>
      <c r="H35" s="6"/>
      <c r="I35" s="1"/>
    </row>
    <row r="36">
      <c r="B36" s="1"/>
      <c r="C36" s="2"/>
      <c r="D36" s="2"/>
      <c r="E36" s="2"/>
      <c r="F36" s="2"/>
      <c r="G36" s="2"/>
      <c r="H36" s="6"/>
      <c r="I36" s="1"/>
    </row>
    <row r="37">
      <c r="B37" s="1"/>
      <c r="C37" s="2"/>
      <c r="D37" s="2"/>
      <c r="E37" s="2"/>
      <c r="F37" s="2"/>
      <c r="G37" s="2"/>
      <c r="H37" s="6"/>
      <c r="I37" s="1"/>
    </row>
    <row r="38">
      <c r="B38" s="1"/>
      <c r="C38" s="2"/>
      <c r="D38" s="2"/>
      <c r="E38" s="2"/>
      <c r="F38" s="2"/>
      <c r="G38" s="2"/>
      <c r="H38" s="6"/>
      <c r="I38" s="1"/>
    </row>
    <row r="39">
      <c r="B39" s="1"/>
      <c r="C39" s="2"/>
      <c r="D39" s="2"/>
      <c r="E39" s="2"/>
      <c r="F39" s="2"/>
      <c r="G39" s="2"/>
      <c r="H39" s="6"/>
      <c r="I39" s="1"/>
    </row>
    <row r="40">
      <c r="B40" s="1"/>
      <c r="C40" s="2"/>
      <c r="D40" s="2"/>
      <c r="E40" s="2"/>
      <c r="F40" s="2"/>
      <c r="G40" s="2"/>
      <c r="H40" s="6"/>
      <c r="I40" s="1"/>
    </row>
    <row r="41">
      <c r="B41" s="1"/>
      <c r="C41" s="2"/>
      <c r="D41" s="2"/>
      <c r="E41" s="2"/>
      <c r="F41" s="2"/>
      <c r="G41" s="2"/>
      <c r="H41" s="6"/>
      <c r="I41" s="1"/>
    </row>
    <row r="42">
      <c r="B42" s="1"/>
      <c r="C42" s="2"/>
      <c r="D42" s="2"/>
      <c r="E42" s="2"/>
      <c r="F42" s="2"/>
      <c r="G42" s="2"/>
      <c r="H42" s="6"/>
      <c r="I42" s="1"/>
    </row>
    <row r="43">
      <c r="B43" s="1"/>
      <c r="C43" s="2"/>
      <c r="D43" s="2"/>
      <c r="E43" s="2"/>
      <c r="F43" s="2"/>
      <c r="G43" s="2"/>
      <c r="H43" s="6"/>
      <c r="I43" s="1"/>
    </row>
    <row r="44">
      <c r="B44" s="1"/>
      <c r="C44" s="2"/>
      <c r="D44" s="2"/>
      <c r="E44" s="2"/>
      <c r="F44" s="2"/>
      <c r="G44" s="2"/>
      <c r="H44" s="6"/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3" width="16" customWidth="1"/>
    <col min="4" max="4" width="22" customWidth="1"/>
    <col min="5" max="5" width="36" customWidth="1"/>
    <col min="6" max="6" width="34" customWidth="1"/>
    <col min="7" max="8" width="13" customWidth="1"/>
    <col min="9" max="9" width="54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310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311</v>
      </c>
      <c r="C9" s="2" t="s">
        <v>312</v>
      </c>
      <c r="D9" s="2" t="s">
        <v>313</v>
      </c>
      <c r="E9" s="2" t="s">
        <v>314</v>
      </c>
      <c r="F9" s="2" t="s">
        <v>315</v>
      </c>
      <c r="G9" s="2"/>
      <c r="H9" s="6"/>
      <c r="I9" s="1"/>
    </row>
    <row r="10">
      <c r="B10" s="1" t="s">
        <v>316</v>
      </c>
      <c r="C10" s="18">
        <v>46289</v>
      </c>
      <c r="D10" s="2" t="s">
        <v>317</v>
      </c>
      <c r="E10" s="2" t="s">
        <v>318</v>
      </c>
      <c r="F10" s="2" t="s">
        <v>319</v>
      </c>
      <c r="G10" s="2"/>
      <c r="H10" s="6"/>
      <c r="I10" s="1"/>
    </row>
    <row r="11">
      <c r="B11" s="1" t="s">
        <v>320</v>
      </c>
      <c r="C11" s="18">
        <v>45929</v>
      </c>
      <c r="D11" s="2" t="s">
        <v>321</v>
      </c>
      <c r="E11" s="2" t="s">
        <v>322</v>
      </c>
      <c r="F11" s="2" t="s">
        <v>323</v>
      </c>
      <c r="G11" s="2"/>
      <c r="H11" s="6"/>
      <c r="I11" s="1"/>
    </row>
    <row r="12">
      <c r="B12" s="1" t="s">
        <v>324</v>
      </c>
      <c r="C12" s="18">
        <v>46010</v>
      </c>
      <c r="D12" s="2" t="s">
        <v>321</v>
      </c>
      <c r="E12" s="2" t="s">
        <v>325</v>
      </c>
      <c r="F12" s="2" t="s">
        <v>326</v>
      </c>
      <c r="G12" s="2"/>
      <c r="H12" s="6"/>
      <c r="I12" s="1"/>
    </row>
    <row r="13">
      <c r="B13" s="1" t="s">
        <v>327</v>
      </c>
      <c r="C13" s="18">
        <v>46108</v>
      </c>
      <c r="D13" s="2" t="s">
        <v>321</v>
      </c>
      <c r="E13" s="2" t="s">
        <v>328</v>
      </c>
      <c r="F13" s="2" t="s">
        <v>329</v>
      </c>
      <c r="G13" s="2"/>
      <c r="H13" s="6"/>
      <c r="I13" s="1"/>
    </row>
    <row r="14">
      <c r="B14" s="1" t="s">
        <v>330</v>
      </c>
      <c r="C14" s="18">
        <v>46199</v>
      </c>
      <c r="D14" s="2" t="s">
        <v>321</v>
      </c>
      <c r="E14" s="2" t="s">
        <v>331</v>
      </c>
      <c r="F14" s="2" t="s">
        <v>332</v>
      </c>
      <c r="G14" s="2"/>
      <c r="H14" s="6"/>
      <c r="I14" s="1"/>
    </row>
    <row r="15">
      <c r="B15" s="1" t="s">
        <v>333</v>
      </c>
      <c r="C15" s="18">
        <v>46049</v>
      </c>
      <c r="D15" s="2" t="s">
        <v>321</v>
      </c>
      <c r="E15" s="2" t="s">
        <v>334</v>
      </c>
      <c r="F15" s="2" t="s">
        <v>335</v>
      </c>
      <c r="G15" s="2"/>
      <c r="H15" s="6"/>
      <c r="I15" s="1"/>
    </row>
    <row r="16">
      <c r="B16" s="1" t="s">
        <v>336</v>
      </c>
      <c r="C16" s="18">
        <v>46196</v>
      </c>
      <c r="D16" s="2" t="s">
        <v>321</v>
      </c>
      <c r="E16" s="2" t="s">
        <v>337</v>
      </c>
      <c r="F16" s="2" t="s">
        <v>338</v>
      </c>
      <c r="G16" s="2"/>
      <c r="H16" s="6"/>
      <c r="I16" s="1"/>
    </row>
    <row r="17">
      <c r="B17" s="1" t="s">
        <v>339</v>
      </c>
      <c r="C17" s="18">
        <v>46288</v>
      </c>
      <c r="D17" s="2" t="s">
        <v>340</v>
      </c>
      <c r="E17" s="2" t="s">
        <v>341</v>
      </c>
      <c r="F17" s="2" t="s">
        <v>342</v>
      </c>
      <c r="G17" s="2"/>
      <c r="H17" s="6"/>
      <c r="I17" s="1"/>
    </row>
    <row r="18">
      <c r="B18" s="1" t="s">
        <v>343</v>
      </c>
      <c r="C18" s="18">
        <v>46289</v>
      </c>
      <c r="D18" s="2" t="s">
        <v>344</v>
      </c>
      <c r="E18" s="2" t="s">
        <v>345</v>
      </c>
      <c r="F18" s="2" t="s">
        <v>346</v>
      </c>
      <c r="G18" s="2"/>
      <c r="H18" s="6"/>
      <c r="I18" s="1"/>
    </row>
    <row r="19">
      <c r="B19" s="1" t="s">
        <v>347</v>
      </c>
      <c r="C19" s="18">
        <v>46231</v>
      </c>
      <c r="D19" s="2" t="s">
        <v>348</v>
      </c>
      <c r="E19" s="2" t="s">
        <v>349</v>
      </c>
      <c r="F19" s="2" t="s">
        <v>350</v>
      </c>
      <c r="G19" s="2"/>
      <c r="H19" s="6"/>
      <c r="I19" s="1"/>
    </row>
    <row r="20">
      <c r="B20" s="1"/>
      <c r="C20" s="2"/>
      <c r="D20" s="2"/>
      <c r="E20" s="2"/>
      <c r="F20" s="2"/>
      <c r="G20" s="2"/>
      <c r="H20" s="6"/>
      <c r="I20" s="1"/>
    </row>
    <row r="21">
      <c r="B21" s="1"/>
      <c r="C21" s="2"/>
      <c r="D21" s="2"/>
      <c r="E21" s="2"/>
      <c r="F21" s="2"/>
      <c r="G21" s="2"/>
      <c r="H21" s="6"/>
      <c r="I21" s="1"/>
    </row>
    <row r="22">
      <c r="B22" s="1" t="s">
        <v>351</v>
      </c>
      <c r="C22" s="10" t="str">
        <f>Inputs!C71</f>
        <v>5878d1c026b559ca3e07b3ee641e8f2e781c3657825755ea7115506452d670e3</v>
      </c>
      <c r="D22" s="2"/>
      <c r="E22" s="2"/>
      <c r="F22" s="2"/>
      <c r="G22" s="2"/>
      <c r="H22" s="6"/>
      <c r="I22" s="1"/>
    </row>
    <row r="23">
      <c r="B23" s="1" t="s">
        <v>352</v>
      </c>
      <c r="C23" s="10" t="str">
        <f>Inputs!C72</f>
        <v>d91285c4cdd11a6f0e954e2f62a2500352c60492e368759884a0e1249590fe94</v>
      </c>
      <c r="D23" s="2"/>
      <c r="E23" s="2"/>
      <c r="F23" s="2"/>
      <c r="G23" s="2"/>
      <c r="H23" s="6"/>
      <c r="I23" s="1"/>
    </row>
    <row r="24">
      <c r="B24" s="1" t="s">
        <v>353</v>
      </c>
      <c r="C24" s="10">
        <f>Inputs!C73</f>
        <v>46289</v>
      </c>
      <c r="D24" s="2"/>
      <c r="E24" s="2"/>
      <c r="F24" s="2"/>
      <c r="G24" s="2"/>
      <c r="H24" s="6"/>
      <c r="I24" s="1"/>
    </row>
    <row r="25">
      <c r="B25" s="1" t="s">
        <v>354</v>
      </c>
      <c r="C25" s="2" t="s">
        <v>355</v>
      </c>
      <c r="D25" s="2"/>
      <c r="E25" s="2"/>
      <c r="F25" s="2"/>
      <c r="G25" s="2"/>
      <c r="H25" s="6"/>
      <c r="I25" s="20" t="s">
        <v>356</v>
      </c>
    </row>
    <row r="26">
      <c r="B26" s="1" t="s">
        <v>357</v>
      </c>
      <c r="C26" s="2" t="s">
        <v>358</v>
      </c>
      <c r="D26" s="2"/>
      <c r="E26" s="2"/>
      <c r="F26" s="2"/>
      <c r="G26" s="2"/>
      <c r="H26" s="6"/>
      <c r="I26" s="20" t="s">
        <v>359</v>
      </c>
    </row>
    <row r="27">
      <c r="B27" s="1" t="s">
        <v>360</v>
      </c>
      <c r="C27" s="2" t="s">
        <v>361</v>
      </c>
      <c r="D27" s="2"/>
      <c r="E27" s="2"/>
      <c r="F27" s="2"/>
      <c r="G27" s="2"/>
      <c r="H27" s="6"/>
      <c r="I27" s="20" t="s">
        <v>362</v>
      </c>
    </row>
    <row r="28">
      <c r="B28" s="1" t="s">
        <v>363</v>
      </c>
      <c r="C28" s="2" t="s">
        <v>364</v>
      </c>
      <c r="D28" s="2"/>
      <c r="E28" s="2"/>
      <c r="F28" s="2"/>
      <c r="G28" s="2"/>
      <c r="H28" s="6"/>
      <c r="I28" s="20" t="s">
        <v>365</v>
      </c>
    </row>
    <row r="29">
      <c r="B29" s="1" t="s">
        <v>366</v>
      </c>
      <c r="C29" s="2"/>
      <c r="D29" s="2"/>
      <c r="E29" s="2"/>
      <c r="F29" s="2"/>
      <c r="G29" s="2"/>
      <c r="H29" s="6"/>
      <c r="I29" s="20" t="s">
        <v>367</v>
      </c>
    </row>
    <row r="30">
      <c r="B30" s="1" t="s">
        <v>368</v>
      </c>
      <c r="C30" s="2"/>
      <c r="D30" s="2"/>
      <c r="E30" s="2"/>
      <c r="F30" s="2"/>
      <c r="G30" s="2"/>
      <c r="H30" s="6"/>
      <c r="I30" s="20" t="s">
        <v>369</v>
      </c>
    </row>
    <row r="31">
      <c r="B31" s="1" t="s">
        <v>370</v>
      </c>
      <c r="C31" s="2"/>
      <c r="D31" s="2"/>
      <c r="E31" s="2"/>
      <c r="F31" s="2"/>
      <c r="G31" s="2"/>
      <c r="H31" s="6"/>
      <c r="I31" s="20" t="s">
        <v>371</v>
      </c>
    </row>
    <row r="32">
      <c r="B32" s="1" t="s">
        <v>372</v>
      </c>
      <c r="C32" s="2"/>
      <c r="D32" s="2"/>
      <c r="E32" s="2"/>
      <c r="F32" s="2"/>
      <c r="G32" s="2"/>
      <c r="H32" s="6"/>
      <c r="I32" s="20" t="s">
        <v>373</v>
      </c>
    </row>
    <row r="33">
      <c r="B33" s="1" t="s">
        <v>374</v>
      </c>
      <c r="C33" s="2"/>
      <c r="D33" s="2"/>
      <c r="E33" s="2"/>
      <c r="F33" s="2"/>
      <c r="G33" s="2"/>
      <c r="H33" s="6"/>
      <c r="I33" s="20" t="s">
        <v>375</v>
      </c>
    </row>
    <row r="34">
      <c r="B34" s="1" t="s">
        <v>376</v>
      </c>
      <c r="C34" s="2"/>
      <c r="D34" s="2"/>
      <c r="E34" s="2"/>
      <c r="F34" s="2"/>
      <c r="G34" s="2"/>
      <c r="H34" s="6"/>
      <c r="I34" s="20" t="s">
        <v>377</v>
      </c>
    </row>
    <row r="35">
      <c r="B35" s="1"/>
      <c r="C35" s="2"/>
      <c r="D35" s="2"/>
      <c r="E35" s="2"/>
      <c r="F35" s="2"/>
      <c r="G35" s="2"/>
      <c r="H35" s="6"/>
      <c r="I35" s="1"/>
    </row>
    <row r="36">
      <c r="B36" s="1"/>
      <c r="C36" s="2"/>
      <c r="D36" s="2"/>
      <c r="E36" s="2"/>
      <c r="F36" s="2"/>
      <c r="G36" s="2"/>
      <c r="H36" s="6"/>
      <c r="I36" s="1"/>
    </row>
    <row r="37">
      <c r="B37" s="1"/>
      <c r="C37" s="2"/>
      <c r="D37" s="2"/>
      <c r="E37" s="2"/>
      <c r="F37" s="2"/>
      <c r="G37" s="2"/>
      <c r="H37" s="6"/>
      <c r="I37" s="1"/>
    </row>
    <row r="38">
      <c r="B38" s="1"/>
      <c r="C38" s="2"/>
      <c r="D38" s="2"/>
      <c r="E38" s="2"/>
      <c r="F38" s="2"/>
      <c r="G38" s="2"/>
      <c r="H38" s="6"/>
      <c r="I38" s="1"/>
    </row>
    <row r="39">
      <c r="B39" s="1"/>
      <c r="C39" s="2"/>
      <c r="D39" s="2"/>
      <c r="E39" s="2"/>
      <c r="F39" s="2"/>
      <c r="G39" s="2"/>
      <c r="H39" s="6"/>
      <c r="I39" s="1"/>
    </row>
    <row r="40">
      <c r="B40" s="1"/>
      <c r="C40" s="2"/>
      <c r="D40" s="2"/>
      <c r="E40" s="2"/>
      <c r="F40" s="2"/>
      <c r="G40" s="2"/>
      <c r="H40" s="6"/>
      <c r="I40" s="1"/>
    </row>
    <row r="41">
      <c r="B41" s="1"/>
      <c r="C41" s="2"/>
      <c r="D41" s="2"/>
      <c r="E41" s="2"/>
      <c r="F41" s="2"/>
      <c r="G41" s="2"/>
      <c r="H41" s="6"/>
      <c r="I41" s="1"/>
    </row>
    <row r="42">
      <c r="B42" s="1"/>
      <c r="C42" s="2"/>
      <c r="D42" s="2"/>
      <c r="E42" s="2"/>
      <c r="F42" s="2"/>
      <c r="G42" s="2"/>
      <c r="H42" s="6"/>
      <c r="I42" s="1"/>
    </row>
    <row r="43">
      <c r="B43" s="1"/>
      <c r="C43" s="2"/>
      <c r="D43" s="2"/>
      <c r="E43" s="2"/>
      <c r="F43" s="2"/>
      <c r="G43" s="2"/>
      <c r="H43" s="6"/>
      <c r="I43" s="1"/>
    </row>
    <row r="44">
      <c r="B44" s="1"/>
      <c r="C44" s="2"/>
      <c r="D44" s="2"/>
      <c r="E44" s="2"/>
      <c r="F44" s="2"/>
      <c r="G44" s="2"/>
      <c r="H44" s="6"/>
      <c r="I44" s="1"/>
    </row>
    <row r="45">
      <c r="B45" s="1"/>
      <c r="C45" s="2"/>
      <c r="D45" s="2"/>
      <c r="E45" s="2"/>
      <c r="F45" s="2"/>
      <c r="G45" s="2"/>
      <c r="H45" s="6"/>
      <c r="I45" s="1"/>
    </row>
    <row r="46">
      <c r="B46" s="1"/>
      <c r="C46" s="2"/>
      <c r="D46" s="2"/>
      <c r="E46" s="2"/>
      <c r="F46" s="2"/>
      <c r="G46" s="2"/>
      <c r="H46" s="6"/>
      <c r="I46" s="1"/>
    </row>
    <row r="47">
      <c r="B47" s="1"/>
      <c r="C47" s="2"/>
      <c r="D47" s="2"/>
      <c r="E47" s="2"/>
      <c r="F47" s="2"/>
      <c r="G47" s="2"/>
      <c r="H47" s="6"/>
      <c r="I47" s="1"/>
    </row>
    <row r="48">
      <c r="B48" s="1"/>
      <c r="C48" s="2"/>
      <c r="D48" s="2"/>
      <c r="E48" s="2"/>
      <c r="F48" s="2"/>
      <c r="G48" s="2"/>
      <c r="H48" s="6"/>
      <c r="I48" s="1"/>
    </row>
    <row r="49">
      <c r="B49" s="1"/>
      <c r="C49" s="2"/>
      <c r="D49" s="2"/>
      <c r="E49" s="2"/>
      <c r="F49" s="2"/>
      <c r="G49" s="2"/>
      <c r="H49" s="6"/>
      <c r="I49" s="1"/>
    </row>
    <row r="50">
      <c r="B50" s="1"/>
      <c r="C50" s="2"/>
      <c r="D50" s="2"/>
      <c r="E50" s="2"/>
      <c r="F50" s="2"/>
      <c r="G50" s="2"/>
      <c r="H50" s="6"/>
      <c r="I50" s="1"/>
    </row>
    <row r="51">
      <c r="B51" s="1"/>
      <c r="C51" s="2"/>
      <c r="D51" s="2"/>
      <c r="E51" s="2"/>
      <c r="F51" s="2"/>
      <c r="G51" s="2"/>
      <c r="H51" s="6"/>
      <c r="I51" s="1"/>
    </row>
    <row r="52">
      <c r="B52" s="1"/>
      <c r="C52" s="2"/>
      <c r="D52" s="2"/>
      <c r="E52" s="2"/>
      <c r="F52" s="2"/>
      <c r="G52" s="2"/>
      <c r="H52" s="6"/>
      <c r="I52" s="1"/>
    </row>
    <row r="53">
      <c r="B53" s="1"/>
      <c r="C53" s="2"/>
      <c r="D53" s="2"/>
      <c r="E53" s="2"/>
      <c r="F53" s="2"/>
      <c r="G53" s="2"/>
      <c r="H53" s="6"/>
      <c r="I53" s="1"/>
    </row>
    <row r="54">
      <c r="B54" s="1"/>
      <c r="C54" s="2"/>
      <c r="D54" s="2"/>
      <c r="E54" s="2"/>
      <c r="F54" s="2"/>
      <c r="G54" s="2"/>
      <c r="H54" s="6"/>
      <c r="I54" s="1"/>
    </row>
    <row r="55">
      <c r="B55" s="1"/>
      <c r="C55" s="2"/>
      <c r="D55" s="2"/>
      <c r="E55" s="2"/>
      <c r="F55" s="2"/>
      <c r="G55" s="2"/>
      <c r="H55" s="6"/>
      <c r="I55" s="1"/>
    </row>
    <row r="56">
      <c r="B56" s="1"/>
      <c r="C56" s="1"/>
      <c r="D56" s="1"/>
      <c r="E56" s="1"/>
      <c r="F56" s="1"/>
      <c r="G56" s="1"/>
      <c r="H56" s="1"/>
      <c r="I56" s="1"/>
    </row>
    <row r="57"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/>
      <c r="C100" s="1"/>
      <c r="D100" s="1"/>
      <c r="E100" s="1"/>
      <c r="F100" s="1"/>
      <c r="G100" s="1"/>
      <c r="H100" s="1"/>
      <c r="I100" s="1"/>
    </row>
    <row r="101">
      <c r="B101" s="1"/>
      <c r="C101" s="1"/>
      <c r="D101" s="1"/>
      <c r="E101" s="1"/>
      <c r="F101" s="1"/>
      <c r="G101" s="1"/>
      <c r="H101" s="1"/>
      <c r="I101" s="1"/>
    </row>
    <row r="102">
      <c r="B102" s="1"/>
      <c r="C102" s="1"/>
      <c r="D102" s="1"/>
      <c r="E102" s="1"/>
      <c r="F102" s="1"/>
      <c r="G102" s="1"/>
      <c r="H102" s="1"/>
      <c r="I102" s="1"/>
    </row>
    <row r="103">
      <c r="B103" s="1"/>
      <c r="C103" s="1"/>
      <c r="D103" s="1"/>
      <c r="E103" s="1"/>
      <c r="F103" s="1"/>
      <c r="G103" s="1"/>
      <c r="H103" s="1"/>
      <c r="I103" s="1"/>
    </row>
    <row r="104">
      <c r="B104" s="1"/>
      <c r="C104" s="1"/>
      <c r="D104" s="1"/>
      <c r="E104" s="1"/>
      <c r="F104" s="1"/>
      <c r="G104" s="1"/>
      <c r="H104" s="1"/>
      <c r="I104" s="1"/>
    </row>
    <row r="105">
      <c r="B105" s="1"/>
      <c r="C105" s="1"/>
      <c r="D105" s="1"/>
      <c r="E105" s="1"/>
      <c r="F105" s="1"/>
      <c r="G105" s="1"/>
      <c r="H105" s="1"/>
      <c r="I105" s="1"/>
    </row>
    <row r="106">
      <c r="B106" s="1"/>
      <c r="C106" s="1"/>
      <c r="D106" s="1"/>
      <c r="E106" s="1"/>
      <c r="F106" s="1"/>
      <c r="G106" s="1"/>
      <c r="H106" s="1"/>
      <c r="I106" s="1"/>
    </row>
    <row r="107">
      <c r="B107" s="1"/>
      <c r="C107" s="1"/>
      <c r="D107" s="1"/>
      <c r="E107" s="1"/>
      <c r="F107" s="1"/>
      <c r="G107" s="1"/>
      <c r="H107" s="1"/>
      <c r="I107" s="1"/>
    </row>
    <row r="108">
      <c r="B108" s="1"/>
      <c r="C108" s="1"/>
      <c r="D108" s="1"/>
      <c r="E108" s="1"/>
      <c r="F108" s="1"/>
      <c r="G108" s="1"/>
      <c r="H108" s="1"/>
      <c r="I108" s="1"/>
    </row>
    <row r="109">
      <c r="B109" s="1"/>
      <c r="C109" s="1"/>
      <c r="D109" s="1"/>
      <c r="E109" s="1"/>
      <c r="F109" s="1"/>
      <c r="G109" s="1"/>
      <c r="H109" s="1"/>
      <c r="I109" s="1"/>
    </row>
    <row r="110">
      <c r="B110" s="1"/>
      <c r="C110" s="1"/>
      <c r="D110" s="1"/>
      <c r="E110" s="1"/>
      <c r="F110" s="1"/>
      <c r="G110" s="1"/>
      <c r="H110" s="1"/>
      <c r="I110" s="1"/>
    </row>
    <row r="111">
      <c r="B111" s="1"/>
      <c r="C111" s="1"/>
      <c r="D111" s="1"/>
      <c r="E111" s="1"/>
      <c r="F111" s="1"/>
      <c r="G111" s="1"/>
      <c r="H111" s="1"/>
      <c r="I111" s="1"/>
    </row>
    <row r="112">
      <c r="B112" s="1"/>
      <c r="C112" s="1"/>
      <c r="D112" s="1"/>
      <c r="E112" s="1"/>
      <c r="F112" s="1"/>
      <c r="G112" s="1"/>
      <c r="H112" s="1"/>
      <c r="I112" s="1"/>
    </row>
    <row r="113">
      <c r="B113" s="1"/>
      <c r="C113" s="1"/>
      <c r="D113" s="1"/>
      <c r="E113" s="1"/>
      <c r="F113" s="1"/>
      <c r="G113" s="1"/>
      <c r="H113" s="1"/>
      <c r="I113" s="1"/>
    </row>
    <row r="114">
      <c r="B114" s="1"/>
      <c r="C114" s="1"/>
      <c r="D114" s="1"/>
      <c r="E114" s="1"/>
      <c r="F114" s="1"/>
      <c r="G114" s="1"/>
      <c r="H114" s="1"/>
      <c r="I114" s="1"/>
    </row>
    <row r="115">
      <c r="B115" s="1"/>
      <c r="C115" s="1"/>
      <c r="D115" s="1"/>
      <c r="E115" s="1"/>
      <c r="F115" s="1"/>
      <c r="G115" s="1"/>
      <c r="H115" s="1"/>
      <c r="I115" s="1"/>
    </row>
    <row r="116">
      <c r="B116" s="1"/>
      <c r="C116" s="1"/>
      <c r="D116" s="1"/>
      <c r="E116" s="1"/>
      <c r="F116" s="1"/>
      <c r="G116" s="1"/>
      <c r="H116" s="1"/>
      <c r="I116" s="1"/>
    </row>
    <row r="117">
      <c r="B117" s="1"/>
      <c r="C117" s="1"/>
      <c r="D117" s="1"/>
      <c r="E117" s="1"/>
      <c r="F117" s="1"/>
      <c r="G117" s="1"/>
      <c r="H117" s="1"/>
      <c r="I117" s="1"/>
    </row>
    <row r="118">
      <c r="B118" s="1"/>
      <c r="C118" s="1"/>
      <c r="D118" s="1"/>
      <c r="E118" s="1"/>
      <c r="F118" s="1"/>
      <c r="G118" s="1"/>
      <c r="H118" s="1"/>
      <c r="I118" s="1"/>
    </row>
    <row r="119">
      <c r="B119" s="1"/>
      <c r="C119" s="1"/>
      <c r="D119" s="1"/>
      <c r="E119" s="1"/>
      <c r="F119" s="1"/>
      <c r="G119" s="1"/>
      <c r="H119" s="1"/>
      <c r="I119" s="1"/>
    </row>
    <row r="120">
      <c r="B120" s="1"/>
      <c r="C120" s="1"/>
      <c r="D120" s="1"/>
      <c r="E120" s="1"/>
      <c r="F120" s="1"/>
      <c r="G120" s="1"/>
      <c r="H120" s="1"/>
      <c r="I120" s="1"/>
    </row>
    <row r="121">
      <c r="B121" s="1"/>
      <c r="C121" s="1"/>
      <c r="D121" s="1"/>
      <c r="E121" s="1"/>
      <c r="F121" s="1"/>
      <c r="G121" s="1"/>
      <c r="H121" s="1"/>
      <c r="I121" s="1"/>
    </row>
    <row r="122">
      <c r="B122" s="1"/>
      <c r="C122" s="1"/>
      <c r="D122" s="1"/>
      <c r="E122" s="1"/>
      <c r="F122" s="1"/>
      <c r="G122" s="1"/>
      <c r="H122" s="1"/>
      <c r="I122" s="1"/>
    </row>
    <row r="123">
      <c r="B123" s="1"/>
      <c r="C123" s="1"/>
      <c r="D123" s="1"/>
      <c r="E123" s="1"/>
      <c r="F123" s="1"/>
      <c r="G123" s="1"/>
      <c r="H123" s="1"/>
      <c r="I123" s="1"/>
    </row>
    <row r="124">
      <c r="B124" s="1"/>
      <c r="C124" s="1"/>
      <c r="D124" s="1"/>
      <c r="E124" s="1"/>
      <c r="F124" s="1"/>
      <c r="G124" s="1"/>
      <c r="H124" s="1"/>
      <c r="I124" s="1"/>
    </row>
    <row r="125">
      <c r="B125" s="1"/>
      <c r="C125" s="1"/>
      <c r="D125" s="1"/>
      <c r="E125" s="1"/>
      <c r="F125" s="1"/>
      <c r="G125" s="1"/>
      <c r="H125" s="1"/>
      <c r="I125" s="1"/>
    </row>
    <row r="126">
      <c r="B126" s="1"/>
      <c r="C126" s="1"/>
      <c r="D126" s="1"/>
      <c r="E126" s="1"/>
      <c r="F126" s="1"/>
      <c r="G126" s="1"/>
      <c r="H126" s="1"/>
      <c r="I126" s="1"/>
    </row>
    <row r="127">
      <c r="B127" s="1"/>
      <c r="C127" s="1"/>
      <c r="D127" s="1"/>
      <c r="E127" s="1"/>
      <c r="F127" s="1"/>
      <c r="G127" s="1"/>
      <c r="H127" s="1"/>
      <c r="I127" s="1"/>
    </row>
    <row r="128">
      <c r="B128" s="1"/>
      <c r="C128" s="1"/>
      <c r="D128" s="1"/>
      <c r="E128" s="1"/>
      <c r="F128" s="1"/>
      <c r="G128" s="1"/>
      <c r="H128" s="1"/>
      <c r="I128" s="1"/>
    </row>
    <row r="129">
      <c r="B129" s="1"/>
      <c r="C129" s="1"/>
      <c r="D129" s="1"/>
      <c r="E129" s="1"/>
      <c r="F129" s="1"/>
      <c r="G129" s="1"/>
      <c r="H129" s="1"/>
      <c r="I129" s="1"/>
    </row>
    <row r="130">
      <c r="B130" s="1"/>
      <c r="C130" s="1"/>
      <c r="D130" s="1"/>
      <c r="E130" s="1"/>
      <c r="F130" s="1"/>
      <c r="G130" s="1"/>
      <c r="H130" s="1"/>
      <c r="I130" s="1"/>
    </row>
    <row r="131">
      <c r="B131" s="1"/>
      <c r="C131" s="1"/>
      <c r="D131" s="1"/>
      <c r="E131" s="1"/>
      <c r="F131" s="1"/>
      <c r="G131" s="1"/>
      <c r="H131" s="1"/>
      <c r="I131" s="1"/>
    </row>
    <row r="132">
      <c r="B132" s="1"/>
      <c r="C132" s="1"/>
      <c r="D132" s="1"/>
      <c r="E132" s="1"/>
      <c r="F132" s="1"/>
      <c r="G132" s="1"/>
      <c r="H132" s="1"/>
      <c r="I132" s="1"/>
    </row>
    <row r="133">
      <c r="B133" s="1"/>
      <c r="C133" s="1"/>
      <c r="D133" s="1"/>
      <c r="E133" s="1"/>
      <c r="F133" s="1"/>
      <c r="G133" s="1"/>
      <c r="H133" s="1"/>
      <c r="I133" s="1"/>
    </row>
    <row r="134">
      <c r="B134" s="1"/>
      <c r="C134" s="1"/>
      <c r="D134" s="1"/>
      <c r="E134" s="1"/>
      <c r="F134" s="1"/>
      <c r="G134" s="1"/>
      <c r="H134" s="1"/>
      <c r="I134" s="1"/>
    </row>
    <row r="135">
      <c r="B135" s="1"/>
      <c r="C135" s="1"/>
      <c r="D135" s="1"/>
      <c r="E135" s="1"/>
      <c r="F135" s="1"/>
      <c r="G135" s="1"/>
      <c r="H135" s="1"/>
      <c r="I135" s="1"/>
    </row>
    <row r="136">
      <c r="B136" s="1"/>
      <c r="C136" s="1"/>
      <c r="D136" s="1"/>
      <c r="E136" s="1"/>
      <c r="F136" s="1"/>
      <c r="G136" s="1"/>
      <c r="H136" s="1"/>
      <c r="I136" s="1"/>
    </row>
    <row r="137">
      <c r="B137" s="1"/>
      <c r="C137" s="1"/>
      <c r="D137" s="1"/>
      <c r="E137" s="1"/>
      <c r="F137" s="1"/>
      <c r="G137" s="1"/>
      <c r="H137" s="1"/>
      <c r="I137" s="1"/>
    </row>
    <row r="138">
      <c r="B138" s="1"/>
      <c r="C138" s="1"/>
      <c r="D138" s="1"/>
      <c r="E138" s="1"/>
      <c r="F138" s="1"/>
      <c r="G138" s="1"/>
      <c r="H138" s="1"/>
      <c r="I138" s="1"/>
    </row>
    <row r="139">
      <c r="B139" s="1"/>
      <c r="C139" s="1"/>
      <c r="D139" s="1"/>
      <c r="E139" s="1"/>
      <c r="F139" s="1"/>
      <c r="G139" s="1"/>
      <c r="H139" s="1"/>
      <c r="I139" s="1"/>
    </row>
    <row r="140">
      <c r="B140" s="1"/>
      <c r="C140" s="1"/>
      <c r="D140" s="1"/>
      <c r="E140" s="1"/>
      <c r="F140" s="1"/>
      <c r="G140" s="1"/>
      <c r="H140" s="1"/>
      <c r="I140" s="1"/>
    </row>
    <row r="141">
      <c r="B141" s="1"/>
      <c r="C141" s="1"/>
      <c r="D141" s="1"/>
      <c r="E141" s="1"/>
      <c r="F141" s="1"/>
      <c r="G141" s="1"/>
      <c r="H141" s="1"/>
      <c r="I141" s="1"/>
    </row>
    <row r="142">
      <c r="B142" s="1"/>
      <c r="C142" s="1"/>
      <c r="D142" s="1"/>
      <c r="E142" s="1"/>
      <c r="F142" s="1"/>
      <c r="G142" s="1"/>
      <c r="H142" s="1"/>
      <c r="I142" s="1"/>
    </row>
    <row r="143">
      <c r="B143" s="1"/>
      <c r="C143" s="1"/>
      <c r="D143" s="1"/>
      <c r="E143" s="1"/>
      <c r="F143" s="1"/>
      <c r="G143" s="1"/>
      <c r="H143" s="1"/>
      <c r="I143" s="1"/>
    </row>
    <row r="144">
      <c r="B144" s="1"/>
      <c r="C144" s="1"/>
      <c r="D144" s="1"/>
      <c r="E144" s="1"/>
      <c r="F144" s="1"/>
      <c r="G144" s="1"/>
      <c r="H144" s="1"/>
      <c r="I144" s="1"/>
    </row>
    <row r="145">
      <c r="B145" s="1"/>
      <c r="C145" s="1"/>
      <c r="D145" s="1"/>
      <c r="E145" s="1"/>
      <c r="F145" s="1"/>
      <c r="G145" s="1"/>
      <c r="H145" s="1"/>
      <c r="I145" s="1"/>
    </row>
    <row r="146">
      <c r="B146" s="1"/>
      <c r="C146" s="1"/>
      <c r="D146" s="1"/>
      <c r="E146" s="1"/>
      <c r="F146" s="1"/>
      <c r="G146" s="1"/>
      <c r="H146" s="1"/>
      <c r="I146" s="1"/>
    </row>
    <row r="147">
      <c r="B147" s="1"/>
      <c r="C147" s="1"/>
      <c r="D147" s="1"/>
      <c r="E147" s="1"/>
      <c r="F147" s="1"/>
      <c r="G147" s="1"/>
      <c r="H147" s="1"/>
      <c r="I147" s="1"/>
    </row>
    <row r="148">
      <c r="B148" s="1"/>
      <c r="C148" s="1"/>
      <c r="D148" s="1"/>
      <c r="E148" s="1"/>
      <c r="F148" s="1"/>
      <c r="G148" s="1"/>
      <c r="H148" s="1"/>
      <c r="I148" s="1"/>
    </row>
    <row r="149">
      <c r="B149" s="1"/>
      <c r="C149" s="1"/>
      <c r="D149" s="1"/>
      <c r="E149" s="1"/>
      <c r="F149" s="1"/>
      <c r="G149" s="1"/>
      <c r="H149" s="1"/>
      <c r="I149" s="1"/>
    </row>
    <row r="150">
      <c r="B150" s="1"/>
      <c r="C150" s="1"/>
      <c r="D150" s="1"/>
      <c r="E150" s="1"/>
      <c r="F150" s="1"/>
      <c r="G150" s="1"/>
      <c r="H150" s="1"/>
      <c r="I150" s="1"/>
    </row>
    <row r="151">
      <c r="B151" s="1"/>
      <c r="C151" s="1"/>
      <c r="D151" s="1"/>
      <c r="E151" s="1"/>
      <c r="F151" s="1"/>
      <c r="G151" s="1"/>
      <c r="H151" s="1"/>
      <c r="I151" s="1"/>
    </row>
    <row r="152">
      <c r="B152" s="1"/>
      <c r="C152" s="1"/>
      <c r="D152" s="1"/>
      <c r="E152" s="1"/>
      <c r="F152" s="1"/>
      <c r="G152" s="1"/>
      <c r="H152" s="1"/>
      <c r="I152" s="1"/>
    </row>
    <row r="153">
      <c r="B153" s="1"/>
      <c r="C153" s="1"/>
      <c r="D153" s="1"/>
      <c r="E153" s="1"/>
      <c r="F153" s="1"/>
      <c r="G153" s="1"/>
      <c r="H153" s="1"/>
      <c r="I153" s="1"/>
    </row>
    <row r="154">
      <c r="B154" s="1"/>
      <c r="C154" s="1"/>
      <c r="D154" s="1"/>
      <c r="E154" s="1"/>
      <c r="F154" s="1"/>
      <c r="G154" s="1"/>
      <c r="H154" s="1"/>
      <c r="I154" s="1"/>
    </row>
    <row r="155">
      <c r="B155" s="1"/>
      <c r="C155" s="1"/>
      <c r="D155" s="1"/>
      <c r="E155" s="1"/>
      <c r="F155" s="1"/>
      <c r="G155" s="1"/>
      <c r="H155" s="1"/>
      <c r="I155" s="1"/>
    </row>
    <row r="156">
      <c r="B156" s="1"/>
      <c r="C156" s="1"/>
      <c r="D156" s="1"/>
      <c r="E156" s="1"/>
      <c r="F156" s="1"/>
      <c r="G156" s="1"/>
      <c r="H156" s="1"/>
      <c r="I156" s="1"/>
    </row>
    <row r="157">
      <c r="B157" s="1"/>
      <c r="C157" s="1"/>
      <c r="D157" s="1"/>
      <c r="E157" s="1"/>
      <c r="F157" s="1"/>
      <c r="G157" s="1"/>
      <c r="H157" s="1"/>
      <c r="I157" s="1"/>
    </row>
    <row r="158">
      <c r="B158" s="1"/>
      <c r="C158" s="1"/>
      <c r="D158" s="1"/>
      <c r="E158" s="1"/>
      <c r="F158" s="1"/>
      <c r="G158" s="1"/>
      <c r="H158" s="1"/>
      <c r="I158" s="1"/>
    </row>
    <row r="159">
      <c r="B159" s="1"/>
      <c r="C159" s="1"/>
      <c r="D159" s="1"/>
      <c r="E159" s="1"/>
      <c r="F159" s="1"/>
      <c r="G159" s="1"/>
      <c r="H159" s="1"/>
      <c r="I159" s="1"/>
    </row>
    <row r="160">
      <c r="B160" s="1"/>
      <c r="C160" s="1"/>
      <c r="D160" s="1"/>
      <c r="E160" s="1"/>
      <c r="F160" s="1"/>
      <c r="G160" s="1"/>
      <c r="H160" s="1"/>
      <c r="I160" s="1"/>
    </row>
    <row r="161">
      <c r="B161" s="1"/>
      <c r="C161" s="1"/>
      <c r="D161" s="1"/>
      <c r="E161" s="1"/>
      <c r="F161" s="1"/>
      <c r="G161" s="1"/>
      <c r="H161" s="1"/>
      <c r="I161" s="1"/>
    </row>
    <row r="162">
      <c r="B162" s="1"/>
      <c r="C162" s="1"/>
      <c r="D162" s="1"/>
      <c r="E162" s="1"/>
      <c r="F162" s="1"/>
      <c r="G162" s="1"/>
      <c r="H162" s="1"/>
      <c r="I162" s="1"/>
    </row>
    <row r="163">
      <c r="B163" s="1"/>
      <c r="C163" s="1"/>
      <c r="D163" s="1"/>
      <c r="E163" s="1"/>
      <c r="F163" s="1"/>
      <c r="G163" s="1"/>
      <c r="H163" s="1"/>
      <c r="I163" s="1"/>
    </row>
    <row r="164">
      <c r="B164" s="1"/>
      <c r="C164" s="1"/>
      <c r="D164" s="1"/>
      <c r="E164" s="1"/>
      <c r="F164" s="1"/>
      <c r="G164" s="1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/>
      <c r="C170" s="1"/>
      <c r="D170" s="1"/>
      <c r="E170" s="1"/>
      <c r="F170" s="1"/>
      <c r="G170" s="1"/>
      <c r="H170" s="1"/>
      <c r="I170" s="1"/>
    </row>
    <row r="171">
      <c r="B171" s="1"/>
      <c r="C171" s="1"/>
      <c r="D171" s="1"/>
      <c r="E171" s="1"/>
      <c r="F171" s="1"/>
      <c r="G171" s="1"/>
      <c r="H171" s="1"/>
      <c r="I171" s="1"/>
    </row>
    <row r="172">
      <c r="B172" s="1"/>
      <c r="C172" s="1"/>
      <c r="D172" s="1"/>
      <c r="E172" s="1"/>
      <c r="F172" s="1"/>
      <c r="G172" s="1"/>
      <c r="H172" s="1"/>
      <c r="I172" s="1"/>
    </row>
    <row r="173">
      <c r="B173" s="1"/>
      <c r="C173" s="1"/>
      <c r="D173" s="1"/>
      <c r="E173" s="1"/>
      <c r="F173" s="1"/>
      <c r="G173" s="1"/>
      <c r="H173" s="1"/>
      <c r="I173" s="1"/>
    </row>
    <row r="174">
      <c r="B174" s="1"/>
      <c r="C174" s="1"/>
      <c r="D174" s="1"/>
      <c r="E174" s="1"/>
      <c r="F174" s="1"/>
      <c r="G174" s="1"/>
      <c r="H174" s="1"/>
      <c r="I174" s="1"/>
    </row>
    <row r="175">
      <c r="B175" s="1"/>
      <c r="C175" s="1"/>
      <c r="D175" s="1"/>
      <c r="E175" s="1"/>
      <c r="F175" s="1"/>
      <c r="G175" s="1"/>
      <c r="H175" s="1"/>
      <c r="I175" s="1"/>
    </row>
    <row r="176">
      <c r="B176" s="1"/>
      <c r="C176" s="1"/>
      <c r="D176" s="1"/>
      <c r="E176" s="1"/>
      <c r="F176" s="1"/>
      <c r="G176" s="1"/>
      <c r="H176" s="1"/>
      <c r="I176" s="1"/>
    </row>
    <row r="177">
      <c r="B177" s="1"/>
      <c r="C177" s="1"/>
      <c r="D177" s="1"/>
      <c r="E177" s="1"/>
      <c r="F177" s="1"/>
      <c r="G177" s="1"/>
      <c r="H177" s="1"/>
      <c r="I177" s="1"/>
    </row>
    <row r="178">
      <c r="B178" s="1"/>
      <c r="C178" s="1"/>
      <c r="D178" s="1"/>
      <c r="E178" s="1"/>
      <c r="F178" s="1"/>
      <c r="G178" s="1"/>
      <c r="H178" s="1"/>
      <c r="I178" s="1"/>
    </row>
    <row r="179">
      <c r="B179" s="1"/>
      <c r="C179" s="1"/>
      <c r="D179" s="1"/>
      <c r="E179" s="1"/>
      <c r="F179" s="1"/>
      <c r="G179" s="1"/>
      <c r="H179" s="1"/>
      <c r="I179" s="1"/>
    </row>
    <row r="180">
      <c r="B180" s="1"/>
      <c r="C180" s="1"/>
      <c r="D180" s="1"/>
      <c r="E180" s="1"/>
      <c r="F180" s="1"/>
      <c r="G180" s="1"/>
      <c r="H180" s="1"/>
      <c r="I180" s="1"/>
    </row>
    <row r="181">
      <c r="B181" s="1"/>
      <c r="C181" s="1"/>
      <c r="D181" s="1"/>
      <c r="E181" s="1"/>
      <c r="F181" s="1"/>
      <c r="G181" s="1"/>
      <c r="H181" s="1"/>
      <c r="I181" s="1"/>
    </row>
    <row r="182">
      <c r="B182" s="1"/>
      <c r="C182" s="1"/>
      <c r="D182" s="1"/>
      <c r="E182" s="1"/>
      <c r="F182" s="1"/>
      <c r="G182" s="1"/>
      <c r="H182" s="1"/>
      <c r="I182" s="1"/>
    </row>
    <row r="183">
      <c r="B183" s="1"/>
      <c r="C183" s="1"/>
      <c r="D183" s="1"/>
      <c r="E183" s="1"/>
      <c r="F183" s="1"/>
      <c r="G183" s="1"/>
      <c r="H183" s="1"/>
      <c r="I183" s="1"/>
    </row>
    <row r="184">
      <c r="B184" s="1"/>
      <c r="C184" s="1"/>
      <c r="D184" s="1"/>
      <c r="E184" s="1"/>
      <c r="F184" s="1"/>
      <c r="G184" s="1"/>
      <c r="H184" s="1"/>
      <c r="I184" s="1"/>
    </row>
    <row r="185">
      <c r="B185" s="1"/>
      <c r="C185" s="1"/>
      <c r="D185" s="1"/>
      <c r="E185" s="1"/>
      <c r="F185" s="1"/>
      <c r="G185" s="1"/>
      <c r="H185" s="1"/>
      <c r="I185" s="1"/>
    </row>
    <row r="186">
      <c r="B186" s="1"/>
      <c r="C186" s="1"/>
      <c r="D186" s="1"/>
      <c r="E186" s="1"/>
      <c r="F186" s="1"/>
      <c r="G186" s="1"/>
      <c r="H186" s="1"/>
      <c r="I186" s="1"/>
    </row>
    <row r="187">
      <c r="B187" s="1"/>
      <c r="C187" s="1"/>
      <c r="D187" s="1"/>
      <c r="E187" s="1"/>
      <c r="F187" s="1"/>
      <c r="G187" s="1"/>
      <c r="H187" s="1"/>
      <c r="I187" s="1"/>
    </row>
    <row r="188">
      <c r="B188" s="1"/>
      <c r="C188" s="1"/>
      <c r="D188" s="1"/>
      <c r="E188" s="1"/>
      <c r="F188" s="1"/>
      <c r="G188" s="1"/>
      <c r="H188" s="1"/>
      <c r="I188" s="1"/>
    </row>
    <row r="189">
      <c r="B189" s="1"/>
      <c r="C189" s="1"/>
      <c r="D189" s="1"/>
      <c r="E189" s="1"/>
      <c r="F189" s="1"/>
      <c r="G189" s="1"/>
      <c r="H189" s="1"/>
      <c r="I189" s="1"/>
    </row>
    <row r="190">
      <c r="B190" s="1"/>
      <c r="C190" s="1"/>
      <c r="D190" s="1"/>
      <c r="E190" s="1"/>
      <c r="F190" s="1"/>
      <c r="G190" s="1"/>
      <c r="H190" s="1"/>
      <c r="I190" s="1"/>
    </row>
    <row r="191">
      <c r="B191" s="1"/>
      <c r="C191" s="1"/>
      <c r="D191" s="1"/>
      <c r="E191" s="1"/>
      <c r="F191" s="1"/>
      <c r="G191" s="1"/>
      <c r="H191" s="1"/>
      <c r="I191" s="1"/>
    </row>
    <row r="192">
      <c r="B192" s="1"/>
      <c r="C192" s="1"/>
      <c r="D192" s="1"/>
      <c r="E192" s="1"/>
      <c r="F192" s="1"/>
      <c r="G192" s="1"/>
      <c r="H192" s="1"/>
      <c r="I192" s="1"/>
    </row>
    <row r="193">
      <c r="B193" s="1"/>
      <c r="C193" s="1"/>
      <c r="D193" s="1"/>
      <c r="E193" s="1"/>
      <c r="F193" s="1"/>
      <c r="G193" s="1"/>
      <c r="H193" s="1"/>
      <c r="I193" s="1"/>
    </row>
    <row r="194">
      <c r="B194" s="1"/>
      <c r="C194" s="1"/>
      <c r="D194" s="1"/>
      <c r="E194" s="1"/>
      <c r="F194" s="1"/>
      <c r="G194" s="1"/>
      <c r="H194" s="1"/>
      <c r="I194" s="1"/>
    </row>
    <row r="195">
      <c r="B195" s="1"/>
      <c r="C195" s="1"/>
      <c r="D195" s="1"/>
      <c r="E195" s="1"/>
      <c r="F195" s="1"/>
      <c r="G195" s="1"/>
      <c r="H195" s="1"/>
      <c r="I195" s="1"/>
    </row>
    <row r="196">
      <c r="B196" s="1"/>
      <c r="C196" s="1"/>
      <c r="D196" s="1"/>
      <c r="E196" s="1"/>
      <c r="F196" s="1"/>
      <c r="G196" s="1"/>
      <c r="H196" s="1"/>
      <c r="I196" s="1"/>
    </row>
    <row r="197">
      <c r="B197" s="1"/>
      <c r="C197" s="1"/>
      <c r="D197" s="1"/>
      <c r="E197" s="1"/>
      <c r="F197" s="1"/>
      <c r="G197" s="1"/>
      <c r="H197" s="1"/>
      <c r="I197" s="1"/>
    </row>
    <row r="198">
      <c r="B198" s="1"/>
      <c r="C198" s="1"/>
      <c r="D198" s="1"/>
      <c r="E198" s="1"/>
      <c r="F198" s="1"/>
      <c r="G198" s="1"/>
      <c r="H198" s="1"/>
      <c r="I198" s="1"/>
    </row>
    <row r="199">
      <c r="B199" s="1"/>
      <c r="C199" s="1"/>
      <c r="D199" s="1"/>
      <c r="E199" s="1"/>
      <c r="F199" s="1"/>
      <c r="G199" s="1"/>
      <c r="H199" s="1"/>
      <c r="I199" s="1"/>
    </row>
    <row r="200">
      <c r="B200" s="1"/>
      <c r="C200" s="1"/>
      <c r="D200" s="1"/>
      <c r="E200" s="1"/>
      <c r="F200" s="1"/>
      <c r="G200" s="1"/>
      <c r="H200" s="1"/>
      <c r="I200" s="1"/>
    </row>
    <row r="201">
      <c r="B201" s="1"/>
      <c r="C201" s="1"/>
      <c r="D201" s="1"/>
      <c r="E201" s="1"/>
      <c r="F201" s="1"/>
      <c r="G201" s="1"/>
      <c r="H201" s="1"/>
      <c r="I201" s="1"/>
    </row>
    <row r="202">
      <c r="B202" s="1"/>
      <c r="C202" s="1"/>
      <c r="D202" s="1"/>
      <c r="E202" s="1"/>
      <c r="F202" s="1"/>
      <c r="G202" s="1"/>
      <c r="H202" s="1"/>
      <c r="I202" s="1"/>
    </row>
    <row r="203">
      <c r="B203" s="1"/>
      <c r="C203" s="1"/>
      <c r="D203" s="1"/>
      <c r="E203" s="1"/>
      <c r="F203" s="1"/>
      <c r="G203" s="1"/>
      <c r="H203" s="1"/>
      <c r="I203" s="1"/>
    </row>
    <row r="204">
      <c r="B204" s="1"/>
      <c r="C204" s="1"/>
      <c r="D204" s="1"/>
      <c r="E204" s="1"/>
      <c r="F204" s="1"/>
      <c r="G204" s="1"/>
      <c r="H204" s="1"/>
      <c r="I204" s="1"/>
    </row>
    <row r="205">
      <c r="B205" s="1"/>
      <c r="C205" s="1"/>
      <c r="D205" s="1"/>
      <c r="E205" s="1"/>
      <c r="F205" s="1"/>
      <c r="G205" s="1"/>
      <c r="H205" s="1"/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/>
      <c r="C210" s="1"/>
      <c r="D210" s="1"/>
      <c r="E210" s="1"/>
      <c r="F210" s="1"/>
      <c r="G210" s="1"/>
      <c r="H210" s="1"/>
      <c r="I210" s="1"/>
    </row>
    <row r="211">
      <c r="B211" s="1"/>
      <c r="C211" s="1"/>
      <c r="D211" s="1"/>
      <c r="E211" s="1"/>
      <c r="F211" s="1"/>
      <c r="G211" s="1"/>
      <c r="H211" s="1"/>
      <c r="I211" s="1"/>
    </row>
    <row r="212">
      <c r="B212" s="1"/>
      <c r="C212" s="1"/>
      <c r="D212" s="1"/>
      <c r="E212" s="1"/>
      <c r="F212" s="1"/>
      <c r="G212" s="1"/>
      <c r="H212" s="1"/>
      <c r="I212" s="1"/>
    </row>
    <row r="213">
      <c r="B213" s="1"/>
      <c r="C213" s="1"/>
      <c r="D213" s="1"/>
      <c r="E213" s="1"/>
      <c r="F213" s="1"/>
      <c r="G213" s="1"/>
      <c r="H213" s="1"/>
      <c r="I213" s="1"/>
    </row>
    <row r="214">
      <c r="B214" s="1"/>
      <c r="C214" s="1"/>
      <c r="D214" s="1"/>
      <c r="E214" s="1"/>
      <c r="F214" s="1"/>
      <c r="G214" s="1"/>
      <c r="H214" s="1"/>
      <c r="I214" s="1"/>
    </row>
    <row r="215">
      <c r="B215" s="1"/>
      <c r="C215" s="1"/>
      <c r="D215" s="1"/>
      <c r="E215" s="1"/>
      <c r="F215" s="1"/>
      <c r="G215" s="1"/>
      <c r="H215" s="1"/>
      <c r="I215" s="1"/>
    </row>
    <row r="216">
      <c r="B216" s="1"/>
      <c r="C216" s="1"/>
      <c r="D216" s="1"/>
      <c r="E216" s="1"/>
      <c r="F216" s="1"/>
      <c r="G216" s="1"/>
      <c r="H216" s="1"/>
      <c r="I216" s="1"/>
    </row>
    <row r="217">
      <c r="B217" s="1"/>
      <c r="C217" s="1"/>
      <c r="D217" s="1"/>
      <c r="E217" s="1"/>
      <c r="F217" s="1"/>
      <c r="G217" s="1"/>
      <c r="H217" s="1"/>
      <c r="I217" s="1"/>
    </row>
    <row r="218">
      <c r="B218" s="1"/>
      <c r="C218" s="1"/>
      <c r="D218" s="1"/>
      <c r="E218" s="1"/>
      <c r="F218" s="1"/>
      <c r="G218" s="1"/>
      <c r="H218" s="1"/>
      <c r="I218" s="1"/>
    </row>
    <row r="219">
      <c r="B219" s="1"/>
      <c r="C219" s="1"/>
      <c r="D219" s="1"/>
      <c r="E219" s="1"/>
      <c r="F219" s="1"/>
      <c r="G219" s="1"/>
      <c r="H219" s="1"/>
      <c r="I219" s="1"/>
    </row>
    <row r="220">
      <c r="B220" s="1"/>
      <c r="C220" s="1"/>
      <c r="D220" s="1"/>
      <c r="E220" s="1"/>
      <c r="F220" s="1"/>
      <c r="G220" s="1"/>
      <c r="H220" s="1"/>
      <c r="I220" s="1"/>
    </row>
    <row r="221">
      <c r="B221" s="1"/>
      <c r="C221" s="1"/>
      <c r="D221" s="1"/>
      <c r="E221" s="1"/>
      <c r="F221" s="1"/>
      <c r="G221" s="1"/>
      <c r="H221" s="1"/>
      <c r="I221" s="1"/>
    </row>
    <row r="222">
      <c r="B222" s="1"/>
      <c r="C222" s="1"/>
      <c r="D222" s="1"/>
      <c r="E222" s="1"/>
      <c r="F222" s="1"/>
      <c r="G222" s="1"/>
      <c r="H222" s="1"/>
      <c r="I222" s="1"/>
    </row>
    <row r="223">
      <c r="B223" s="1"/>
      <c r="C223" s="1"/>
      <c r="D223" s="1"/>
      <c r="E223" s="1"/>
      <c r="F223" s="1"/>
      <c r="G223" s="1"/>
      <c r="H223" s="1"/>
      <c r="I223" s="1"/>
    </row>
    <row r="224">
      <c r="B224" s="1"/>
      <c r="C224" s="1"/>
      <c r="D224" s="1"/>
      <c r="E224" s="1"/>
      <c r="F224" s="1"/>
      <c r="G224" s="1"/>
      <c r="H224" s="1"/>
      <c r="I224" s="1"/>
    </row>
    <row r="225">
      <c r="B225" s="1"/>
      <c r="C225" s="1"/>
      <c r="D225" s="1"/>
      <c r="E225" s="1"/>
      <c r="F225" s="1"/>
      <c r="G225" s="1"/>
      <c r="H225" s="1"/>
      <c r="I225" s="1"/>
    </row>
    <row r="226">
      <c r="B226" s="1"/>
      <c r="C226" s="1"/>
      <c r="D226" s="1"/>
      <c r="E226" s="1"/>
      <c r="F226" s="1"/>
      <c r="G226" s="1"/>
      <c r="H226" s="1"/>
      <c r="I226" s="1"/>
    </row>
    <row r="227">
      <c r="B227" s="1"/>
      <c r="C227" s="1"/>
      <c r="D227" s="1"/>
      <c r="E227" s="1"/>
      <c r="F227" s="1"/>
      <c r="G227" s="1"/>
      <c r="H227" s="1"/>
      <c r="I227" s="1"/>
    </row>
    <row r="228">
      <c r="B228" s="1"/>
      <c r="C228" s="1"/>
      <c r="D228" s="1"/>
      <c r="E228" s="1"/>
      <c r="F228" s="1"/>
      <c r="G228" s="1"/>
      <c r="H228" s="1"/>
      <c r="I228" s="1"/>
    </row>
    <row r="229">
      <c r="B229" s="1"/>
      <c r="C229" s="1"/>
      <c r="D229" s="1"/>
      <c r="E229" s="1"/>
      <c r="F229" s="1"/>
      <c r="G229" s="1"/>
      <c r="H229" s="1"/>
      <c r="I229" s="1"/>
    </row>
    <row r="230">
      <c r="B230" s="1"/>
      <c r="C230" s="1"/>
      <c r="D230" s="1"/>
      <c r="E230" s="1"/>
      <c r="F230" s="1"/>
      <c r="G230" s="1"/>
      <c r="H230" s="1"/>
      <c r="I230" s="1"/>
    </row>
    <row r="231">
      <c r="B231" s="1"/>
      <c r="C231" s="1"/>
      <c r="D231" s="1"/>
      <c r="E231" s="1"/>
      <c r="F231" s="1"/>
      <c r="G231" s="1"/>
      <c r="H231" s="1"/>
      <c r="I231" s="1"/>
    </row>
    <row r="232">
      <c r="B232" s="1"/>
      <c r="C232" s="1"/>
      <c r="D232" s="1"/>
      <c r="E232" s="1"/>
      <c r="F232" s="1"/>
      <c r="G232" s="1"/>
      <c r="H232" s="1"/>
      <c r="I232" s="1"/>
    </row>
    <row r="233">
      <c r="B233" s="1"/>
      <c r="C233" s="1"/>
      <c r="D233" s="1"/>
      <c r="E233" s="1"/>
      <c r="F233" s="1"/>
      <c r="G233" s="1"/>
      <c r="H233" s="1"/>
      <c r="I233" s="1"/>
    </row>
    <row r="234">
      <c r="B234" s="1"/>
      <c r="C234" s="1"/>
      <c r="D234" s="1"/>
      <c r="E234" s="1"/>
      <c r="F234" s="1"/>
      <c r="G234" s="1"/>
      <c r="H234" s="1"/>
      <c r="I234" s="1"/>
    </row>
    <row r="235">
      <c r="B235" s="1"/>
      <c r="C235" s="1"/>
      <c r="D235" s="1"/>
      <c r="E235" s="1"/>
      <c r="F235" s="1"/>
      <c r="G235" s="1"/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  <hyperlinks>
    <hyperlink ref="E11" r:id="rId1" display="Open source 1"/>
    <hyperlink ref="E12" r:id="rId2" display="Open source 2"/>
    <hyperlink ref="E13" r:id="rId3" display="Open source 3"/>
    <hyperlink ref="E14" r:id="rId4" display="Open source 4"/>
    <hyperlink ref="E15" r:id="rId5" display="Open source 5"/>
    <hyperlink ref="E16" r:id="rId6" display="Open source 6"/>
    <hyperlink ref="E17" r:id="rId7" display="Open source 7"/>
    <hyperlink ref="E18" r:id="rId8" display="Open source 8"/>
    <hyperlink ref="E19" r:id="rId9" display="Open source 9"/>
  </hyperlinks>
</worksheet>
</file>

<file path=xl/worksheets/sheet14.xml><?xml version="1.0" encoding="utf-8"?>
<worksheet xmlns="http://schemas.openxmlformats.org/spreadsheetml/2006/main" xmlns:r="http://schemas.openxmlformats.org/officeDocument/2006/relationships">
  <dimension ref="B1:I2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8" customWidth="1"/>
    <col min="3" max="8" width="13" customWidth="1"/>
    <col min="9" max="9" width="54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1"/>
    </row>
    <row r="2">
      <c r="B2" s="3" t="s">
        <v>378</v>
      </c>
      <c r="C2" s="3"/>
      <c r="D2" s="3"/>
      <c r="E2" s="3"/>
      <c r="F2" s="3"/>
      <c r="G2" s="3"/>
      <c r="H2" s="3"/>
      <c r="I2" s="1"/>
    </row>
    <row r="3">
      <c r="B3" s="1" t="s">
        <v>2</v>
      </c>
      <c r="C3" s="1"/>
      <c r="D3" s="1"/>
      <c r="E3" s="1"/>
      <c r="F3" s="1"/>
      <c r="G3" s="1"/>
      <c r="H3" s="1"/>
      <c r="I3" s="1"/>
    </row>
    <row r="4">
      <c r="B4" s="1"/>
      <c r="C4" s="1"/>
      <c r="D4" s="1"/>
      <c r="E4" s="1"/>
      <c r="F4" s="1"/>
      <c r="G4" s="1"/>
      <c r="H4" s="1"/>
      <c r="I4" s="1"/>
    </row>
    <row r="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8" t="s">
        <v>9</v>
      </c>
      <c r="I5" s="1"/>
    </row>
    <row r="6">
      <c r="B6" s="5" t="s">
        <v>10</v>
      </c>
      <c r="C6" s="13">
        <v>45900</v>
      </c>
      <c r="D6" s="13">
        <v>45991</v>
      </c>
      <c r="E6" s="13">
        <v>46081</v>
      </c>
      <c r="F6" s="13">
        <v>46173</v>
      </c>
      <c r="G6" s="13">
        <v>45991</v>
      </c>
      <c r="H6" s="12">
        <v>46265</v>
      </c>
      <c r="I6" s="1"/>
    </row>
    <row r="7">
      <c r="B7" s="5" t="s">
        <v>11</v>
      </c>
      <c r="C7" s="5">
        <v>92</v>
      </c>
      <c r="D7" s="5">
        <v>91</v>
      </c>
      <c r="E7" s="5">
        <v>90</v>
      </c>
      <c r="F7" s="5">
        <v>92</v>
      </c>
      <c r="G7" s="5">
        <v>365</v>
      </c>
      <c r="H7" s="8">
        <v>92</v>
      </c>
      <c r="I7" s="1"/>
    </row>
    <row r="8">
      <c r="B8" s="1"/>
      <c r="C8" s="1"/>
      <c r="D8" s="1"/>
      <c r="E8" s="1"/>
      <c r="F8" s="1"/>
      <c r="G8" s="1"/>
      <c r="H8" s="14"/>
      <c r="I8" s="1"/>
    </row>
    <row r="9">
      <c r="B9" s="1" t="s">
        <v>379</v>
      </c>
      <c r="C9" s="2"/>
      <c r="D9" s="2"/>
      <c r="E9" s="2"/>
      <c r="F9" s="2"/>
      <c r="G9" s="2"/>
      <c r="H9" s="6"/>
      <c r="I9" s="1"/>
    </row>
    <row r="10">
      <c r="B10" s="1" t="s">
        <v>380</v>
      </c>
      <c r="C10" s="2" t="s">
        <v>381</v>
      </c>
      <c r="D10" s="2" t="s">
        <v>382</v>
      </c>
      <c r="E10" s="2" t="s">
        <v>383</v>
      </c>
      <c r="F10" s="2" t="s">
        <v>384</v>
      </c>
      <c r="G10" s="2" t="s">
        <v>385</v>
      </c>
      <c r="H10" s="6" t="s">
        <v>386</v>
      </c>
      <c r="I10" s="1" t="s">
        <v>387</v>
      </c>
    </row>
    <row r="11">
      <c r="B11" s="25">
        <v>45716</v>
      </c>
      <c r="C11" s="19">
        <v>0.02</v>
      </c>
      <c r="D11" s="19">
        <v>0.13</v>
      </c>
      <c r="E11" s="19">
        <v>0.02</v>
      </c>
      <c r="F11" s="19">
        <v>-0.06</v>
      </c>
      <c r="G11" s="18">
        <v>5743.32</v>
      </c>
      <c r="H11" s="28">
        <v>5810</v>
      </c>
      <c r="I11" s="25">
        <v>45737</v>
      </c>
    </row>
    <row r="12">
      <c r="B12" s="25">
        <v>45808</v>
      </c>
      <c r="C12" s="19">
        <v>0.24</v>
      </c>
      <c r="D12" s="19">
        <v>0.35</v>
      </c>
      <c r="E12" s="19">
        <v>0.25</v>
      </c>
      <c r="F12" s="19">
        <v>0.42</v>
      </c>
      <c r="G12" s="18">
        <v>6212.15</v>
      </c>
      <c r="H12" s="28">
        <v>6328</v>
      </c>
      <c r="I12" s="25">
        <v>45832</v>
      </c>
    </row>
    <row r="13">
      <c r="B13" s="25">
        <v>45900</v>
      </c>
      <c r="C13" s="19">
        <v>1.32</v>
      </c>
      <c r="D13" s="19">
        <v>1.43</v>
      </c>
      <c r="E13" s="19">
        <v>1.31</v>
      </c>
      <c r="F13" s="19">
        <v>1.33</v>
      </c>
      <c r="G13" s="18">
        <v>8107.81</v>
      </c>
      <c r="H13" s="28">
        <v>8153</v>
      </c>
      <c r="I13" s="25">
        <v>45929</v>
      </c>
    </row>
    <row r="14">
      <c r="B14" s="25">
        <v>45991</v>
      </c>
      <c r="C14" s="19">
        <v>0.25</v>
      </c>
      <c r="D14" s="19">
        <v>0.34</v>
      </c>
      <c r="E14" s="19">
        <v>0.24</v>
      </c>
      <c r="F14" s="19">
        <v>0.31</v>
      </c>
      <c r="G14" s="18">
        <v>6373.17</v>
      </c>
      <c r="H14" s="28">
        <v>6330</v>
      </c>
      <c r="I14" s="25">
        <v>46010</v>
      </c>
    </row>
    <row r="15">
      <c r="B15" s="25">
        <v>46081</v>
      </c>
      <c r="C15" s="19">
        <v>0.18</v>
      </c>
      <c r="D15" s="19">
        <v>0.2</v>
      </c>
      <c r="E15" s="19">
        <v>0.19</v>
      </c>
      <c r="F15" s="19">
        <v>0.19</v>
      </c>
      <c r="G15" s="18">
        <v>6138.54</v>
      </c>
      <c r="H15" s="28">
        <v>6165</v>
      </c>
      <c r="I15" s="25">
        <v>46108</v>
      </c>
    </row>
    <row r="16">
      <c r="B16" s="25">
        <v>46173</v>
      </c>
      <c r="C16" s="19">
        <v>0.34</v>
      </c>
      <c r="D16" s="19">
        <v>0.41</v>
      </c>
      <c r="E16" s="19">
        <v>0.34</v>
      </c>
      <c r="F16" s="19">
        <v>0.39</v>
      </c>
      <c r="G16" s="18">
        <v>6693.69</v>
      </c>
      <c r="H16" s="28">
        <v>6663</v>
      </c>
      <c r="I16" s="25">
        <v>46196</v>
      </c>
    </row>
    <row r="17">
      <c r="B17" s="1"/>
      <c r="C17" s="2"/>
      <c r="D17" s="2"/>
      <c r="E17" s="2"/>
      <c r="F17" s="2"/>
      <c r="G17" s="2"/>
      <c r="H17" s="6"/>
      <c r="I17" s="1"/>
    </row>
    <row r="18">
      <c r="B18" s="1"/>
      <c r="C18" s="2"/>
      <c r="D18" s="2"/>
      <c r="E18" s="2"/>
      <c r="F18" s="2"/>
      <c r="G18" s="2"/>
      <c r="H18" s="6"/>
      <c r="I18" s="1"/>
    </row>
    <row r="19">
      <c r="B19" s="1" t="s">
        <v>388</v>
      </c>
      <c r="C19" s="2"/>
      <c r="D19" s="2"/>
      <c r="E19" s="2"/>
      <c r="F19" s="2"/>
      <c r="G19" s="2"/>
      <c r="H19" s="6"/>
      <c r="I19" s="1"/>
    </row>
    <row r="20">
      <c r="B20" s="1" t="s">
        <v>389</v>
      </c>
      <c r="C20" s="2" t="s">
        <v>390</v>
      </c>
      <c r="D20" s="2"/>
      <c r="E20" s="2"/>
      <c r="F20" s="2"/>
      <c r="G20" s="2"/>
      <c r="H20" s="6"/>
      <c r="I20" s="1"/>
    </row>
    <row r="21">
      <c r="B21" s="1" t="s">
        <v>391</v>
      </c>
      <c r="C21" s="2" t="s">
        <v>0</v>
      </c>
      <c r="D21" s="2"/>
      <c r="E21" s="2"/>
      <c r="F21" s="2"/>
      <c r="G21" s="2"/>
      <c r="H21" s="6"/>
      <c r="I21" s="1"/>
    </row>
    <row r="22">
      <c r="B22" s="1" t="s">
        <v>392</v>
      </c>
      <c r="C22" s="2" t="s">
        <v>393</v>
      </c>
      <c r="D22" s="2"/>
      <c r="E22" s="2"/>
      <c r="F22" s="2"/>
      <c r="G22" s="2"/>
      <c r="H22" s="6"/>
      <c r="I22" s="1"/>
    </row>
    <row r="23">
      <c r="B23" s="1" t="s">
        <v>394</v>
      </c>
      <c r="C23" s="18">
        <v>258823</v>
      </c>
      <c r="D23" s="2"/>
      <c r="E23" s="2"/>
      <c r="F23" s="2"/>
      <c r="G23" s="2"/>
      <c r="H23" s="6"/>
      <c r="I23" s="1"/>
    </row>
    <row r="24">
      <c r="B24" s="1" t="s">
        <v>395</v>
      </c>
      <c r="C24" s="18">
        <v>29</v>
      </c>
      <c r="D24" s="2"/>
      <c r="E24" s="2"/>
      <c r="F24" s="2"/>
      <c r="G24" s="2"/>
      <c r="H24" s="6"/>
      <c r="I24" s="1"/>
    </row>
    <row r="25">
      <c r="B25" s="1" t="s">
        <v>396</v>
      </c>
      <c r="C25" s="2" t="s">
        <v>397</v>
      </c>
      <c r="D25" s="2"/>
      <c r="E25" s="2"/>
      <c r="F25" s="2"/>
      <c r="G25" s="2"/>
      <c r="H25" s="6"/>
      <c r="I25" s="20"/>
    </row>
    <row r="26">
      <c r="B26" s="1" t="s">
        <v>398</v>
      </c>
      <c r="C26" s="2" t="s">
        <v>19</v>
      </c>
      <c r="D26" s="2"/>
      <c r="E26" s="2"/>
      <c r="F26" s="2"/>
      <c r="G26" s="2"/>
      <c r="H26" s="6"/>
      <c r="I26" s="20"/>
    </row>
    <row r="27">
      <c r="B27" s="1" t="s">
        <v>380</v>
      </c>
      <c r="C27" s="18">
        <v>46265</v>
      </c>
      <c r="D27" s="2"/>
      <c r="E27" s="2"/>
      <c r="F27" s="2"/>
      <c r="G27" s="2"/>
      <c r="H27" s="6"/>
      <c r="I27" s="20"/>
    </row>
    <row r="28">
      <c r="B28" s="1" t="s">
        <v>399</v>
      </c>
      <c r="C28" s="18">
        <v>46294</v>
      </c>
      <c r="D28" s="2"/>
      <c r="E28" s="2"/>
      <c r="F28" s="2"/>
      <c r="G28" s="2"/>
      <c r="H28" s="6"/>
      <c r="I28" s="20"/>
    </row>
    <row r="29">
      <c r="B29" s="1" t="s">
        <v>400</v>
      </c>
      <c r="C29" s="19">
        <v>1.35</v>
      </c>
      <c r="D29" s="2"/>
      <c r="E29" s="2"/>
      <c r="F29" s="2"/>
      <c r="G29" s="2"/>
      <c r="H29" s="6"/>
      <c r="I29" s="20"/>
    </row>
    <row r="30">
      <c r="B30" s="1" t="s">
        <v>401</v>
      </c>
      <c r="C30" s="19">
        <v>1.35</v>
      </c>
      <c r="D30" s="2"/>
      <c r="E30" s="2"/>
      <c r="F30" s="2"/>
      <c r="G30" s="2"/>
      <c r="H30" s="6"/>
      <c r="I30" s="20"/>
    </row>
    <row r="31">
      <c r="B31" s="1" t="s">
        <v>402</v>
      </c>
      <c r="C31" s="19">
        <v>1.38</v>
      </c>
      <c r="D31" s="2"/>
      <c r="E31" s="2"/>
      <c r="F31" s="2"/>
      <c r="G31" s="2"/>
      <c r="H31" s="6"/>
      <c r="I31" s="20"/>
    </row>
    <row r="32">
      <c r="B32" s="1" t="s">
        <v>403</v>
      </c>
      <c r="C32" s="19">
        <v>1.3</v>
      </c>
      <c r="D32" s="2"/>
      <c r="E32" s="2"/>
      <c r="F32" s="2"/>
      <c r="G32" s="2"/>
      <c r="H32" s="6"/>
      <c r="I32" s="20"/>
    </row>
    <row r="33">
      <c r="B33" s="1" t="s">
        <v>404</v>
      </c>
      <c r="C33" s="19">
        <v>0.02</v>
      </c>
      <c r="D33" s="2"/>
      <c r="E33" s="2"/>
      <c r="F33" s="2"/>
      <c r="G33" s="2"/>
      <c r="H33" s="6"/>
      <c r="I33" s="20"/>
    </row>
    <row r="34">
      <c r="B34" s="1" t="s">
        <v>405</v>
      </c>
      <c r="C34" s="18">
        <v>21</v>
      </c>
      <c r="D34" s="2"/>
      <c r="E34" s="2"/>
      <c r="F34" s="2"/>
      <c r="G34" s="2"/>
      <c r="H34" s="6"/>
      <c r="I34" s="20"/>
    </row>
    <row r="35">
      <c r="B35" s="1" t="s">
        <v>406</v>
      </c>
      <c r="C35" s="19">
        <v>1.35</v>
      </c>
      <c r="D35" s="2"/>
      <c r="E35" s="2"/>
      <c r="F35" s="2"/>
      <c r="G35" s="2"/>
      <c r="H35" s="6"/>
      <c r="I35" s="1"/>
    </row>
    <row r="36">
      <c r="B36" s="1" t="s">
        <v>407</v>
      </c>
      <c r="C36" s="2"/>
      <c r="D36" s="2"/>
      <c r="E36" s="2"/>
      <c r="F36" s="2"/>
      <c r="G36" s="2"/>
      <c r="H36" s="6"/>
      <c r="I36" s="1"/>
    </row>
    <row r="37">
      <c r="B37" s="1" t="s">
        <v>408</v>
      </c>
      <c r="C37" s="2"/>
      <c r="D37" s="2"/>
      <c r="E37" s="2"/>
      <c r="F37" s="2"/>
      <c r="G37" s="2"/>
      <c r="H37" s="6"/>
      <c r="I37" s="1"/>
    </row>
    <row r="38">
      <c r="B38" s="1" t="s">
        <v>409</v>
      </c>
      <c r="C38" s="19">
        <v>1.35</v>
      </c>
      <c r="D38" s="2"/>
      <c r="E38" s="2"/>
      <c r="F38" s="2"/>
      <c r="G38" s="2"/>
      <c r="H38" s="6"/>
      <c r="I38" s="1"/>
    </row>
    <row r="39">
      <c r="B39" s="1" t="s">
        <v>410</v>
      </c>
      <c r="C39" s="19">
        <v>1.35</v>
      </c>
      <c r="D39" s="2"/>
      <c r="E39" s="2"/>
      <c r="F39" s="2"/>
      <c r="G39" s="2"/>
      <c r="H39" s="6"/>
      <c r="I39" s="1"/>
    </row>
    <row r="40">
      <c r="B40" s="1" t="s">
        <v>411</v>
      </c>
      <c r="C40" s="19">
        <v>1.38</v>
      </c>
      <c r="D40" s="2"/>
      <c r="E40" s="2"/>
      <c r="F40" s="2"/>
      <c r="G40" s="2"/>
      <c r="H40" s="6"/>
      <c r="I40" s="1"/>
    </row>
    <row r="41">
      <c r="B41" s="1" t="s">
        <v>412</v>
      </c>
      <c r="C41" s="19">
        <v>1.3</v>
      </c>
      <c r="D41" s="2"/>
      <c r="E41" s="2"/>
      <c r="F41" s="2"/>
      <c r="G41" s="2"/>
      <c r="H41" s="6"/>
      <c r="I41" s="1"/>
    </row>
    <row r="42">
      <c r="B42" s="1" t="s">
        <v>413</v>
      </c>
      <c r="C42" s="19">
        <v>0.02</v>
      </c>
      <c r="D42" s="2"/>
      <c r="E42" s="2"/>
      <c r="F42" s="2"/>
      <c r="G42" s="2"/>
      <c r="H42" s="6"/>
      <c r="I42" s="1"/>
    </row>
    <row r="43">
      <c r="B43" s="1" t="s">
        <v>414</v>
      </c>
      <c r="C43" s="18">
        <v>13</v>
      </c>
      <c r="D43" s="2"/>
      <c r="E43" s="2"/>
      <c r="F43" s="2"/>
      <c r="G43" s="2"/>
      <c r="H43" s="6"/>
      <c r="I43" s="1"/>
    </row>
    <row r="44">
      <c r="B44" s="1" t="s">
        <v>415</v>
      </c>
      <c r="C44" s="2"/>
      <c r="D44" s="2"/>
      <c r="E44" s="2"/>
      <c r="F44" s="2"/>
      <c r="G44" s="2"/>
      <c r="H44" s="6"/>
      <c r="I44" s="1"/>
    </row>
    <row r="45">
      <c r="B45" s="1" t="s">
        <v>416</v>
      </c>
      <c r="C45" s="2"/>
      <c r="D45" s="2"/>
      <c r="E45" s="2"/>
      <c r="F45" s="2"/>
      <c r="G45" s="2"/>
      <c r="H45" s="6"/>
      <c r="I45" s="1"/>
    </row>
    <row r="46">
      <c r="B46" s="1" t="s">
        <v>417</v>
      </c>
      <c r="C46" s="18">
        <v>8390.79</v>
      </c>
      <c r="D46" s="2"/>
      <c r="E46" s="2"/>
      <c r="F46" s="2"/>
      <c r="G46" s="2"/>
      <c r="H46" s="6"/>
      <c r="I46" s="1"/>
    </row>
    <row r="47">
      <c r="B47" s="1" t="s">
        <v>418</v>
      </c>
      <c r="C47" s="18">
        <v>8384.4</v>
      </c>
      <c r="D47" s="2"/>
      <c r="E47" s="2"/>
      <c r="F47" s="2"/>
      <c r="G47" s="2"/>
      <c r="H47" s="6"/>
      <c r="I47" s="1"/>
    </row>
    <row r="48">
      <c r="B48" s="1" t="s">
        <v>419</v>
      </c>
      <c r="C48" s="18">
        <v>8570</v>
      </c>
      <c r="D48" s="2"/>
      <c r="E48" s="2"/>
      <c r="F48" s="2"/>
      <c r="G48" s="2"/>
      <c r="H48" s="6"/>
      <c r="I48" s="1"/>
    </row>
    <row r="49">
      <c r="B49" s="1" t="s">
        <v>420</v>
      </c>
      <c r="C49" s="18">
        <v>8262</v>
      </c>
      <c r="D49" s="2"/>
      <c r="E49" s="2"/>
      <c r="F49" s="2"/>
      <c r="G49" s="2"/>
      <c r="H49" s="6"/>
      <c r="I49" s="1"/>
    </row>
    <row r="50">
      <c r="B50" s="1" t="s">
        <v>421</v>
      </c>
      <c r="C50" s="18">
        <v>64.66</v>
      </c>
      <c r="D50" s="2"/>
      <c r="E50" s="2"/>
      <c r="F50" s="2"/>
      <c r="G50" s="2"/>
      <c r="H50" s="6"/>
      <c r="I50" s="1"/>
    </row>
    <row r="51">
      <c r="B51" s="1" t="s">
        <v>422</v>
      </c>
      <c r="C51" s="18">
        <v>21</v>
      </c>
      <c r="D51" s="2"/>
      <c r="E51" s="2"/>
      <c r="F51" s="2"/>
      <c r="G51" s="2"/>
      <c r="H51" s="6"/>
      <c r="I51" s="1"/>
    </row>
    <row r="52">
      <c r="B52" s="1" t="s">
        <v>423</v>
      </c>
      <c r="C52" s="2"/>
      <c r="D52" s="2"/>
      <c r="E52" s="2"/>
      <c r="F52" s="2"/>
      <c r="G52" s="2"/>
      <c r="H52" s="6"/>
      <c r="I52" s="1"/>
    </row>
    <row r="53">
      <c r="B53" s="1" t="s">
        <v>424</v>
      </c>
      <c r="C53" s="2"/>
      <c r="D53" s="2"/>
      <c r="E53" s="2"/>
      <c r="F53" s="2"/>
      <c r="G53" s="2"/>
      <c r="H53" s="6"/>
      <c r="I53" s="1"/>
    </row>
    <row r="54">
      <c r="B54" s="1" t="s">
        <v>425</v>
      </c>
      <c r="C54" s="18">
        <v>2932.08</v>
      </c>
      <c r="D54" s="2"/>
      <c r="E54" s="2"/>
      <c r="F54" s="2"/>
      <c r="G54" s="2"/>
      <c r="H54" s="6"/>
      <c r="I54" s="1"/>
    </row>
    <row r="55">
      <c r="B55" s="1" t="s">
        <v>426</v>
      </c>
      <c r="C55" s="2"/>
      <c r="D55" s="2"/>
      <c r="E55" s="2"/>
      <c r="F55" s="2"/>
      <c r="G55" s="2"/>
      <c r="H55" s="6"/>
      <c r="I55" s="1"/>
    </row>
    <row r="56">
      <c r="B56" s="1" t="s">
        <v>427</v>
      </c>
      <c r="C56" s="1"/>
      <c r="D56" s="1"/>
      <c r="E56" s="1"/>
      <c r="F56" s="1"/>
      <c r="G56" s="1"/>
      <c r="H56" s="1"/>
      <c r="I56" s="1"/>
    </row>
    <row r="57">
      <c r="B57" s="1" t="s">
        <v>428</v>
      </c>
      <c r="C57" s="1"/>
      <c r="D57" s="1"/>
      <c r="E57" s="1"/>
      <c r="F57" s="1"/>
      <c r="G57" s="1"/>
      <c r="H57" s="1"/>
      <c r="I57" s="1"/>
    </row>
    <row r="58">
      <c r="B58" s="1" t="s">
        <v>429</v>
      </c>
      <c r="C58" s="1"/>
      <c r="D58" s="1"/>
      <c r="E58" s="1"/>
      <c r="F58" s="1"/>
      <c r="G58" s="1"/>
      <c r="H58" s="1"/>
      <c r="I58" s="1"/>
    </row>
    <row r="59">
      <c r="B59" s="1" t="s">
        <v>430</v>
      </c>
      <c r="C59" s="1"/>
      <c r="D59" s="1"/>
      <c r="E59" s="1"/>
      <c r="F59" s="1"/>
      <c r="G59" s="1"/>
      <c r="H59" s="1"/>
      <c r="I59" s="1"/>
    </row>
    <row r="60">
      <c r="B60" s="1" t="s">
        <v>431</v>
      </c>
      <c r="C60" s="1"/>
      <c r="D60" s="1"/>
      <c r="E60" s="1"/>
      <c r="F60" s="1"/>
      <c r="G60" s="1"/>
      <c r="H60" s="1"/>
      <c r="I60" s="1"/>
    </row>
    <row r="61">
      <c r="B61" s="1" t="s">
        <v>432</v>
      </c>
      <c r="C61" s="1"/>
      <c r="D61" s="1"/>
      <c r="E61" s="1"/>
      <c r="F61" s="1"/>
      <c r="G61" s="1"/>
      <c r="H61" s="1"/>
      <c r="I61" s="1"/>
    </row>
    <row r="62">
      <c r="B62" s="1" t="s">
        <v>433</v>
      </c>
      <c r="C62" s="1"/>
      <c r="D62" s="1"/>
      <c r="E62" s="1"/>
      <c r="F62" s="1"/>
      <c r="G62" s="1"/>
      <c r="H62" s="1"/>
      <c r="I62" s="1"/>
    </row>
    <row r="63">
      <c r="B63" s="1" t="s">
        <v>434</v>
      </c>
      <c r="C63" s="1"/>
      <c r="D63" s="1"/>
      <c r="E63" s="1"/>
      <c r="F63" s="1"/>
      <c r="G63" s="1"/>
      <c r="H63" s="1"/>
      <c r="I63" s="1"/>
    </row>
    <row r="64">
      <c r="B64" s="1" t="s">
        <v>435</v>
      </c>
      <c r="C64" s="1" t="s">
        <v>436</v>
      </c>
      <c r="D64" s="1"/>
      <c r="E64" s="1"/>
      <c r="F64" s="1"/>
      <c r="G64" s="1"/>
      <c r="H64" s="1"/>
      <c r="I64" s="1"/>
    </row>
    <row r="65">
      <c r="B65" s="1" t="s">
        <v>437</v>
      </c>
      <c r="C65" s="29">
        <v>1.59</v>
      </c>
      <c r="D65" s="1"/>
      <c r="E65" s="1"/>
      <c r="F65" s="1"/>
      <c r="G65" s="1"/>
      <c r="H65" s="1"/>
      <c r="I65" s="1"/>
    </row>
    <row r="66">
      <c r="B66" s="1" t="s">
        <v>438</v>
      </c>
      <c r="C66" s="29">
        <v>21.79</v>
      </c>
      <c r="D66" s="1"/>
      <c r="E66" s="1"/>
      <c r="F66" s="1"/>
      <c r="G66" s="1"/>
      <c r="H66" s="1"/>
      <c r="I66" s="1"/>
    </row>
    <row r="67">
      <c r="B67" s="1" t="s">
        <v>439</v>
      </c>
      <c r="C67" s="1" t="s">
        <v>440</v>
      </c>
      <c r="D67" s="1"/>
      <c r="E67" s="1"/>
      <c r="F67" s="1"/>
      <c r="G67" s="1"/>
      <c r="H67" s="1"/>
      <c r="I67" s="1" t="s">
        <v>441</v>
      </c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 t="s">
        <v>442</v>
      </c>
      <c r="C71" s="1" t="s">
        <v>443</v>
      </c>
      <c r="D71" s="1"/>
      <c r="E71" s="1"/>
      <c r="F71" s="1"/>
      <c r="G71" s="1"/>
      <c r="H71" s="1"/>
      <c r="I71" s="1"/>
    </row>
    <row r="72">
      <c r="B72" s="1" t="s">
        <v>444</v>
      </c>
      <c r="C72" s="1" t="s">
        <v>445</v>
      </c>
      <c r="D72" s="1"/>
      <c r="E72" s="1"/>
      <c r="F72" s="1"/>
      <c r="G72" s="1"/>
      <c r="H72" s="1"/>
      <c r="I72" s="1"/>
    </row>
    <row r="73">
      <c r="B73" s="1" t="s">
        <v>446</v>
      </c>
      <c r="C73" s="37">
        <v>46289</v>
      </c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  <row r="99">
      <c r="B99" s="1"/>
      <c r="C99" s="1"/>
      <c r="D99" s="1"/>
      <c r="E99" s="1"/>
      <c r="F99" s="1"/>
      <c r="G99" s="1"/>
      <c r="H99" s="1"/>
      <c r="I99" s="1"/>
    </row>
    <row r="100">
      <c r="B100" s="1" t="s">
        <v>447</v>
      </c>
      <c r="C100" s="18">
        <v>5348</v>
      </c>
      <c r="D100" s="18">
        <v>4135</v>
      </c>
      <c r="E100" s="18">
        <v>4019</v>
      </c>
      <c r="F100" s="18">
        <v>4412</v>
      </c>
      <c r="G100" s="18">
        <v>17604</v>
      </c>
      <c r="H100" s="1"/>
      <c r="I100" s="1"/>
    </row>
    <row r="101">
      <c r="B101" s="1" t="s">
        <v>448</v>
      </c>
      <c r="C101" s="18">
        <v>2551</v>
      </c>
      <c r="D101" s="18">
        <v>2075</v>
      </c>
      <c r="E101" s="18">
        <v>2069</v>
      </c>
      <c r="F101" s="18">
        <v>2122</v>
      </c>
      <c r="G101" s="18">
        <v>8467</v>
      </c>
      <c r="H101" s="1"/>
      <c r="I101" s="1"/>
    </row>
    <row r="102">
      <c r="B102" s="1" t="s">
        <v>449</v>
      </c>
      <c r="C102" s="18">
        <v>74</v>
      </c>
      <c r="D102" s="18">
        <v>90</v>
      </c>
      <c r="E102" s="18">
        <v>77</v>
      </c>
      <c r="F102" s="18">
        <v>95</v>
      </c>
      <c r="G102" s="18">
        <v>309</v>
      </c>
      <c r="H102" s="1"/>
      <c r="I102" s="1"/>
    </row>
    <row r="103">
      <c r="B103" s="1" t="s">
        <v>450</v>
      </c>
      <c r="C103" s="18">
        <v>179</v>
      </c>
      <c r="D103" s="18">
        <v>29</v>
      </c>
      <c r="E103" s="18">
        <v>0</v>
      </c>
      <c r="F103" s="18">
        <v>34</v>
      </c>
      <c r="G103" s="18">
        <v>241</v>
      </c>
      <c r="H103" s="1"/>
      <c r="I103" s="1"/>
    </row>
    <row r="104">
      <c r="B104" s="1" t="s">
        <v>47</v>
      </c>
      <c r="C104" s="18">
        <v>5430</v>
      </c>
      <c r="D104" s="18">
        <v>4053</v>
      </c>
      <c r="E104" s="18">
        <v>4023</v>
      </c>
      <c r="F104" s="18">
        <v>4273</v>
      </c>
      <c r="G104" s="18">
        <v>17419</v>
      </c>
      <c r="H104" s="1"/>
      <c r="I104" s="1"/>
    </row>
    <row r="105">
      <c r="B105" s="1" t="s">
        <v>71</v>
      </c>
      <c r="C105" s="18">
        <v>2723</v>
      </c>
      <c r="D105" s="18">
        <v>2277</v>
      </c>
      <c r="E105" s="18">
        <v>2142</v>
      </c>
      <c r="F105" s="18">
        <v>2390</v>
      </c>
      <c r="G105" s="18">
        <v>9202</v>
      </c>
      <c r="H105" s="1"/>
      <c r="I105" s="1"/>
    </row>
    <row r="106">
      <c r="B106" s="1" t="s">
        <v>451</v>
      </c>
      <c r="C106" s="2">
        <f>H13</f>
        <v>8153</v>
      </c>
      <c r="D106" s="2">
        <f>H14</f>
        <v>6330</v>
      </c>
      <c r="E106" s="2">
        <f>H15</f>
        <v>6165</v>
      </c>
      <c r="F106" s="2">
        <f>H16</f>
        <v>6663</v>
      </c>
      <c r="G106" s="18">
        <v>26622</v>
      </c>
      <c r="H106" s="1"/>
      <c r="I106" s="1"/>
    </row>
    <row r="107">
      <c r="B107" s="1" t="s">
        <v>158</v>
      </c>
      <c r="C107" s="18">
        <v>973</v>
      </c>
      <c r="D107" s="18">
        <v>728</v>
      </c>
      <c r="E107" s="18">
        <v>872</v>
      </c>
      <c r="F107" s="18">
        <v>778</v>
      </c>
      <c r="G107" s="18">
        <v>3331</v>
      </c>
      <c r="H107" s="1"/>
      <c r="I107" s="1"/>
    </row>
    <row r="108">
      <c r="B108" s="1" t="s">
        <v>159</v>
      </c>
      <c r="C108" s="18">
        <v>883</v>
      </c>
      <c r="D108" s="18">
        <v>663</v>
      </c>
      <c r="E108" s="18">
        <v>618</v>
      </c>
      <c r="F108" s="18">
        <v>697</v>
      </c>
      <c r="G108" s="18">
        <v>2816</v>
      </c>
      <c r="H108" s="1"/>
      <c r="I108" s="1"/>
    </row>
    <row r="109">
      <c r="B109" s="1" t="s">
        <v>160</v>
      </c>
      <c r="C109" s="18">
        <v>636</v>
      </c>
      <c r="D109" s="18">
        <v>673</v>
      </c>
      <c r="E109" s="18">
        <v>684</v>
      </c>
      <c r="F109" s="18">
        <v>699</v>
      </c>
      <c r="G109" s="18">
        <v>2589</v>
      </c>
      <c r="H109" s="1"/>
      <c r="I109" s="1"/>
    </row>
    <row r="110">
      <c r="B110" s="1" t="s">
        <v>452</v>
      </c>
      <c r="C110" s="18">
        <v>451</v>
      </c>
      <c r="D110" s="18">
        <v>425</v>
      </c>
      <c r="E110" s="18">
        <v>397</v>
      </c>
      <c r="F110" s="18">
        <v>595</v>
      </c>
      <c r="G110" s="18">
        <v>1808</v>
      </c>
      <c r="H110" s="1"/>
      <c r="I110" s="1"/>
    </row>
    <row r="111">
      <c r="B111" s="1" t="s">
        <v>453</v>
      </c>
      <c r="C111" s="18">
        <v>398</v>
      </c>
      <c r="D111" s="18">
        <v>375</v>
      </c>
      <c r="E111" s="18">
        <v>382</v>
      </c>
      <c r="F111" s="18">
        <v>389</v>
      </c>
      <c r="G111" s="18">
        <v>1499</v>
      </c>
      <c r="H111" s="1"/>
      <c r="I111" s="1"/>
    </row>
    <row r="112">
      <c r="B112" s="1" t="s">
        <v>454</v>
      </c>
      <c r="C112" s="18">
        <v>1044</v>
      </c>
      <c r="D112" s="18">
        <v>1046</v>
      </c>
      <c r="E112" s="18">
        <v>986</v>
      </c>
      <c r="F112" s="18">
        <v>1067</v>
      </c>
      <c r="G112" s="18">
        <v>3904</v>
      </c>
      <c r="H112" s="1"/>
      <c r="I112" s="1"/>
    </row>
    <row r="113">
      <c r="B113" s="1" t="s">
        <v>455</v>
      </c>
      <c r="C113" s="18">
        <v>779</v>
      </c>
      <c r="D113" s="18">
        <v>959</v>
      </c>
      <c r="E113" s="18">
        <v>924</v>
      </c>
      <c r="F113" s="18">
        <v>863</v>
      </c>
      <c r="G113" s="18">
        <v>3402</v>
      </c>
      <c r="H113" s="1"/>
      <c r="I113" s="1"/>
    </row>
    <row r="114">
      <c r="B114" s="1" t="s">
        <v>165</v>
      </c>
      <c r="C114" s="18">
        <v>717</v>
      </c>
      <c r="D114" s="18">
        <v>727</v>
      </c>
      <c r="E114" s="18">
        <v>696</v>
      </c>
      <c r="F114" s="18">
        <v>723</v>
      </c>
      <c r="G114" s="18">
        <v>2790</v>
      </c>
      <c r="H114" s="1"/>
      <c r="I114" s="1"/>
    </row>
    <row r="115">
      <c r="B115" s="1" t="s">
        <v>167</v>
      </c>
      <c r="C115" s="18">
        <v>15</v>
      </c>
      <c r="D115" s="18">
        <v>17</v>
      </c>
      <c r="E115" s="18">
        <v>12</v>
      </c>
      <c r="F115" s="18">
        <v>12</v>
      </c>
      <c r="G115" s="18">
        <v>51</v>
      </c>
      <c r="H115" s="1"/>
      <c r="I115" s="1"/>
    </row>
    <row r="116">
      <c r="B116" s="1" t="s">
        <v>168</v>
      </c>
      <c r="C116" s="18">
        <v>-317</v>
      </c>
      <c r="D116" s="18">
        <v>-315</v>
      </c>
      <c r="E116" s="18">
        <v>-291</v>
      </c>
      <c r="F116" s="18">
        <v>-285</v>
      </c>
      <c r="G116" s="18">
        <v>-1349</v>
      </c>
      <c r="H116" s="1"/>
      <c r="I116" s="1"/>
    </row>
    <row r="117">
      <c r="B117" s="1" t="s">
        <v>169</v>
      </c>
      <c r="C117" s="18">
        <v>-111</v>
      </c>
      <c r="D117" s="18">
        <v>-43</v>
      </c>
      <c r="E117" s="18">
        <v>0</v>
      </c>
      <c r="F117" s="18">
        <v>0</v>
      </c>
      <c r="G117" s="18">
        <v>-409</v>
      </c>
      <c r="H117" s="1"/>
      <c r="I117" s="1"/>
    </row>
    <row r="118">
      <c r="B118" s="1" t="s">
        <v>456</v>
      </c>
      <c r="C118" s="18">
        <v>-2</v>
      </c>
      <c r="D118" s="18">
        <v>10</v>
      </c>
      <c r="E118" s="18">
        <v>-47</v>
      </c>
      <c r="F118" s="18">
        <v>-23</v>
      </c>
      <c r="G118" s="18">
        <v>-4</v>
      </c>
      <c r="H118" s="1"/>
      <c r="I118" s="1"/>
    </row>
    <row r="119">
      <c r="B119" s="1" t="s">
        <v>457</v>
      </c>
      <c r="C119" s="18">
        <v>-6</v>
      </c>
      <c r="D119" s="18">
        <v>18</v>
      </c>
      <c r="E119" s="18">
        <v>-17</v>
      </c>
      <c r="F119" s="18">
        <v>-17</v>
      </c>
      <c r="G119" s="18">
        <v>-12</v>
      </c>
      <c r="H119" s="1"/>
      <c r="I119" s="1"/>
    </row>
    <row r="120">
      <c r="B120" s="1" t="s">
        <v>458</v>
      </c>
      <c r="C120" s="18">
        <v>0</v>
      </c>
      <c r="D120" s="18">
        <v>0</v>
      </c>
      <c r="E120" s="18">
        <v>4</v>
      </c>
      <c r="F120" s="18">
        <v>2</v>
      </c>
      <c r="G120" s="18">
        <v>0</v>
      </c>
      <c r="H120" s="1"/>
      <c r="I120" s="1"/>
    </row>
    <row r="121">
      <c r="B121" s="1" t="s">
        <v>459</v>
      </c>
      <c r="C121" s="18">
        <v>18</v>
      </c>
      <c r="D121" s="18">
        <v>18</v>
      </c>
      <c r="E121" s="18">
        <v>0</v>
      </c>
      <c r="F121" s="18">
        <v>0</v>
      </c>
      <c r="G121" s="18">
        <v>71</v>
      </c>
      <c r="H121" s="1"/>
      <c r="I121" s="1"/>
    </row>
    <row r="122">
      <c r="B122" s="1" t="s">
        <v>460</v>
      </c>
      <c r="C122" s="18">
        <v>1313</v>
      </c>
      <c r="D122" s="18">
        <v>1313</v>
      </c>
      <c r="E122" s="18">
        <v>1379</v>
      </c>
      <c r="F122" s="18">
        <v>1382</v>
      </c>
      <c r="G122" s="18">
        <v>1312</v>
      </c>
      <c r="H122" s="1"/>
      <c r="I122" s="1"/>
    </row>
    <row r="123">
      <c r="B123" s="1" t="s">
        <v>461</v>
      </c>
      <c r="C123" s="18">
        <v>1402</v>
      </c>
      <c r="D123" s="18">
        <v>1403</v>
      </c>
      <c r="E123" s="18">
        <v>1392</v>
      </c>
      <c r="F123" s="18">
        <v>1388</v>
      </c>
      <c r="G123" s="18">
        <v>1402</v>
      </c>
      <c r="H123" s="1"/>
      <c r="I123" s="1"/>
    </row>
    <row r="124">
      <c r="B124" s="1" t="s">
        <v>175</v>
      </c>
      <c r="C124" s="18">
        <v>1852</v>
      </c>
      <c r="D124" s="18">
        <v>422</v>
      </c>
      <c r="E124" s="18">
        <v>258</v>
      </c>
      <c r="F124" s="18">
        <v>537</v>
      </c>
      <c r="G124" s="18">
        <v>2760</v>
      </c>
      <c r="H124" s="1"/>
      <c r="I124" s="1"/>
    </row>
    <row r="125">
      <c r="B125" s="1" t="s">
        <v>462</v>
      </c>
      <c r="C125" s="18">
        <v>1982</v>
      </c>
      <c r="D125" s="18">
        <v>454</v>
      </c>
      <c r="E125" s="18">
        <v>275</v>
      </c>
      <c r="F125" s="18">
        <v>569</v>
      </c>
      <c r="G125" s="18">
        <v>3079</v>
      </c>
      <c r="H125" s="1"/>
      <c r="I125" s="1"/>
    </row>
    <row r="126">
      <c r="B126" s="1" t="s">
        <v>463</v>
      </c>
      <c r="C126" s="18">
        <v>27.5</v>
      </c>
      <c r="D126" s="18">
        <v>24.6</v>
      </c>
      <c r="E126" s="18">
        <v>24.4</v>
      </c>
      <c r="F126" s="18">
        <v>25.7</v>
      </c>
      <c r="G126" s="18">
        <v>101.7</v>
      </c>
      <c r="H126" s="1"/>
      <c r="I126" s="1"/>
    </row>
    <row r="127">
      <c r="B127" s="1" t="s">
        <v>464</v>
      </c>
      <c r="C127" s="18">
        <v>24.6</v>
      </c>
      <c r="D127" s="18">
        <v>24.1</v>
      </c>
      <c r="E127" s="18">
        <v>23.7</v>
      </c>
      <c r="F127" s="18">
        <v>24.7</v>
      </c>
      <c r="G127" s="18">
        <v>96.5</v>
      </c>
      <c r="H127" s="1"/>
      <c r="I127" s="1"/>
    </row>
    <row r="128">
      <c r="B128" s="1" t="s">
        <v>465</v>
      </c>
      <c r="C128" s="18">
        <v>3.8</v>
      </c>
      <c r="D128" s="18">
        <v>3.3</v>
      </c>
      <c r="E128" s="18">
        <v>3.1</v>
      </c>
      <c r="F128" s="18">
        <v>3.4</v>
      </c>
      <c r="G128" s="18">
        <v>13.6</v>
      </c>
      <c r="H128" s="1"/>
      <c r="I128" s="1"/>
    </row>
    <row r="129">
      <c r="B129" s="1" t="s">
        <v>52</v>
      </c>
      <c r="C129" s="33">
        <v>1.12</v>
      </c>
      <c r="D129" s="33">
        <v>1.02</v>
      </c>
      <c r="E129" s="33">
        <v>1.03</v>
      </c>
      <c r="F129" s="33">
        <v>1.04</v>
      </c>
      <c r="G129" s="33">
        <v>1.05</v>
      </c>
      <c r="H129" s="1"/>
      <c r="I129" s="1"/>
    </row>
    <row r="130">
      <c r="B130" s="1"/>
      <c r="C130" s="2"/>
      <c r="D130" s="2"/>
      <c r="E130" s="2"/>
      <c r="F130" s="2"/>
      <c r="G130" s="2"/>
      <c r="H130" s="1"/>
      <c r="I130" s="1"/>
    </row>
    <row r="131">
      <c r="B131" s="1"/>
      <c r="C131" s="2"/>
      <c r="D131" s="2"/>
      <c r="E131" s="2"/>
      <c r="F131" s="2"/>
      <c r="G131" s="2"/>
      <c r="H131" s="1"/>
      <c r="I131" s="1"/>
    </row>
    <row r="132">
      <c r="B132" s="1"/>
      <c r="C132" s="2"/>
      <c r="D132" s="2"/>
      <c r="E132" s="2"/>
      <c r="F132" s="2"/>
      <c r="G132" s="2"/>
      <c r="H132" s="1"/>
      <c r="I132" s="1"/>
    </row>
    <row r="133">
      <c r="B133" s="1"/>
      <c r="C133" s="2"/>
      <c r="D133" s="2"/>
      <c r="E133" s="2"/>
      <c r="F133" s="2"/>
      <c r="G133" s="2"/>
      <c r="H133" s="1"/>
      <c r="I133" s="1"/>
    </row>
    <row r="134">
      <c r="B134" s="1"/>
      <c r="C134" s="2"/>
      <c r="D134" s="2"/>
      <c r="E134" s="2"/>
      <c r="F134" s="2"/>
      <c r="G134" s="2"/>
      <c r="H134" s="1"/>
      <c r="I134" s="1"/>
    </row>
    <row r="135">
      <c r="B135" s="1"/>
      <c r="C135" s="2"/>
      <c r="D135" s="2"/>
      <c r="E135" s="2"/>
      <c r="F135" s="2"/>
      <c r="G135" s="2"/>
      <c r="H135" s="1"/>
      <c r="I135" s="1"/>
    </row>
    <row r="136">
      <c r="B136" s="1"/>
      <c r="C136" s="2"/>
      <c r="D136" s="2"/>
      <c r="E136" s="2"/>
      <c r="F136" s="2"/>
      <c r="G136" s="2"/>
      <c r="H136" s="1"/>
      <c r="I136" s="1"/>
    </row>
    <row r="137">
      <c r="B137" s="1"/>
      <c r="C137" s="2"/>
      <c r="D137" s="2"/>
      <c r="E137" s="2"/>
      <c r="F137" s="2"/>
      <c r="G137" s="2"/>
      <c r="H137" s="1"/>
      <c r="I137" s="1"/>
    </row>
    <row r="138">
      <c r="B138" s="1"/>
      <c r="C138" s="2"/>
      <c r="D138" s="2"/>
      <c r="E138" s="2"/>
      <c r="F138" s="2"/>
      <c r="G138" s="2"/>
      <c r="H138" s="1"/>
      <c r="I138" s="1"/>
    </row>
    <row r="139">
      <c r="B139" s="1"/>
      <c r="C139" s="2"/>
      <c r="D139" s="2"/>
      <c r="E139" s="2"/>
      <c r="F139" s="2"/>
      <c r="G139" s="2"/>
      <c r="H139" s="1"/>
      <c r="I139" s="1"/>
    </row>
    <row r="140">
      <c r="B140" s="1" t="s">
        <v>466</v>
      </c>
      <c r="C140" s="18">
        <v>1763</v>
      </c>
      <c r="D140" s="18">
        <v>1928</v>
      </c>
      <c r="E140" s="18">
        <v>1424</v>
      </c>
      <c r="F140" s="18">
        <v>2243</v>
      </c>
      <c r="G140" s="2">
        <f>D140</f>
        <v>1928</v>
      </c>
      <c r="H140" s="1"/>
      <c r="I140" s="1"/>
    </row>
    <row r="141">
      <c r="B141" s="1" t="s">
        <v>467</v>
      </c>
      <c r="C141" s="18">
        <v>651</v>
      </c>
      <c r="D141" s="18">
        <v>678</v>
      </c>
      <c r="E141" s="18">
        <v>663</v>
      </c>
      <c r="F141" s="18">
        <v>633</v>
      </c>
      <c r="G141" s="2">
        <f>D141</f>
        <v>678</v>
      </c>
      <c r="H141" s="1"/>
      <c r="I141" s="1"/>
    </row>
    <row r="142">
      <c r="B142" s="1" t="s">
        <v>468</v>
      </c>
      <c r="C142" s="18">
        <v>475</v>
      </c>
      <c r="D142" s="18">
        <v>505</v>
      </c>
      <c r="E142" s="18">
        <v>510</v>
      </c>
      <c r="F142" s="18">
        <v>552</v>
      </c>
      <c r="G142" s="2">
        <f>D142</f>
        <v>505</v>
      </c>
      <c r="H142" s="1"/>
      <c r="I142" s="1"/>
    </row>
    <row r="143">
      <c r="B143" s="1" t="s">
        <v>469</v>
      </c>
      <c r="C143" s="18">
        <v>979</v>
      </c>
      <c r="D143" s="18">
        <v>1108</v>
      </c>
      <c r="E143" s="18">
        <v>1120</v>
      </c>
      <c r="F143" s="18">
        <v>1063</v>
      </c>
      <c r="G143" s="2">
        <f>D143</f>
        <v>1108</v>
      </c>
      <c r="H143" s="1"/>
      <c r="I143" s="1"/>
    </row>
    <row r="144">
      <c r="B144" s="1" t="s">
        <v>470</v>
      </c>
      <c r="C144" s="18">
        <v>42889</v>
      </c>
      <c r="D144" s="18">
        <v>43494</v>
      </c>
      <c r="E144" s="18">
        <v>43700</v>
      </c>
      <c r="F144" s="18">
        <v>43616</v>
      </c>
      <c r="G144" s="2">
        <f>D144</f>
        <v>43494</v>
      </c>
      <c r="H144" s="1"/>
      <c r="I144" s="1"/>
    </row>
    <row r="145">
      <c r="B145" s="1" t="s">
        <v>471</v>
      </c>
      <c r="C145" s="18">
        <v>1352</v>
      </c>
      <c r="D145" s="18">
        <v>1328</v>
      </c>
      <c r="E145" s="18">
        <v>1295</v>
      </c>
      <c r="F145" s="18">
        <v>1260</v>
      </c>
      <c r="G145" s="2">
        <f>D145</f>
        <v>1328</v>
      </c>
      <c r="H145" s="1"/>
      <c r="I145" s="1"/>
    </row>
    <row r="146">
      <c r="B146" s="1" t="s">
        <v>472</v>
      </c>
      <c r="C146" s="18">
        <v>579</v>
      </c>
      <c r="D146" s="18">
        <v>579</v>
      </c>
      <c r="E146" s="18">
        <v>579</v>
      </c>
      <c r="F146" s="18">
        <v>579</v>
      </c>
      <c r="G146" s="2">
        <f>D146</f>
        <v>579</v>
      </c>
      <c r="H146" s="1"/>
      <c r="I146" s="1"/>
    </row>
    <row r="147">
      <c r="B147" s="1" t="s">
        <v>473</v>
      </c>
      <c r="C147" s="18">
        <v>1181</v>
      </c>
      <c r="D147" s="18">
        <v>1177</v>
      </c>
      <c r="E147" s="18">
        <v>1181</v>
      </c>
      <c r="F147" s="18">
        <v>1181</v>
      </c>
      <c r="G147" s="2">
        <f>D147</f>
        <v>1177</v>
      </c>
      <c r="H147" s="1"/>
      <c r="I147" s="1"/>
    </row>
    <row r="148">
      <c r="B148" s="1" t="s">
        <v>474</v>
      </c>
      <c r="C148" s="18">
        <v>962</v>
      </c>
      <c r="D148" s="18">
        <v>890</v>
      </c>
      <c r="E148" s="18">
        <v>1095</v>
      </c>
      <c r="F148" s="18">
        <v>1100</v>
      </c>
      <c r="G148" s="2">
        <f>D148</f>
        <v>890</v>
      </c>
      <c r="H148" s="1"/>
      <c r="I148" s="1"/>
    </row>
    <row r="149">
      <c r="B149" s="1" t="s">
        <v>475</v>
      </c>
      <c r="C149" s="18">
        <v>1417</v>
      </c>
      <c r="D149" s="18">
        <v>2603</v>
      </c>
      <c r="E149" s="18">
        <v>1502</v>
      </c>
      <c r="F149" s="18">
        <v>1471</v>
      </c>
      <c r="G149" s="2">
        <f>D149</f>
        <v>2603</v>
      </c>
      <c r="H149" s="1"/>
      <c r="I149" s="1"/>
    </row>
    <row r="150">
      <c r="B150" s="1" t="s">
        <v>476</v>
      </c>
      <c r="C150" s="18">
        <v>178</v>
      </c>
      <c r="D150" s="18">
        <v>175</v>
      </c>
      <c r="E150" s="18">
        <v>171</v>
      </c>
      <c r="F150" s="18">
        <v>168</v>
      </c>
      <c r="G150" s="2">
        <f>D150</f>
        <v>175</v>
      </c>
      <c r="H150" s="1"/>
      <c r="I150" s="1"/>
    </row>
    <row r="151">
      <c r="B151" s="1" t="s">
        <v>477</v>
      </c>
      <c r="C151" s="18">
        <v>1173</v>
      </c>
      <c r="D151" s="18">
        <v>1245</v>
      </c>
      <c r="E151" s="18">
        <v>1242</v>
      </c>
      <c r="F151" s="18">
        <v>1246</v>
      </c>
      <c r="G151" s="2">
        <f>D151</f>
        <v>1245</v>
      </c>
      <c r="H151" s="1"/>
      <c r="I151" s="1"/>
    </row>
    <row r="152">
      <c r="B152" s="1" t="s">
        <v>478</v>
      </c>
      <c r="C152" s="18">
        <v>1977</v>
      </c>
      <c r="D152" s="18">
        <v>2239</v>
      </c>
      <c r="E152" s="18">
        <v>2034</v>
      </c>
      <c r="F152" s="18">
        <v>2092</v>
      </c>
      <c r="G152" s="2">
        <f>D152</f>
        <v>2239</v>
      </c>
      <c r="H152" s="1"/>
      <c r="I152" s="1"/>
    </row>
    <row r="153">
      <c r="B153" s="1" t="s">
        <v>479</v>
      </c>
      <c r="C153" s="18">
        <v>6691</v>
      </c>
      <c r="D153" s="18">
        <v>6831</v>
      </c>
      <c r="E153" s="18">
        <v>7472</v>
      </c>
      <c r="F153" s="18">
        <v>8457</v>
      </c>
      <c r="G153" s="2">
        <f>D153</f>
        <v>6831</v>
      </c>
      <c r="H153" s="1"/>
      <c r="I153" s="1"/>
    </row>
    <row r="154">
      <c r="B154" s="1" t="s">
        <v>480</v>
      </c>
      <c r="C154" s="18">
        <v>25064</v>
      </c>
      <c r="D154" s="18">
        <v>24037</v>
      </c>
      <c r="E154" s="18">
        <v>23788</v>
      </c>
      <c r="F154" s="18">
        <v>23418</v>
      </c>
      <c r="G154" s="2">
        <f>D154</f>
        <v>24037</v>
      </c>
      <c r="H154" s="1"/>
      <c r="I154" s="1"/>
    </row>
    <row r="155">
      <c r="B155" s="1" t="s">
        <v>481</v>
      </c>
      <c r="C155" s="18">
        <v>1201</v>
      </c>
      <c r="D155" s="18">
        <v>1178</v>
      </c>
      <c r="E155" s="18">
        <v>1146</v>
      </c>
      <c r="F155" s="18">
        <v>1113</v>
      </c>
      <c r="G155" s="2">
        <f>D155</f>
        <v>1178</v>
      </c>
      <c r="H155" s="1"/>
      <c r="I155" s="1"/>
    </row>
    <row r="156">
      <c r="B156" s="1" t="s">
        <v>482</v>
      </c>
      <c r="C156" s="18">
        <v>1202</v>
      </c>
      <c r="D156" s="18">
        <v>1097</v>
      </c>
      <c r="E156" s="18">
        <v>1164</v>
      </c>
      <c r="F156" s="18">
        <v>1279</v>
      </c>
      <c r="G156" s="2">
        <f>D156</f>
        <v>1097</v>
      </c>
      <c r="H156" s="1"/>
      <c r="I156" s="1"/>
    </row>
    <row r="157">
      <c r="B157" s="1" t="s">
        <v>483</v>
      </c>
      <c r="C157" s="18">
        <v>11928</v>
      </c>
      <c r="D157" s="18">
        <v>12284</v>
      </c>
      <c r="E157" s="18">
        <v>13049</v>
      </c>
      <c r="F157" s="18">
        <v>12984</v>
      </c>
      <c r="G157" s="2">
        <f>D157</f>
        <v>12284</v>
      </c>
      <c r="H157" s="1"/>
      <c r="I157" s="1"/>
    </row>
    <row r="158">
      <c r="B158" s="1"/>
      <c r="C158" s="2"/>
      <c r="D158" s="2"/>
      <c r="E158" s="2"/>
      <c r="F158" s="2"/>
      <c r="G158" s="2"/>
      <c r="H158" s="1"/>
      <c r="I158" s="1"/>
    </row>
    <row r="159">
      <c r="B159" s="1"/>
      <c r="C159" s="2"/>
      <c r="D159" s="2"/>
      <c r="E159" s="2"/>
      <c r="F159" s="2"/>
      <c r="G159" s="2"/>
      <c r="H159" s="1"/>
      <c r="I159" s="1"/>
    </row>
    <row r="160">
      <c r="B160" s="1" t="s">
        <v>484</v>
      </c>
      <c r="C160" s="18">
        <v>50831</v>
      </c>
      <c r="D160" s="18">
        <v>51687</v>
      </c>
      <c r="E160" s="18">
        <v>51567</v>
      </c>
      <c r="F160" s="18">
        <v>52228</v>
      </c>
      <c r="G160" s="18">
        <v>51687</v>
      </c>
      <c r="H160" s="1"/>
      <c r="I160" s="1"/>
    </row>
    <row r="161">
      <c r="B161" s="1" t="s">
        <v>485</v>
      </c>
      <c r="C161" s="18">
        <v>3868</v>
      </c>
      <c r="D161" s="18">
        <v>4219</v>
      </c>
      <c r="E161" s="18">
        <v>3716</v>
      </c>
      <c r="F161" s="18">
        <v>4492</v>
      </c>
      <c r="G161" s="18">
        <v>4219</v>
      </c>
      <c r="H161" s="1"/>
      <c r="I161" s="1"/>
    </row>
    <row r="162">
      <c r="B162" s="1" t="s">
        <v>486</v>
      </c>
      <c r="C162" s="18">
        <v>11436</v>
      </c>
      <c r="D162" s="18">
        <v>13092</v>
      </c>
      <c r="E162" s="18">
        <v>12420</v>
      </c>
      <c r="F162" s="18">
        <v>13434</v>
      </c>
      <c r="G162" s="18">
        <v>13092</v>
      </c>
      <c r="H162" s="1"/>
      <c r="I162" s="1"/>
    </row>
    <row r="163">
      <c r="B163" s="1" t="s">
        <v>487</v>
      </c>
      <c r="C163" s="18">
        <v>2146</v>
      </c>
      <c r="D163" s="2"/>
      <c r="E163" s="2"/>
      <c r="F163" s="2"/>
      <c r="G163" s="2"/>
      <c r="H163" s="1"/>
      <c r="I163" s="1"/>
    </row>
    <row r="164">
      <c r="B164" s="1" t="s">
        <v>488</v>
      </c>
      <c r="C164" s="18">
        <v>1210</v>
      </c>
      <c r="D164" s="2"/>
      <c r="E164" s="2"/>
      <c r="F164" s="2"/>
      <c r="G164" s="2"/>
      <c r="H164" s="1"/>
      <c r="I164" s="1"/>
    </row>
    <row r="165">
      <c r="B165" s="1"/>
      <c r="C165" s="1"/>
      <c r="D165" s="1"/>
      <c r="E165" s="1"/>
      <c r="F165" s="1"/>
      <c r="G165" s="1"/>
      <c r="H165" s="1"/>
      <c r="I165" s="1"/>
    </row>
    <row r="166">
      <c r="B166" s="1"/>
      <c r="C166" s="1"/>
      <c r="D166" s="1"/>
      <c r="E166" s="1"/>
      <c r="F166" s="1"/>
      <c r="G166" s="1"/>
      <c r="H166" s="1"/>
      <c r="I166" s="1"/>
    </row>
    <row r="167">
      <c r="B167" s="1"/>
      <c r="C167" s="1"/>
      <c r="D167" s="1"/>
      <c r="E167" s="1"/>
      <c r="F167" s="1"/>
      <c r="G167" s="1"/>
      <c r="H167" s="1"/>
      <c r="I167" s="1"/>
    </row>
    <row r="168">
      <c r="B168" s="1"/>
      <c r="C168" s="1"/>
      <c r="D168" s="1"/>
      <c r="E168" s="1"/>
      <c r="F168" s="1"/>
      <c r="G168" s="1"/>
      <c r="H168" s="1"/>
      <c r="I168" s="1"/>
    </row>
    <row r="169">
      <c r="B169" s="1"/>
      <c r="C169" s="1"/>
      <c r="D169" s="1"/>
      <c r="E169" s="1"/>
      <c r="F169" s="1"/>
      <c r="G169" s="1"/>
      <c r="H169" s="1"/>
      <c r="I169" s="1"/>
    </row>
    <row r="170">
      <c r="B170" s="1" t="s">
        <v>489</v>
      </c>
      <c r="C170" s="1"/>
      <c r="D170" s="1"/>
      <c r="E170" s="1"/>
      <c r="F170" s="1"/>
      <c r="G170" s="1"/>
      <c r="H170" s="22">
        <v>0.01664866810655119</v>
      </c>
      <c r="I170" s="1"/>
    </row>
    <row r="171">
      <c r="B171" s="1" t="s">
        <v>490</v>
      </c>
      <c r="C171" s="1"/>
      <c r="D171" s="1"/>
      <c r="E171" s="1"/>
      <c r="F171" s="1"/>
      <c r="G171" s="1"/>
      <c r="H171" s="22">
        <v>0.004769618430525258</v>
      </c>
      <c r="I171" s="1"/>
    </row>
    <row r="172">
      <c r="B172" s="1" t="s">
        <v>491</v>
      </c>
      <c r="C172" s="1"/>
      <c r="D172" s="1"/>
      <c r="E172" s="1"/>
      <c r="F172" s="1"/>
      <c r="G172" s="1"/>
      <c r="H172" s="22">
        <v>0.3858891288696902</v>
      </c>
      <c r="I172" s="1"/>
    </row>
    <row r="173">
      <c r="B173" s="1" t="s">
        <v>492</v>
      </c>
      <c r="C173" s="1"/>
      <c r="D173" s="1"/>
      <c r="E173" s="1"/>
      <c r="F173" s="1"/>
      <c r="G173" s="1"/>
      <c r="H173" s="22">
        <v>-0.03977681785457177</v>
      </c>
      <c r="I173" s="1"/>
    </row>
    <row r="174">
      <c r="B174" s="1" t="s">
        <v>493</v>
      </c>
      <c r="C174" s="1"/>
      <c r="D174" s="1"/>
      <c r="E174" s="1"/>
      <c r="F174" s="1"/>
      <c r="G174" s="1"/>
      <c r="H174" s="22"/>
      <c r="I174" s="1" t="s">
        <v>494</v>
      </c>
    </row>
    <row r="175">
      <c r="B175" s="1" t="s">
        <v>495</v>
      </c>
      <c r="C175" s="1"/>
      <c r="D175" s="1"/>
      <c r="E175" s="1"/>
      <c r="F175" s="1"/>
      <c r="G175" s="1"/>
      <c r="H175" s="22">
        <v>0.03</v>
      </c>
      <c r="I175" s="1"/>
    </row>
    <row r="176">
      <c r="B176" s="1" t="s">
        <v>496</v>
      </c>
      <c r="C176" s="1"/>
      <c r="D176" s="1"/>
      <c r="E176" s="1"/>
      <c r="F176" s="1"/>
      <c r="G176" s="1"/>
      <c r="H176" s="22">
        <v>0.02</v>
      </c>
      <c r="I176" s="1"/>
    </row>
    <row r="177">
      <c r="B177" s="1" t="s">
        <v>497</v>
      </c>
      <c r="C177" s="1"/>
      <c r="D177" s="1"/>
      <c r="E177" s="1"/>
      <c r="F177" s="1"/>
      <c r="G177" s="1"/>
      <c r="H177" s="22">
        <v>0.04</v>
      </c>
      <c r="I177" s="1"/>
    </row>
    <row r="178">
      <c r="B178" s="1" t="s">
        <v>498</v>
      </c>
      <c r="C178" s="1"/>
      <c r="D178" s="1"/>
      <c r="E178" s="1"/>
      <c r="F178" s="1"/>
      <c r="G178" s="1"/>
      <c r="H178" s="22">
        <v>0.04</v>
      </c>
      <c r="I178" s="1"/>
    </row>
    <row r="179">
      <c r="B179" s="1" t="s">
        <v>499</v>
      </c>
      <c r="C179" s="1"/>
      <c r="D179" s="1"/>
      <c r="E179" s="1"/>
      <c r="F179" s="1"/>
      <c r="G179" s="1"/>
      <c r="H179" s="22">
        <v>0.075</v>
      </c>
      <c r="I179" s="1"/>
    </row>
    <row r="180">
      <c r="B180" s="1" t="s">
        <v>500</v>
      </c>
      <c r="C180" s="1"/>
      <c r="D180" s="1"/>
      <c r="E180" s="1"/>
      <c r="F180" s="1"/>
      <c r="G180" s="1"/>
      <c r="H180" s="22">
        <v>0.02</v>
      </c>
      <c r="I180" s="1"/>
    </row>
    <row r="181">
      <c r="B181" s="1" t="s">
        <v>501</v>
      </c>
      <c r="C181" s="1"/>
      <c r="D181" s="1"/>
      <c r="E181" s="1"/>
      <c r="F181" s="1"/>
      <c r="G181" s="1"/>
      <c r="H181" s="27">
        <f>Guidance!G16</f>
        <v>620</v>
      </c>
      <c r="I181" s="1"/>
    </row>
    <row r="182">
      <c r="B182" s="1" t="s">
        <v>502</v>
      </c>
      <c r="C182" s="1"/>
      <c r="D182" s="1"/>
      <c r="E182" s="1"/>
      <c r="F182" s="1"/>
      <c r="G182" s="1"/>
      <c r="H182" s="27">
        <f>Guidance!G17</f>
        <v>740</v>
      </c>
      <c r="I182" s="1"/>
    </row>
    <row r="183">
      <c r="B183" s="1" t="s">
        <v>503</v>
      </c>
      <c r="C183" s="1"/>
      <c r="D183" s="1"/>
      <c r="E183" s="1"/>
      <c r="F183" s="1"/>
      <c r="G183" s="1"/>
      <c r="H183" s="27">
        <f>Guidance!G18</f>
        <v>270</v>
      </c>
      <c r="I183" s="1"/>
    </row>
    <row r="184">
      <c r="B184" s="1" t="s">
        <v>504</v>
      </c>
      <c r="C184" s="1"/>
      <c r="D184" s="1"/>
      <c r="E184" s="1"/>
      <c r="F184" s="1"/>
      <c r="G184" s="1"/>
      <c r="H184" s="21">
        <v>14</v>
      </c>
      <c r="I184" s="1"/>
    </row>
    <row r="185">
      <c r="B185" s="1" t="s">
        <v>505</v>
      </c>
      <c r="C185" s="1"/>
      <c r="D185" s="1"/>
      <c r="E185" s="1"/>
      <c r="F185" s="1"/>
      <c r="G185" s="1"/>
      <c r="H185" s="21">
        <v>-5</v>
      </c>
      <c r="I185" s="1"/>
    </row>
    <row r="186">
      <c r="B186" s="1" t="s">
        <v>506</v>
      </c>
      <c r="C186" s="1"/>
      <c r="D186" s="1"/>
      <c r="E186" s="1"/>
      <c r="F186" s="1"/>
      <c r="G186" s="1"/>
      <c r="H186" s="21">
        <v>-25</v>
      </c>
      <c r="I186" s="1"/>
    </row>
    <row r="187">
      <c r="B187" s="1" t="s">
        <v>507</v>
      </c>
      <c r="C187" s="1"/>
      <c r="D187" s="1"/>
      <c r="E187" s="1"/>
      <c r="F187" s="1"/>
      <c r="G187" s="1"/>
      <c r="H187" s="21">
        <v>3</v>
      </c>
      <c r="I187" s="1"/>
    </row>
    <row r="188">
      <c r="B188" s="1" t="s">
        <v>508</v>
      </c>
      <c r="C188" s="1"/>
      <c r="D188" s="1"/>
      <c r="E188" s="1"/>
      <c r="F188" s="1"/>
      <c r="G188" s="1"/>
      <c r="H188" s="21">
        <v>18</v>
      </c>
      <c r="I188" s="1"/>
    </row>
    <row r="189">
      <c r="B189" s="1" t="s">
        <v>509</v>
      </c>
      <c r="C189" s="1"/>
      <c r="D189" s="1"/>
      <c r="E189" s="1"/>
      <c r="F189" s="1"/>
      <c r="G189" s="1"/>
      <c r="H189" s="27">
        <f>Guidance!G21</f>
        <v>1372</v>
      </c>
      <c r="I189" s="1"/>
    </row>
    <row r="190">
      <c r="B190" s="1" t="s">
        <v>510</v>
      </c>
      <c r="C190" s="1"/>
      <c r="D190" s="1"/>
      <c r="E190" s="1"/>
      <c r="F190" s="1"/>
      <c r="G190" s="1"/>
      <c r="H190" s="27">
        <f>Guidance!G22</f>
        <v>1377</v>
      </c>
      <c r="I190" s="1"/>
    </row>
    <row r="191">
      <c r="B191" s="1" t="s">
        <v>511</v>
      </c>
      <c r="C191" s="1"/>
      <c r="D191" s="1"/>
      <c r="E191" s="1"/>
      <c r="F191" s="1"/>
      <c r="G191" s="1"/>
      <c r="H191" s="27">
        <f>Guidance!G13</f>
        <v>24.9</v>
      </c>
      <c r="I191" s="1"/>
    </row>
    <row r="192">
      <c r="B192" s="1" t="s">
        <v>512</v>
      </c>
      <c r="C192" s="1"/>
      <c r="D192" s="1"/>
      <c r="E192" s="1"/>
      <c r="F192" s="1"/>
      <c r="G192" s="1"/>
      <c r="H192" s="21">
        <v>27.78</v>
      </c>
      <c r="I192" s="1"/>
    </row>
    <row r="193">
      <c r="B193" s="1" t="s">
        <v>513</v>
      </c>
      <c r="C193" s="1"/>
      <c r="D193" s="1"/>
      <c r="E193" s="1"/>
      <c r="F193" s="1"/>
      <c r="G193" s="1"/>
      <c r="H193" s="21">
        <v>3.93</v>
      </c>
      <c r="I193" s="1"/>
    </row>
    <row r="194">
      <c r="B194" s="1" t="s">
        <v>514</v>
      </c>
      <c r="C194" s="1"/>
      <c r="D194" s="1"/>
      <c r="E194" s="1"/>
      <c r="F194" s="1"/>
      <c r="G194" s="1"/>
      <c r="H194" s="21">
        <v>900</v>
      </c>
      <c r="I194" s="1"/>
    </row>
    <row r="195">
      <c r="B195" s="1" t="s">
        <v>515</v>
      </c>
      <c r="C195" s="1"/>
      <c r="D195" s="1"/>
      <c r="E195" s="1"/>
      <c r="F195" s="1"/>
      <c r="G195" s="1"/>
      <c r="H195" s="21">
        <v>207</v>
      </c>
      <c r="I195" s="1"/>
    </row>
    <row r="196">
      <c r="B196" s="1" t="s">
        <v>516</v>
      </c>
      <c r="C196" s="1"/>
      <c r="D196" s="1"/>
      <c r="E196" s="1"/>
      <c r="F196" s="1"/>
      <c r="G196" s="1"/>
      <c r="H196" s="21">
        <v>200</v>
      </c>
      <c r="I196" s="1"/>
    </row>
    <row r="197">
      <c r="B197" s="1" t="s">
        <v>517</v>
      </c>
      <c r="C197" s="1"/>
      <c r="D197" s="1"/>
      <c r="E197" s="1"/>
      <c r="F197" s="1"/>
      <c r="G197" s="1"/>
      <c r="H197" s="21">
        <v>350</v>
      </c>
      <c r="I197" s="1"/>
    </row>
    <row r="198">
      <c r="B198" s="1" t="s">
        <v>518</v>
      </c>
      <c r="C198" s="1"/>
      <c r="D198" s="1"/>
      <c r="E198" s="1"/>
      <c r="F198" s="1"/>
      <c r="G198" s="1"/>
      <c r="H198" s="21">
        <v>8100</v>
      </c>
      <c r="I198" s="1"/>
    </row>
    <row r="199">
      <c r="B199" s="1" t="s">
        <v>519</v>
      </c>
      <c r="C199" s="1"/>
      <c r="D199" s="1"/>
      <c r="E199" s="1"/>
      <c r="F199" s="1"/>
      <c r="G199" s="1"/>
      <c r="H199" s="22">
        <v>0.4</v>
      </c>
      <c r="I199" s="1"/>
    </row>
    <row r="200">
      <c r="B200" s="1" t="s">
        <v>520</v>
      </c>
      <c r="C200" s="1"/>
      <c r="D200" s="1"/>
      <c r="E200" s="1"/>
      <c r="F200" s="1"/>
      <c r="G200" s="1"/>
      <c r="H200" s="21">
        <v>0</v>
      </c>
      <c r="I200" s="1"/>
    </row>
    <row r="201">
      <c r="B201" s="1" t="s">
        <v>521</v>
      </c>
      <c r="C201" s="1"/>
      <c r="D201" s="1"/>
      <c r="E201" s="1"/>
      <c r="F201" s="1"/>
      <c r="G201" s="1"/>
      <c r="H201" s="22">
        <v>0.64</v>
      </c>
      <c r="I201" s="1"/>
    </row>
    <row r="202">
      <c r="B202" s="1" t="s">
        <v>522</v>
      </c>
      <c r="C202" s="1"/>
      <c r="D202" s="1"/>
      <c r="E202" s="1"/>
      <c r="F202" s="1"/>
      <c r="G202" s="1"/>
      <c r="H202" s="22">
        <v>0.36</v>
      </c>
      <c r="I202" s="1"/>
    </row>
    <row r="203">
      <c r="B203" s="1" t="s">
        <v>523</v>
      </c>
      <c r="C203" s="1"/>
      <c r="D203" s="1"/>
      <c r="E203" s="1"/>
      <c r="F203" s="1"/>
      <c r="G203" s="1"/>
      <c r="H203" s="31">
        <f>C104/SUM(C100:C101)</f>
        <v>0.6874287884542347</v>
      </c>
      <c r="I203" s="1" t="s">
        <v>524</v>
      </c>
    </row>
    <row r="204">
      <c r="B204" s="1" t="s">
        <v>525</v>
      </c>
      <c r="C204" s="1"/>
      <c r="D204" s="1"/>
      <c r="E204" s="1"/>
      <c r="F204" s="1"/>
      <c r="G204" s="1"/>
      <c r="H204" s="31">
        <f>H203</f>
        <v>0.6874287884542347</v>
      </c>
      <c r="I204" s="1" t="s">
        <v>526</v>
      </c>
    </row>
    <row r="205">
      <c r="B205" s="1" t="s">
        <v>527</v>
      </c>
      <c r="C205" s="1"/>
      <c r="D205" s="1"/>
      <c r="E205" s="1"/>
      <c r="F205" s="1"/>
      <c r="G205" s="1"/>
      <c r="H205" s="14" t="s">
        <v>528</v>
      </c>
      <c r="I205" s="1"/>
    </row>
    <row r="206">
      <c r="B206" s="1"/>
      <c r="C206" s="1"/>
      <c r="D206" s="1"/>
      <c r="E206" s="1"/>
      <c r="F206" s="1"/>
      <c r="G206" s="1"/>
      <c r="H206" s="1"/>
      <c r="I206" s="1"/>
    </row>
    <row r="207">
      <c r="B207" s="1"/>
      <c r="C207" s="1"/>
      <c r="D207" s="1"/>
      <c r="E207" s="1"/>
      <c r="F207" s="1"/>
      <c r="G207" s="1"/>
      <c r="H207" s="1"/>
      <c r="I207" s="1"/>
    </row>
    <row r="208">
      <c r="B208" s="1"/>
      <c r="C208" s="1"/>
      <c r="D208" s="1"/>
      <c r="E208" s="1"/>
      <c r="F208" s="1"/>
      <c r="G208" s="1"/>
      <c r="H208" s="1"/>
      <c r="I208" s="1"/>
    </row>
    <row r="209">
      <c r="B209" s="1"/>
      <c r="C209" s="1"/>
      <c r="D209" s="1"/>
      <c r="E209" s="1"/>
      <c r="F209" s="1"/>
      <c r="G209" s="1"/>
      <c r="H209" s="1"/>
      <c r="I209" s="1"/>
    </row>
    <row r="210">
      <c r="B210" s="1" t="s">
        <v>529</v>
      </c>
      <c r="C210" s="18">
        <v>0</v>
      </c>
      <c r="D210" s="18">
        <v>-9</v>
      </c>
      <c r="E210" s="18">
        <v>0</v>
      </c>
      <c r="F210" s="18">
        <v>0</v>
      </c>
      <c r="G210" s="18">
        <v>-110</v>
      </c>
      <c r="H210" s="1"/>
      <c r="I210" s="1"/>
    </row>
    <row r="211">
      <c r="B211" s="1" t="s">
        <v>530</v>
      </c>
      <c r="C211" s="18">
        <v>3</v>
      </c>
      <c r="D211" s="18">
        <v>8</v>
      </c>
      <c r="E211" s="18">
        <v>0</v>
      </c>
      <c r="F211" s="18">
        <v>0</v>
      </c>
      <c r="G211" s="18">
        <v>13</v>
      </c>
      <c r="H211" s="1"/>
      <c r="I211" s="1"/>
    </row>
    <row r="212">
      <c r="B212" s="1" t="s">
        <v>531</v>
      </c>
      <c r="C212" s="18">
        <v>17</v>
      </c>
      <c r="D212" s="18">
        <v>-10</v>
      </c>
      <c r="E212" s="18">
        <v>17</v>
      </c>
      <c r="F212" s="18">
        <v>32</v>
      </c>
      <c r="G212" s="18">
        <v>7</v>
      </c>
      <c r="H212" s="1"/>
      <c r="I212" s="1"/>
    </row>
    <row r="213">
      <c r="B213" s="1"/>
      <c r="C213" s="2"/>
      <c r="D213" s="2"/>
      <c r="E213" s="2"/>
      <c r="F213" s="2"/>
      <c r="G213" s="2"/>
      <c r="H213" s="1"/>
      <c r="I213" s="1"/>
    </row>
    <row r="214">
      <c r="B214" s="1"/>
      <c r="C214" s="2"/>
      <c r="D214" s="2"/>
      <c r="E214" s="2"/>
      <c r="F214" s="2"/>
      <c r="G214" s="2"/>
      <c r="H214" s="1"/>
      <c r="I214" s="1"/>
    </row>
    <row r="215">
      <c r="B215" s="1"/>
      <c r="C215" s="2"/>
      <c r="D215" s="2"/>
      <c r="E215" s="2"/>
      <c r="F215" s="2"/>
      <c r="G215" s="2"/>
      <c r="H215" s="1"/>
      <c r="I215" s="1"/>
    </row>
    <row r="216">
      <c r="B216" s="1"/>
      <c r="C216" s="2"/>
      <c r="D216" s="2"/>
      <c r="E216" s="2"/>
      <c r="F216" s="2"/>
      <c r="G216" s="2"/>
      <c r="H216" s="1"/>
      <c r="I216" s="1"/>
    </row>
    <row r="217">
      <c r="B217" s="1"/>
      <c r="C217" s="2"/>
      <c r="D217" s="2"/>
      <c r="E217" s="2"/>
      <c r="F217" s="2"/>
      <c r="G217" s="2"/>
      <c r="H217" s="1"/>
      <c r="I217" s="1"/>
    </row>
    <row r="218">
      <c r="B218" s="1"/>
      <c r="C218" s="2"/>
      <c r="D218" s="2"/>
      <c r="E218" s="2"/>
      <c r="F218" s="2"/>
      <c r="G218" s="2"/>
      <c r="H218" s="1"/>
      <c r="I218" s="1"/>
    </row>
    <row r="219">
      <c r="B219" s="1"/>
      <c r="C219" s="2"/>
      <c r="D219" s="2"/>
      <c r="E219" s="2"/>
      <c r="F219" s="2"/>
      <c r="G219" s="2"/>
      <c r="H219" s="1"/>
      <c r="I219" s="1"/>
    </row>
    <row r="220">
      <c r="B220" s="1" t="s">
        <v>532</v>
      </c>
      <c r="C220" s="18">
        <v>2935</v>
      </c>
      <c r="D220" s="18">
        <v>2620</v>
      </c>
      <c r="E220" s="18">
        <v>2452</v>
      </c>
      <c r="F220" s="18">
        <v>2784</v>
      </c>
      <c r="G220" s="18">
        <v>10591</v>
      </c>
      <c r="H220" s="1"/>
      <c r="I220" s="1"/>
    </row>
    <row r="221">
      <c r="B221" s="1" t="s">
        <v>533</v>
      </c>
      <c r="C221" s="18">
        <v>436</v>
      </c>
      <c r="D221" s="18">
        <v>532</v>
      </c>
      <c r="E221" s="18">
        <v>537</v>
      </c>
      <c r="F221" s="18">
        <v>493</v>
      </c>
      <c r="G221" s="18">
        <v>1962</v>
      </c>
      <c r="H221" s="1"/>
      <c r="I221" s="1"/>
    </row>
    <row r="222">
      <c r="B222" s="1" t="s">
        <v>534</v>
      </c>
      <c r="C222" s="18">
        <v>461</v>
      </c>
      <c r="D222" s="18">
        <v>473</v>
      </c>
      <c r="E222" s="18">
        <v>460</v>
      </c>
      <c r="F222" s="18">
        <v>477</v>
      </c>
      <c r="G222" s="18">
        <v>1818</v>
      </c>
      <c r="H222" s="1"/>
      <c r="I222" s="1"/>
    </row>
    <row r="223">
      <c r="B223" s="1" t="s">
        <v>535</v>
      </c>
      <c r="C223" s="18">
        <v>1515</v>
      </c>
      <c r="D223" s="18">
        <v>510</v>
      </c>
      <c r="E223" s="18">
        <v>569</v>
      </c>
      <c r="F223" s="18">
        <v>658</v>
      </c>
      <c r="G223" s="18">
        <v>3233</v>
      </c>
      <c r="H223" s="1"/>
      <c r="I223" s="1"/>
    </row>
    <row r="224">
      <c r="B224" s="1" t="s">
        <v>536</v>
      </c>
      <c r="C224" s="18">
        <v>1301</v>
      </c>
      <c r="D224" s="18">
        <v>1299</v>
      </c>
      <c r="E224" s="18">
        <v>1421</v>
      </c>
      <c r="F224" s="18">
        <v>1334</v>
      </c>
      <c r="G224" s="18">
        <v>5078</v>
      </c>
      <c r="H224" s="1"/>
      <c r="I224" s="1"/>
    </row>
    <row r="225">
      <c r="B225" s="1" t="s">
        <v>537</v>
      </c>
      <c r="C225" s="18">
        <v>244</v>
      </c>
      <c r="D225" s="18">
        <v>291</v>
      </c>
      <c r="E225" s="18">
        <v>283</v>
      </c>
      <c r="F225" s="18">
        <v>260</v>
      </c>
      <c r="G225" s="18">
        <v>1034</v>
      </c>
      <c r="H225" s="1"/>
      <c r="I225" s="1"/>
    </row>
    <row r="226">
      <c r="B226" s="1" t="s">
        <v>538</v>
      </c>
      <c r="C226" s="18">
        <v>196</v>
      </c>
      <c r="D226" s="18">
        <v>194</v>
      </c>
      <c r="E226" s="18">
        <v>194</v>
      </c>
      <c r="F226" s="18">
        <v>203</v>
      </c>
      <c r="G226" s="18">
        <v>746</v>
      </c>
      <c r="H226" s="1"/>
      <c r="I226" s="1"/>
    </row>
    <row r="227">
      <c r="B227" s="1" t="s">
        <v>539</v>
      </c>
      <c r="C227" s="18">
        <v>810</v>
      </c>
      <c r="D227" s="18">
        <v>292</v>
      </c>
      <c r="E227" s="18">
        <v>170</v>
      </c>
      <c r="F227" s="18">
        <v>326</v>
      </c>
      <c r="G227" s="18">
        <v>1610</v>
      </c>
      <c r="H227" s="1"/>
      <c r="I227" s="1"/>
    </row>
    <row r="228">
      <c r="B228" s="1" t="s">
        <v>540</v>
      </c>
      <c r="C228" s="18">
        <v>52</v>
      </c>
      <c r="D228" s="18">
        <v>68</v>
      </c>
      <c r="E228" s="18">
        <v>53</v>
      </c>
      <c r="F228" s="18">
        <v>65</v>
      </c>
      <c r="G228" s="18">
        <v>211</v>
      </c>
      <c r="H228" s="1"/>
      <c r="I228" s="1"/>
    </row>
    <row r="229">
      <c r="B229" s="1" t="s">
        <v>541</v>
      </c>
      <c r="C229" s="18">
        <v>94</v>
      </c>
      <c r="D229" s="18">
        <v>108</v>
      </c>
      <c r="E229" s="18">
        <v>83</v>
      </c>
      <c r="F229" s="18">
        <v>87</v>
      </c>
      <c r="G229" s="18">
        <v>365</v>
      </c>
      <c r="H229" s="1"/>
      <c r="I229" s="1"/>
    </row>
    <row r="230">
      <c r="B230" s="1" t="s">
        <v>542</v>
      </c>
      <c r="C230" s="18">
        <v>53</v>
      </c>
      <c r="D230" s="18">
        <v>52</v>
      </c>
      <c r="E230" s="18">
        <v>34</v>
      </c>
      <c r="F230" s="18">
        <v>37</v>
      </c>
      <c r="G230" s="18">
        <v>200</v>
      </c>
      <c r="H230" s="1"/>
      <c r="I230" s="1"/>
    </row>
    <row r="231">
      <c r="B231" s="1" t="s">
        <v>543</v>
      </c>
      <c r="C231" s="18">
        <v>-125</v>
      </c>
      <c r="D231" s="18">
        <v>-140</v>
      </c>
      <c r="E231" s="18">
        <v>-92</v>
      </c>
      <c r="F231" s="18">
        <v>-94</v>
      </c>
      <c r="G231" s="18">
        <v>-468</v>
      </c>
      <c r="H231" s="1"/>
      <c r="I231" s="1"/>
    </row>
    <row r="232">
      <c r="B232" s="1" t="s">
        <v>544</v>
      </c>
      <c r="C232" s="18">
        <v>97</v>
      </c>
      <c r="D232" s="18">
        <v>33</v>
      </c>
      <c r="E232" s="18">
        <v>13</v>
      </c>
      <c r="F232" s="18">
        <v>42</v>
      </c>
      <c r="G232" s="18">
        <v>177</v>
      </c>
      <c r="H232" s="1"/>
      <c r="I232" s="1"/>
    </row>
    <row r="233">
      <c r="B233" s="1" t="s">
        <v>545</v>
      </c>
      <c r="C233" s="18">
        <v>4</v>
      </c>
      <c r="D233" s="18">
        <v>4</v>
      </c>
      <c r="E233" s="18">
        <v>5</v>
      </c>
      <c r="F233" s="18">
        <v>5</v>
      </c>
      <c r="G233" s="18">
        <v>17</v>
      </c>
      <c r="H233" s="1"/>
      <c r="I233" s="1"/>
    </row>
    <row r="234">
      <c r="B234" s="1" t="s">
        <v>546</v>
      </c>
      <c r="C234" s="18">
        <v>7</v>
      </c>
      <c r="D234" s="18">
        <v>7</v>
      </c>
      <c r="E234" s="18">
        <v>7</v>
      </c>
      <c r="F234" s="18">
        <v>7</v>
      </c>
      <c r="G234" s="18">
        <v>26</v>
      </c>
      <c r="H234" s="1"/>
      <c r="I234" s="1"/>
    </row>
    <row r="235">
      <c r="B235" s="1" t="s">
        <v>547</v>
      </c>
      <c r="C235" s="18">
        <v>71</v>
      </c>
      <c r="D235" s="18">
        <v>-14</v>
      </c>
      <c r="E235" s="18">
        <v>-24</v>
      </c>
      <c r="F235" s="18">
        <v>-21</v>
      </c>
      <c r="G235" s="18">
        <v>22</v>
      </c>
      <c r="H235" s="1"/>
      <c r="I235" s="1"/>
    </row>
    <row r="236">
      <c r="B236" s="1"/>
      <c r="C236" s="1"/>
      <c r="D236" s="1"/>
      <c r="E236" s="1"/>
      <c r="F236" s="1"/>
      <c r="G236" s="1"/>
      <c r="H236" s="1"/>
      <c r="I236" s="1"/>
    </row>
    <row r="237">
      <c r="B237" s="1"/>
      <c r="C237" s="1"/>
      <c r="D237" s="1"/>
      <c r="E237" s="1"/>
      <c r="F237" s="1"/>
      <c r="G237" s="1"/>
      <c r="H237" s="1"/>
      <c r="I237" s="1"/>
    </row>
    <row r="238">
      <c r="B238" s="1"/>
      <c r="C238" s="1"/>
      <c r="D238" s="1"/>
      <c r="E238" s="1"/>
      <c r="F238" s="1"/>
      <c r="G238" s="1"/>
      <c r="H238" s="1"/>
      <c r="I238" s="1"/>
    </row>
    <row r="239">
      <c r="B239" s="1"/>
      <c r="C239" s="1"/>
      <c r="D239" s="1"/>
      <c r="E239" s="1"/>
      <c r="F239" s="1"/>
      <c r="G239" s="1"/>
      <c r="H239" s="1"/>
      <c r="I239" s="1"/>
    </row>
    <row r="240">
      <c r="B240" s="1"/>
      <c r="C240" s="1"/>
      <c r="D240" s="1"/>
      <c r="E240" s="1"/>
      <c r="F240" s="1"/>
      <c r="G240" s="1"/>
      <c r="H240" s="1"/>
      <c r="I240" s="1"/>
    </row>
  </sheetData>
</worksheet>
</file>