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Income Statement" sheetId="3" r:id="rId4"/>
    <sheet name="Balance Sheet" sheetId="4" r:id="rId5"/>
    <sheet name="Cash Flow Statement" sheetId="5" r:id="rId6"/>
    <sheet name="Geo" sheetId="6" r:id="rId7"/>
    <sheet name="Share Count" sheetId="7" r:id="rId8"/>
    <sheet name="Guidance" sheetId="8" r:id="rId9"/>
    <sheet name="Sources" sheetId="9" r:id="rId10"/>
    <sheet name="Inputs" sheetId="10" r:id="rId11"/>
  </sheets>
  <calcPr calcId="0"/>
</workbook>
</file>

<file path=xl/sharedStrings.xml><?xml version="1.0" encoding="utf-8"?>
<sst xmlns="http://schemas.openxmlformats.org/spreadsheetml/2006/main" count="712" uniqueCount="438">
  <si>
    <t>Concentrix Corporation</t>
  </si>
  <si>
    <t>Company Model — built by Shortcut</t>
  </si>
  <si>
    <t>$ millions, except per share</t>
  </si>
  <si>
    <t>Fiscal period</t>
  </si>
  <si>
    <t>3Q25A</t>
  </si>
  <si>
    <t>4Q25A</t>
  </si>
  <si>
    <t>FY25A</t>
  </si>
  <si>
    <t>1Q26A</t>
  </si>
  <si>
    <t>2Q26A</t>
  </si>
  <si>
    <t>3Q26E</t>
  </si>
  <si>
    <t>Period end</t>
  </si>
  <si>
    <t>Days in period</t>
  </si>
  <si>
    <t>Concentrix (CNXC) · NasdaqGS · FY ends November 30</t>
  </si>
  <si>
    <t>FY2026 third quarter • USD/common share • normalized diluted EPS</t>
  </si>
  <si>
    <t>Estimate</t>
  </si>
  <si>
    <t>Consensus</t>
  </si>
  <si>
    <t>Vs consensus</t>
  </si>
  <si>
    <t>Guide / NI¹</t>
  </si>
  <si>
    <t>Revenue, $m</t>
  </si>
  <si>
    <t>Normalized NI to common, $m</t>
  </si>
  <si>
    <t>¹ Management does not guide normalized net income; F13 is the diluted EPS guidance midpoint multiplied by the guided 60.9m diluted shares (common-share earnings proxy).</t>
  </si>
  <si>
    <t>Normalized diluted EPS, $</t>
  </si>
  <si>
    <t>GAAP diluted EPS, $</t>
  </si>
  <si>
    <t>n/a</t>
  </si>
  <si>
    <t>Issuer does not guide GAAP EPS: unpredictable contingent-consideration and FX gains/losses; see Q2 FY26 SEC 8-K.</t>
  </si>
  <si>
    <t>Overall model check</t>
  </si>
  <si>
    <t>P(beat consensus EPS)</t>
  </si>
  <si>
    <t>Confidence</t>
  </si>
  <si>
    <t>medium</t>
  </si>
  <si>
    <t>Earnings date, issuer calendar</t>
  </si>
  <si>
    <t>Fiscal year end</t>
  </si>
  <si>
    <t>Nov 30</t>
  </si>
  <si>
    <t>Reporting currency</t>
  </si>
  <si>
    <t>USD</t>
  </si>
  <si>
    <t>Consensus as-of (date only)</t>
  </si>
  <si>
    <t>Information cutoff (UTC)</t>
  </si>
  <si>
    <t>2026-09-26 18:44:22 UTC</t>
  </si>
  <si>
    <t>EPS guidance high of 2.77 is below CapIQ 2.81; CapIQ n=4, captured Sep 24, 2026.</t>
  </si>
  <si>
    <t>GAAP bridge includes estimated $45m restructuring; unforecastable FX and contingent consideration assumed zero.</t>
  </si>
  <si>
    <t>Revenue summary</t>
  </si>
  <si>
    <t>Technology &amp; consumer electronics</t>
  </si>
  <si>
    <t>% of revenue</t>
  </si>
  <si>
    <t xml:space="preserve">  % of revenue Q/Q change (bps)</t>
  </si>
  <si>
    <t>Organic growth (constant FX)</t>
  </si>
  <si>
    <t>Unavailable</t>
  </si>
  <si>
    <t>Historical FX/M&amp;A by vertical not disclosed; organic unavailable. Future organic is an explicit analyst scenario, not reported history.</t>
  </si>
  <si>
    <t>M&amp;A / scope impact</t>
  </si>
  <si>
    <t>FX impact</t>
  </si>
  <si>
    <t>Total Y/Y growth</t>
  </si>
  <si>
    <t>Q/Q growth</t>
  </si>
  <si>
    <t>Sequential change, $m</t>
  </si>
  <si>
    <t>Y/Y absolute change, $m</t>
  </si>
  <si>
    <t>Prior year revenue / base</t>
  </si>
  <si>
    <t>Retail / travel / e-commerce</t>
  </si>
  <si>
    <t>Communications &amp; media</t>
  </si>
  <si>
    <t>Banking / financial / insurance</t>
  </si>
  <si>
    <t>Banking, financial services and insurance (full issuer vertical name).</t>
  </si>
  <si>
    <t>Healthcare</t>
  </si>
  <si>
    <t>Other</t>
  </si>
  <si>
    <t>Total revenue</t>
  </si>
  <si>
    <t>Total revenue Y/Y</t>
  </si>
  <si>
    <t>Total revenue Q/Q</t>
  </si>
  <si>
    <t>Industry verticals less total</t>
  </si>
  <si>
    <t>CapIQ vs reported ($m; rounding)</t>
  </si>
  <si>
    <t>Reported segment count</t>
  </si>
  <si>
    <t>The issuer reports one operating segment; these are industry verticals, not reportable segments.</t>
  </si>
  <si>
    <t>CapIQ source history (rounded)</t>
  </si>
  <si>
    <t>Forecast inside company revenue guidance</t>
  </si>
  <si>
    <t>Income Statement</t>
  </si>
  <si>
    <t>Revenue</t>
  </si>
  <si>
    <t>Y/Y revenue growth</t>
  </si>
  <si>
    <t>Cost of revenue</t>
  </si>
  <si>
    <t>Gross profit</t>
  </si>
  <si>
    <t>Gross margin</t>
  </si>
  <si>
    <t>Gross margin sequential, bps</t>
  </si>
  <si>
    <t>Selling, general and administrative</t>
  </si>
  <si>
    <t>Impairment expense</t>
  </si>
  <si>
    <t>GAAP operating income</t>
  </si>
  <si>
    <t>GAAP operating margin</t>
  </si>
  <si>
    <t>GAAP operating margin sequential, bps</t>
  </si>
  <si>
    <t>Net interest expense</t>
  </si>
  <si>
    <t>Other expense (income), net</t>
  </si>
  <si>
    <t>Income before tax</t>
  </si>
  <si>
    <t>Provision for income taxes</t>
  </si>
  <si>
    <t>GAAP effective tax rate</t>
  </si>
  <si>
    <t>Effective tax rate sequential, bps</t>
  </si>
  <si>
    <t>GAAP net income</t>
  </si>
  <si>
    <t>Participating-security allocation</t>
  </si>
  <si>
    <t>GAAP NI attributable to common</t>
  </si>
  <si>
    <t>Weighted basic shares, millions</t>
  </si>
  <si>
    <t>Weighted diluted shares, millions</t>
  </si>
  <si>
    <t>GAAP basic EPS</t>
  </si>
  <si>
    <t>GAAP diluted EPS</t>
  </si>
  <si>
    <t>GAAP-to-non-GAAP bridge</t>
  </si>
  <si>
    <t>Impairment adjustment</t>
  </si>
  <si>
    <t>Acquisition / integration / restructure</t>
  </si>
  <si>
    <t>Step-up depreciation</t>
  </si>
  <si>
    <t>Debt costs</t>
  </si>
  <si>
    <t>Imputed interest, seller note</t>
  </si>
  <si>
    <t>Legal settlement costs</t>
  </si>
  <si>
    <t>Acquisition contingent consideration</t>
  </si>
  <si>
    <t>FX loss (gain) adjustment</t>
  </si>
  <si>
    <t>Amortization of acquired intangibles</t>
  </si>
  <si>
    <t>Loss on held for sale</t>
  </si>
  <si>
    <t>Share-based compensation</t>
  </si>
  <si>
    <t>Tax effect of adjustments</t>
  </si>
  <si>
    <t>Change in tax law</t>
  </si>
  <si>
    <t>Legal-entity restructuring tax effect</t>
  </si>
  <si>
    <t>Normalized net income, total</t>
  </si>
  <si>
    <t>Normalized allocated to participating</t>
  </si>
  <si>
    <t>Normalized NI to common</t>
  </si>
  <si>
    <t>Normalized diluted EPS (consensus basis)</t>
  </si>
  <si>
    <t>Normalized EPS Y/Y</t>
  </si>
  <si>
    <t>Non-GAAP operating income</t>
  </si>
  <si>
    <t>Non-GAAP operating margin</t>
  </si>
  <si>
    <t>Adjusted operating margin sequential, bps</t>
  </si>
  <si>
    <t>GAAP EPS numerator check</t>
  </si>
  <si>
    <t>Normalized EPS numerator check</t>
  </si>
  <si>
    <t>4Q25 GAAP margin is impaired by a $1.53bn one-off and not a representative operating run-rate.</t>
  </si>
  <si>
    <t>Forecast gross margin</t>
  </si>
  <si>
    <t>Forecast non-GAAP operating income</t>
  </si>
  <si>
    <t>Forecast interest expense</t>
  </si>
  <si>
    <t>Forecast tax rate</t>
  </si>
  <si>
    <t>Forecast other expense</t>
  </si>
  <si>
    <t>Forecast restructuring and integration</t>
  </si>
  <si>
    <t>Forecast step-up depreciation</t>
  </si>
  <si>
    <t>Forecast intangible amortization</t>
  </si>
  <si>
    <t>Forecast stock compensation</t>
  </si>
  <si>
    <t>Participating income allocation rate</t>
  </si>
  <si>
    <t>Forecast basic shares</t>
  </si>
  <si>
    <t>Forecast diluted shares</t>
  </si>
  <si>
    <t>Forecast impairment</t>
  </si>
  <si>
    <t>Forecast held-for-sale loss</t>
  </si>
  <si>
    <t>Forecast contingent consideration</t>
  </si>
  <si>
    <t>Forecast FX nonoperating gain/loss</t>
  </si>
  <si>
    <t>Forecast debt costs</t>
  </si>
  <si>
    <t>Forecast imputed interest</t>
  </si>
  <si>
    <t>Forecast legal settlement</t>
  </si>
  <si>
    <t>Forecast tax law change</t>
  </si>
  <si>
    <t>Forecast legal restructuring tax</t>
  </si>
  <si>
    <t>Balance Sheet</t>
  </si>
  <si>
    <t>Cash and equivalents</t>
  </si>
  <si>
    <t>Accounts receivable, net</t>
  </si>
  <si>
    <t>Assets held for sale</t>
  </si>
  <si>
    <t>Other current assets / projected net WC</t>
  </si>
  <si>
    <t>Total current assets</t>
  </si>
  <si>
    <t>Property and equipment, net</t>
  </si>
  <si>
    <t>Goodwill</t>
  </si>
  <si>
    <t>Intangibles, net</t>
  </si>
  <si>
    <t>Deferred tax assets</t>
  </si>
  <si>
    <t>Other assets</t>
  </si>
  <si>
    <t>Total assets</t>
  </si>
  <si>
    <t>Accounts payable</t>
  </si>
  <si>
    <t>Current portion of long-term debt</t>
  </si>
  <si>
    <t>Accrued compensation and benefits</t>
  </si>
  <si>
    <t>Other accrued liabilities</t>
  </si>
  <si>
    <t>Income taxes payable</t>
  </si>
  <si>
    <t>Liabilities held for sale</t>
  </si>
  <si>
    <t>Total current liabilities</t>
  </si>
  <si>
    <t>Long-term debt, net</t>
  </si>
  <si>
    <t>Other long-term liabilities</t>
  </si>
  <si>
    <t>Deferred tax liabilities</t>
  </si>
  <si>
    <t>Total liabilities</t>
  </si>
  <si>
    <t>Stockholders equity</t>
  </si>
  <si>
    <t>Assets - liabilities - equity</t>
  </si>
  <si>
    <t>Restricted and held-for-sale cash (CF tie)</t>
  </si>
  <si>
    <t>Cash, restricted and unrestricted</t>
  </si>
  <si>
    <t>Derived assets - SEC-filed total (actuals)</t>
  </si>
  <si>
    <t>Cash Flow Statement</t>
  </si>
  <si>
    <t>Cash from operations</t>
  </si>
  <si>
    <t>Depreciation</t>
  </si>
  <si>
    <t>Amortization</t>
  </si>
  <si>
    <t>Non-cash stock compensation</t>
  </si>
  <si>
    <t>Projected net WC release (cash)</t>
  </si>
  <si>
    <t>Capital expenditures (cash)</t>
  </si>
  <si>
    <t>Other investing flows</t>
  </si>
  <si>
    <t>Cash from investing</t>
  </si>
  <si>
    <t>Debt repayments / borrowing</t>
  </si>
  <si>
    <t>Dividends paid</t>
  </si>
  <si>
    <t>Other financing / share transactions</t>
  </si>
  <si>
    <t>Cash from financing</t>
  </si>
  <si>
    <t>Exchange effect on cash</t>
  </si>
  <si>
    <t>Change in cash including restricted</t>
  </si>
  <si>
    <t>Opening unrestricted + restricted cash</t>
  </si>
  <si>
    <t>Closing unrestricted + restricted cash</t>
  </si>
  <si>
    <t>Cash flow - Balance Sheet check</t>
  </si>
  <si>
    <t>Forecast net WC cash release driver</t>
  </si>
  <si>
    <t>Projected capital expenditure assumption</t>
  </si>
  <si>
    <t>Geo</t>
  </si>
  <si>
    <t>Philippines</t>
  </si>
  <si>
    <t>FY2025 Form 10-K Note 9 discloses country-level revenue annually; 2025/26 10-Qs contain no country-level quarterly breakdown. Quarterly and forecast country figures unavailable.</t>
  </si>
  <si>
    <t>India</t>
  </si>
  <si>
    <t>United States</t>
  </si>
  <si>
    <t>Great Britain</t>
  </si>
  <si>
    <t>Germany</t>
  </si>
  <si>
    <t>Canada</t>
  </si>
  <si>
    <t>Other geographic locations</t>
  </si>
  <si>
    <t>Revenue by delivery geography, FY25A</t>
  </si>
  <si>
    <t>Consolidated reported revenue</t>
  </si>
  <si>
    <t>Geography less consolidated revenue</t>
  </si>
  <si>
    <t>Quarterly geography not disclosed</t>
  </si>
  <si>
    <t>Share Count</t>
  </si>
  <si>
    <t>Weighted basic shares (m)</t>
  </si>
  <si>
    <t>Weighted diluted shares (m)</t>
  </si>
  <si>
    <t>Dilutive instruments (m)</t>
  </si>
  <si>
    <t>Diluted shares Y/Y (m)</t>
  </si>
  <si>
    <t>Sequential diluted shares change (m)</t>
  </si>
  <si>
    <t>End-of-period issued common shares (m)</t>
  </si>
  <si>
    <t>End-of-period shares outstanding (m)</t>
  </si>
  <si>
    <t>Treasury shares (m)</t>
  </si>
  <si>
    <t>Share repurchases, cash outflow ($m)</t>
  </si>
  <si>
    <t>Option exercises / equity issuance ($m)</t>
  </si>
  <si>
    <t>Participating allocation (%)</t>
  </si>
  <si>
    <t>Forecast EPS denominator (m)</t>
  </si>
  <si>
    <t>Issuer-normalized earnings/share</t>
  </si>
  <si>
    <t>Diluted earnings numerator check</t>
  </si>
  <si>
    <t>Guidance</t>
  </si>
  <si>
    <t>Metric</t>
  </si>
  <si>
    <t>Issued</t>
  </si>
  <si>
    <t>Period</t>
  </si>
  <si>
    <t>Low</t>
  </si>
  <si>
    <t>High</t>
  </si>
  <si>
    <t>Midpoint</t>
  </si>
  <si>
    <t>Actual / outcome</t>
  </si>
  <si>
    <t>Beat/(miss) vs midpoint</t>
  </si>
  <si>
    <t>3Q26</t>
  </si>
  <si>
    <t>Non-GAAP diluted EPS</t>
  </si>
  <si>
    <t>FX impact on 3Q Y/Y</t>
  </si>
  <si>
    <t>Net interest expense, approximate</t>
  </si>
  <si>
    <t>Diluted shares, millions</t>
  </si>
  <si>
    <t>Net income allocated to participating</t>
  </si>
  <si>
    <t>Effective tax rate</t>
  </si>
  <si>
    <t>FY26</t>
  </si>
  <si>
    <t>Non-GAAP EPS</t>
  </si>
  <si>
    <t>Adjusted FCF</t>
  </si>
  <si>
    <t>2Q26</t>
  </si>
  <si>
    <t>1Q26</t>
  </si>
  <si>
    <t>Sources</t>
  </si>
  <si>
    <t>ID</t>
  </si>
  <si>
    <t>Publication date</t>
  </si>
  <si>
    <t>Publisher</t>
  </si>
  <si>
    <t>URL or file</t>
  </si>
  <si>
    <t>Model usage</t>
  </si>
  <si>
    <t>I1</t>
  </si>
  <si>
    <t>S&amp;P Capital IQ</t>
  </si>
  <si>
    <t>CNXC_consensus.json</t>
  </si>
  <si>
    <t>4 normalized EPS contributors; consensus/captured date</t>
  </si>
  <si>
    <t>Supplied attachment: CNXC_consensus.json</t>
  </si>
  <si>
    <t>I2</t>
  </si>
  <si>
    <t>supplied; history as-of unspecified</t>
  </si>
  <si>
    <t>CNXC_history.csv</t>
  </si>
  <si>
    <t>Six historical consensus/actual rows and dates</t>
  </si>
  <si>
    <t>Supplied attachment: CNXC_history.csv</t>
  </si>
  <si>
    <t>q325</t>
  </si>
  <si>
    <t>SEC 8-K Sep 25 2025</t>
  </si>
  <si>
    <t>Open source 3</t>
  </si>
  <si>
    <t>q325 historical financials</t>
  </si>
  <si>
    <t>https://www.sec.gov/Archives/edgar/data/1803599/000180359925000143/exhibit991q32025.htm</t>
  </si>
  <si>
    <t>q425</t>
  </si>
  <si>
    <t>SEC 8-K Jan 13 2026</t>
  </si>
  <si>
    <t>Open source 4</t>
  </si>
  <si>
    <t>q425 historical financials</t>
  </si>
  <si>
    <t>https://www.sec.gov/Archives/edgar/data/1803599/000180359926000003/exhibit991q42025.htm</t>
  </si>
  <si>
    <t>q126</t>
  </si>
  <si>
    <t>SEC 8-K Mar 24 2026</t>
  </si>
  <si>
    <t>Open source 5</t>
  </si>
  <si>
    <t>q126 historical financials</t>
  </si>
  <si>
    <t>https://www.sec.gov/Archives/edgar/data/1803599/000180359926000084/exhibit991q12026.htm</t>
  </si>
  <si>
    <t>q226</t>
  </si>
  <si>
    <t>SEC 8-K Jun 29 2026</t>
  </si>
  <si>
    <t>Open source 6</t>
  </si>
  <si>
    <t>q226 historical financials</t>
  </si>
  <si>
    <t>https://www.sec.gov/Archives/edgar/data/1803599/000180359926000133/exhibit991q22026.htm</t>
  </si>
  <si>
    <t>q325bs</t>
  </si>
  <si>
    <t>SEC 10-Q Oct 3 2025</t>
  </si>
  <si>
    <t>Open source 7</t>
  </si>
  <si>
    <t>q325bs historical financials</t>
  </si>
  <si>
    <t>https://www.sec.gov/Archives/edgar/data/1803599/000180359925000147/cnxc-20250831.htm</t>
  </si>
  <si>
    <t>q126cf</t>
  </si>
  <si>
    <t>filing date unavailable in captured text</t>
  </si>
  <si>
    <t>SEC 10-Q Mar 2026</t>
  </si>
  <si>
    <t>Open source 8</t>
  </si>
  <si>
    <t>q126cf historical financials</t>
  </si>
  <si>
    <t>https://www.sec.gov/Archives/edgar/data/1803599/000180359926000122/cnxc-20260228.htm</t>
  </si>
  <si>
    <t>q226cf</t>
  </si>
  <si>
    <t>SEC 10-Q Jul 2 2026</t>
  </si>
  <si>
    <t>Open source 9</t>
  </si>
  <si>
    <t>q226cf historical financials</t>
  </si>
  <si>
    <t>https://www.sec.gov/Archives/edgar/data/1803599/000180359926000136/cnxc-20260531.htm</t>
  </si>
  <si>
    <t>fy25cf</t>
  </si>
  <si>
    <t>SEC 10-K Jan 28 2026</t>
  </si>
  <si>
    <t>Open source 10</t>
  </si>
  <si>
    <t>fy25cf historical financials</t>
  </si>
  <si>
    <t>https://www.sec.gov/Archives/edgar/data/1803599/000180359926000027/R9.htm</t>
  </si>
  <si>
    <t>K25</t>
  </si>
  <si>
    <t>SEC Form 10-K</t>
  </si>
  <si>
    <t>Open source 11</t>
  </si>
  <si>
    <t>FY25 single operating segment / verified USD and shares</t>
  </si>
  <si>
    <t>https://www.sec.gov/Archives/edgar/data/1803599/000180359926000027/cnxc-20251130.htm</t>
  </si>
  <si>
    <t>G25</t>
  </si>
  <si>
    <t>SEC Form 10-K Note 9</t>
  </si>
  <si>
    <t>Open source 12</t>
  </si>
  <si>
    <t>FY25 delivery geography (annual only)</t>
  </si>
  <si>
    <t>https://app.edgar.tools/companies/CNXC/disclosures/revenue</t>
  </si>
  <si>
    <t>Q2CALL</t>
  </si>
  <si>
    <t>Concentrix earnings call</t>
  </si>
  <si>
    <t>Open source 13</t>
  </si>
  <si>
    <t>Offshoring 3%, $45m Q3 restructuring; 60.9m shares</t>
  </si>
  <si>
    <t>https://beta.earningswhispers.com/transcript/CNXC/Q22026</t>
  </si>
  <si>
    <t>PREVIEW</t>
  </si>
  <si>
    <t>AlphaStreet</t>
  </si>
  <si>
    <t>Open source 14</t>
  </si>
  <si>
    <t>90-day EPS revisions $3.06 to $2.81, last two misses</t>
  </si>
  <si>
    <t>https://news.alphastreet.com/concentrix-q3-2026-earnings-preview-september-29-street-expects-2-81-eps/amp/</t>
  </si>
  <si>
    <t>ALT</t>
  </si>
  <si>
    <t>TradingView</t>
  </si>
  <si>
    <t>Open source 15</t>
  </si>
  <si>
    <t>Alternative contemporaneous street EPS $2.71</t>
  </si>
  <si>
    <t>https://www.tradingview.com/news/tradingview:b844eab313a8b:0-cnxc-q3-26-earnings-revenue-estimate-is-2-48b-usd/</t>
  </si>
  <si>
    <t>PEER1</t>
  </si>
  <si>
    <t>TaskUs</t>
  </si>
  <si>
    <t>Open source 16</t>
  </si>
  <si>
    <t>Peer +5% service revenue, AI demand</t>
  </si>
  <si>
    <t>https://ir.taskus.com/news-releases/news-release-details/taskus-announces-fiscal-second-quarter-2026-results</t>
  </si>
  <si>
    <t>PEER2</t>
  </si>
  <si>
    <t>TTEC</t>
  </si>
  <si>
    <t>Open source 17</t>
  </si>
  <si>
    <t>Peer shortfall, weaker CX demand</t>
  </si>
  <si>
    <t>https://investors.ttec.com/news-releases/news-release-details/ttec-announces-second-quarter-2026-financial-results</t>
  </si>
  <si>
    <t>M&amp;A</t>
  </si>
  <si>
    <t>Concentrix</t>
  </si>
  <si>
    <t>Open source 18</t>
  </si>
  <si>
    <t>CastleHill purchased September after target-quarter close</t>
  </si>
  <si>
    <t>https://www.concentrix.com/about/news/press-release/concentrix-strengthens-enterprise-risk-compliance-capabilities-acquisition-castlehill/</t>
  </si>
  <si>
    <t>History file SHA256</t>
  </si>
  <si>
    <t>ecb03e6dc08c9d035f4ce200ba3691493a87b7e74a5262dcec23536f3d6b593a</t>
  </si>
  <si>
    <t>Consensus file SHA256</t>
  </si>
  <si>
    <t>02e1e746d20c5fef261215d34693eb73604c225b69716e1e22443b1af59919a4</t>
  </si>
  <si>
    <t>Consensus capture (date only)</t>
  </si>
  <si>
    <t>2026-09-26T18:44:22.240587+00:00</t>
  </si>
  <si>
    <t>Omitted Segment tabs</t>
  </si>
  <si>
    <t>One segment (no segment tab)</t>
  </si>
  <si>
    <t>Single operating segment; Form 10-Q ended 2026-05-31, Note 17. Vertical splits are revenue disaggregation, not reported segments.</t>
  </si>
  <si>
    <t>Unreported breakdowns</t>
  </si>
  <si>
    <t>Quarterly splits: unavailable</t>
  </si>
  <si>
    <t>Q2 2026 Form 10-Q Note 9 and FY25 Form 10-K Note 9 have no quarterly product/customer/unit/price or geographic revenue figures. These are unavailable.</t>
  </si>
  <si>
    <t>Inputs</t>
  </si>
  <si>
    <t>CapIQ history (as supplied)</t>
  </si>
  <si>
    <t>period_end_date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</si>
  <si>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</si>
  <si>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</si>
  <si>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</si>
  <si>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</si>
  <si>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</si>
  <si>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</si>
  <si>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 xml:space="preserve">report_date_x000D_</t>
  </si>
  <si>
    <t>Consensus captured (date only)</t>
  </si>
  <si>
    <t>History SHA256</t>
  </si>
  <si>
    <t>Consensus SHA256</t>
  </si>
  <si>
    <t>Forward fiscal period</t>
  </si>
  <si>
    <t>FQ3 2026 - Aug 2026</t>
  </si>
  <si>
    <t>Currency basis</t>
  </si>
  <si>
    <t>Normalized diluted USD/common share; verify issuer definition</t>
  </si>
  <si>
    <t>ticker</t>
  </si>
  <si>
    <t>CNXC</t>
  </si>
  <si>
    <t>company</t>
  </si>
  <si>
    <t>exchange_ticker</t>
  </si>
  <si>
    <t>NasdaqGS:CNXC</t>
  </si>
  <si>
    <t>capiq_company_id</t>
  </si>
  <si>
    <t>analyst_count</t>
  </si>
  <si>
    <t>fiscal_year_end</t>
  </si>
  <si>
    <t>Nov-30</t>
  </si>
  <si>
    <t>forward_quarter_label</t>
  </si>
  <si>
    <t>2026-08-31</t>
  </si>
  <si>
    <t>expected_report_date</t>
  </si>
  <si>
    <t>2026-09-29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</si>
  <si>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</si>
  <si>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</si>
  <si>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</si>
  <si>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</si>
  <si>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</si>
  <si>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</si>
  <si>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</si>
  <si>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</si>
  <si>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</si>
  <si>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</si>
  <si>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</si>
  <si>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</si>
  <si>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</si>
  <si>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</si>
  <si>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</si>
  <si>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eps_gaap_guidance_low</t>
  </si>
  <si>
    <t>eps_gaap_guidance_high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</si>
  <si>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</si>
  <si>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</si>
  <si>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</si>
  <si>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</si>
  <si>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</si>
  <si>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</si>
  <si>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revenue_m_guidance_low</t>
  </si>
  <si>
    <t>revenue_m_guidance_high</t>
  </si>
  <si>
    <t>ebitda_m_mean</t>
  </si>
  <si>
    <t>ebit_m_mean</t>
  </si>
  <si>
    <t>net_income_excl_excep_m_mean</t>
  </si>
  <si>
    <t>net_income_gaap_m_mean</t>
  </si>
  <si>
    <t>gross_margin_pct_mean</t>
  </si>
  <si>
    <t>effective_tax_rate_pct_mean</t>
  </si>
  <si>
    <t>capex_m_mean</t>
  </si>
  <si>
    <t>fcf_m_mean</t>
  </si>
  <si>
    <t>cfo_m_mean</t>
  </si>
  <si>
    <t>d_and_a_m_mean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</si>
  <si>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</si>
  <si>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</si>
  <si>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</si>
  <si>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</si>
  <si>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</si>
  <si>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</si>
  <si>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</si>
  <si>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</si>
  <si>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</si>
  <si>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</si>
  <si>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notes</t>
  </si>
  <si>
    <t>Only 4 contributors in CapIQ. CapIQ lists the FQ3 2026 earnings release date as Sep-30-2026; user calendar says Sep 29 after close. FQ4 2025 (Nov-2025) GAAP EPS actual (23.85) reflects a large impairment/one-off, so GAAP surprise is NM there.</t>
  </si>
  <si>
    <t>Technology and consumer electronics</t>
  </si>
  <si>
    <t>Retail, travel and e-commerce</t>
  </si>
  <si>
    <t>Communications and media</t>
  </si>
  <si>
    <t>Banking, financial services and insurance</t>
  </si>
  <si>
    <t>Zero impact where not reported</t>
  </si>
  <si>
    <t>FY25 GAAP diluted reported EPS</t>
  </si>
  <si>
    <t>FY25 normalized diluted issuer EPS</t>
  </si>
  <si>
    <t>FY-to-date reported cash flows; FY25 H1 comparator in I</t>
  </si>
  <si>
    <t>Operating CFO</t>
  </si>
  <si>
    <t>Investing CFI</t>
  </si>
  <si>
    <t>Financing CFF</t>
  </si>
  <si>
    <t>Cash FX</t>
  </si>
  <si>
    <t>Cash capex</t>
  </si>
  <si>
    <t>FY25 YTD reported depreciation</t>
  </si>
  <si>
    <t>SEC as-filed total assets, $m</t>
  </si>
</sst>
</file>

<file path=xl/styles.xml><?xml version="1.0" encoding="utf-8"?>
<styleSheet xmlns="http://schemas.openxmlformats.org/spreadsheetml/2006/main">
  <numFmts count="5">
    <numFmt numFmtId="164" formatCode="#,##0.0_);(#,##0.0);&quot;–&quot;_)"/>
    <numFmt numFmtId="165" formatCode="yyyy-mm-dd"/>
    <numFmt numFmtId="166" formatCode="$0.00;($0.00);&quot;–&quot;"/>
    <numFmt numFmtId="167" formatCode="0.0%_);(0.0%);&quot;–&quot;_)"/>
    <numFmt numFmtId="168" formatCode="#,##0.00;(#,##0.00);&quot;–&quot;"/>
  </numFmts>
  <fonts count="12">
    <font>
      <sz val="11"/>
      <name val="Calibri"/>
    </font>
    <font>
      <b val="0"/>
      <i val="0"/>
      <strike val="0"/>
      <sz val="10"/>
      <color rgb="FF000000"/>
      <name val="Aptos Narrow"/>
    </font>
    <font>
      <b/>
      <i val="0"/>
      <strike val="0"/>
      <sz val="10"/>
      <color rgb="FF000000"/>
      <name val="Aptos Narrow"/>
    </font>
    <font>
      <b/>
      <i val="0"/>
      <strike val="0"/>
      <sz val="10"/>
      <color rgb="FF006100"/>
      <name val="Aptos Narrow"/>
    </font>
    <font>
      <b/>
      <i val="0"/>
      <strike val="0"/>
      <sz val="12"/>
      <color rgb="FF000000"/>
      <name val="Aptos Narrow"/>
    </font>
    <font>
      <b val="0"/>
      <i val="0"/>
      <strike val="0"/>
      <sz val="10"/>
      <color rgb="FF0000FF"/>
      <name val="Aptos Narrow"/>
    </font>
    <font>
      <b val="0"/>
      <i val="0"/>
      <strike val="0"/>
      <sz val="10"/>
      <color rgb="FF006100"/>
      <name val="Aptos Narrow"/>
    </font>
    <font>
      <b/>
      <i val="0"/>
      <strike val="0"/>
      <sz val="10"/>
      <color rgb="FF0000FF"/>
      <name val="Aptos Narrow"/>
    </font>
    <font>
      <b val="0"/>
      <i/>
      <strike val="0"/>
      <sz val="10"/>
      <color rgb="FF000000"/>
      <name val="Aptos Narrow"/>
    </font>
    <font>
      <b val="0"/>
      <i/>
      <strike val="0"/>
      <sz val="10"/>
      <color rgb="FF0000FF"/>
      <name val="Aptos Narrow"/>
    </font>
    <font>
      <b val="0"/>
      <i val="0"/>
      <strike val="0"/>
      <sz val="11"/>
      <color rgb="FF000000"/>
      <name val="Calibri"/>
    </font>
    <font>
      <b val="0"/>
      <i/>
      <strike val="0"/>
      <sz val="10"/>
      <color rgb="FF006100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rgb="FFF0F0F0"/>
      </patternFill>
    </fill>
    <fill>
      <patternFill patternType="solid">
        <fgColor rgb="FFF4F8FF"/>
      </patternFill>
    </fill>
    <fill>
      <patternFill patternType="solid">
        <fgColor rgb="FFE7F2E9"/>
      </patternFill>
    </fill>
  </fills>
  <borders count="5">
    <border>
      <left/>
      <right/>
      <top/>
      <bottom/>
      <diagonal/>
    </border>
    <border>
      <top style="thin">
        <color rgb="FFB7B7B7"/>
      </top>
      <bottom style="thin">
        <color rgb="FFB7B7B7"/>
      </bottom>
    </border>
    <border>
      <top style="thin">
        <color rgb="FFAAAAAA"/>
      </top>
    </border>
    <border>
      <top style="thin">
        <color rgb="FF999999"/>
      </top>
      <bottom style="thin">
        <color rgb="FF999999"/>
      </bottom>
    </border>
    <border>
      <top style="thin">
        <color rgb="FFA8A8A8"/>
      </top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Fill="1" applyAlignment="1" applyProtection="1">
      <alignment horizontal="general" vertical="bottom"/>
      <protection locked="1" hidden="0"/>
    </xf>
    <xf numFmtId="0" fontId="1" fillId="2" borderId="1" xfId="0" applyFont="1" applyFill="1" applyBorder="1" applyAlignment="1" applyProtection="1">
      <alignment horizontal="general" vertical="bottom"/>
      <protection locked="1" hidden="0"/>
    </xf>
    <xf numFmtId="164" fontId="1" fillId="0" borderId="0" xfId="0" applyNumberFormat="1" applyFont="1" applyFill="1" applyAlignment="1" applyProtection="1">
      <alignment horizontal="general" vertical="bottom"/>
      <protection locked="1" hidden="0"/>
    </xf>
    <xf numFmtId="0" fontId="1" fillId="3" borderId="1" xfId="0" applyFont="1" applyFill="1" applyBorder="1" applyAlignment="1" applyProtection="1">
      <alignment horizontal="general" vertical="bottom"/>
      <protection locked="1" hidden="0"/>
    </xf>
    <xf numFmtId="164" fontId="1" fillId="4" borderId="0" xfId="0" applyNumberFormat="1" applyFont="1" applyFill="1" applyAlignment="1" applyProtection="1">
      <alignment horizontal="general" vertical="bottom"/>
      <protection locked="1" hidden="0"/>
    </xf>
    <xf numFmtId="164" fontId="2" fillId="0" borderId="2" xfId="0" applyNumberFormat="1" applyFont="1" applyFill="1" applyBorder="1" applyAlignment="1" applyProtection="1">
      <alignment horizontal="general" vertical="bottom"/>
      <protection locked="1" hidden="0"/>
    </xf>
    <xf numFmtId="164" fontId="2" fillId="4" borderId="2" xfId="0" applyNumberFormat="1" applyFont="1" applyFill="1" applyBorder="1" applyAlignment="1" applyProtection="1">
      <alignment horizontal="general" vertical="bottom"/>
      <protection locked="1" hidden="0"/>
    </xf>
    <xf numFmtId="164" fontId="3" fillId="0" borderId="2" xfId="0" applyNumberFormat="1" applyFont="1" applyFill="1" applyBorder="1" applyAlignment="1" applyProtection="1">
      <alignment horizontal="general" vertical="bottom"/>
      <protection locked="1" hidden="0"/>
    </xf>
    <xf numFmtId="165" fontId="1" fillId="3" borderId="1" xfId="0" applyNumberFormat="1" applyFont="1" applyFill="1" applyBorder="1" applyAlignment="1" applyProtection="1">
      <alignment horizontal="general" vertical="bottom"/>
      <protection locked="1" hidden="0"/>
    </xf>
    <xf numFmtId="0" fontId="4" fillId="2" borderId="1" xfId="0" applyFont="1" applyFill="1" applyBorder="1" applyAlignment="1" applyProtection="1">
      <alignment horizontal="general" vertical="bottom"/>
      <protection locked="1" hidden="0"/>
    </xf>
    <xf numFmtId="164" fontId="5" fillId="0" borderId="0" xfId="0" applyNumberFormat="1" applyFont="1" applyFill="1" applyAlignment="1" applyProtection="1">
      <alignment horizontal="general" vertical="bottom"/>
      <protection locked="1" hidden="0"/>
    </xf>
    <xf numFmtId="166" fontId="3" fillId="0" borderId="2" xfId="0" applyNumberFormat="1" applyFont="1" applyFill="1" applyBorder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 wrapText="1"/>
      <protection locked="1" hidden="0"/>
    </xf>
    <xf numFmtId="164" fontId="1" fillId="0" borderId="0" xfId="0" applyNumberFormat="1" applyFont="1" applyFill="1" applyAlignment="1" applyProtection="1">
      <alignment horizontal="general" vertical="bottom" wrapText="1"/>
      <protection locked="1" hidden="0"/>
    </xf>
    <xf numFmtId="165" fontId="6" fillId="0" borderId="0" xfId="0" applyNumberFormat="1" applyFont="1" applyFill="1" applyAlignment="1" applyProtection="1">
      <alignment horizontal="general" vertical="bottom"/>
      <protection locked="1" hidden="0"/>
    </xf>
    <xf numFmtId="165" fontId="5" fillId="0" borderId="0" xfId="0" applyNumberFormat="1" applyFont="1" applyFill="1" applyAlignment="1" applyProtection="1">
      <alignment horizontal="general" vertical="bottom" wrapText="1"/>
      <protection locked="1" hidden="0"/>
    </xf>
    <xf numFmtId="167" fontId="6" fillId="0" borderId="0" xfId="0" applyNumberFormat="1" applyFont="1" applyFill="1" applyAlignment="1" applyProtection="1">
      <alignment horizontal="general" vertical="bottom"/>
      <protection locked="1" hidden="0"/>
    </xf>
    <xf numFmtId="0" fontId="2" fillId="0" borderId="2" xfId="0" applyFont="1" applyFill="1" applyBorder="1" applyAlignment="1" applyProtection="1">
      <alignment horizontal="general" vertical="bottom"/>
      <protection locked="1" hidden="0"/>
    </xf>
    <xf numFmtId="164" fontId="7" fillId="0" borderId="2" xfId="0" applyNumberFormat="1" applyFont="1" applyFill="1" applyBorder="1" applyAlignment="1" applyProtection="1">
      <alignment horizontal="general" vertical="bottom"/>
      <protection locked="1" hidden="0"/>
    </xf>
    <xf numFmtId="164" fontId="6" fillId="0" borderId="0" xfId="0" applyNumberFormat="1" applyFont="1" applyFill="1" applyAlignment="1" applyProtection="1">
      <alignment horizontal="general" vertical="bottom"/>
      <protection locked="1" hidden="0"/>
    </xf>
    <xf numFmtId="0" fontId="2" fillId="2" borderId="3" xfId="0" applyFont="1" applyFill="1" applyBorder="1" applyAlignment="1" applyProtection="1">
      <alignment horizontal="general" vertical="bottom"/>
      <protection locked="1" hidden="0"/>
    </xf>
    <xf numFmtId="164" fontId="3" fillId="4" borderId="2" xfId="0" applyNumberFormat="1" applyFont="1" applyFill="1" applyBorder="1" applyAlignment="1" applyProtection="1">
      <alignment horizontal="general" vertical="bottom"/>
      <protection locked="1" hidden="0"/>
    </xf>
    <xf numFmtId="165" fontId="5" fillId="0" borderId="0" xfId="0" applyNumberFormat="1" applyFont="1" applyFill="1" applyAlignment="1" applyProtection="1">
      <alignment horizontal="general" vertical="bottom"/>
      <protection locked="1" hidden="0"/>
    </xf>
    <xf numFmtId="164" fontId="6" fillId="4" borderId="0" xfId="0" applyNumberFormat="1" applyFont="1" applyFill="1" applyAlignment="1" applyProtection="1">
      <alignment horizontal="general" vertical="bottom"/>
      <protection locked="1" hidden="0"/>
    </xf>
    <xf numFmtId="167" fontId="1" fillId="0" borderId="0" xfId="0" applyNumberFormat="1" applyFont="1" applyFill="1" applyAlignment="1" applyProtection="1">
      <alignment horizontal="general" vertical="bottom"/>
      <protection locked="1" hidden="0"/>
    </xf>
    <xf numFmtId="165" fontId="7" fillId="0" borderId="2" xfId="0" applyNumberFormat="1" applyFont="1" applyFill="1" applyBorder="1" applyAlignment="1" applyProtection="1">
      <alignment horizontal="general" vertical="bottom"/>
      <protection locked="1" hidden="0"/>
    </xf>
    <xf numFmtId="166" fontId="6" fillId="0" borderId="0" xfId="0" applyNumberFormat="1" applyFont="1" applyFill="1" applyAlignment="1" applyProtection="1">
      <alignment horizontal="general" vertical="bottom"/>
      <protection locked="1" hidden="0"/>
    </xf>
    <xf numFmtId="164" fontId="2" fillId="5" borderId="2" xfId="0" applyNumberFormat="1" applyFont="1" applyFill="1" applyBorder="1" applyAlignment="1" applyProtection="1">
      <alignment horizontal="general" vertical="bottom"/>
      <protection locked="1" hidden="0"/>
    </xf>
    <xf numFmtId="166" fontId="1" fillId="0" borderId="0" xfId="0" applyNumberFormat="1" applyFont="1" applyFill="1" applyAlignment="1" applyProtection="1">
      <alignment horizontal="general" vertical="bottom"/>
      <protection locked="1" hidden="0"/>
    </xf>
    <xf numFmtId="164" fontId="2" fillId="2" borderId="3" xfId="0" applyNumberFormat="1" applyFont="1" applyFill="1" applyBorder="1" applyAlignment="1" applyProtection="1">
      <alignment horizontal="general" vertical="bottom"/>
      <protection locked="1" hidden="0"/>
    </xf>
    <xf numFmtId="167" fontId="5" fillId="0" borderId="0" xfId="0" applyNumberFormat="1" applyFont="1" applyFill="1" applyAlignment="1" applyProtection="1">
      <alignment horizontal="general" vertical="bottom"/>
      <protection locked="1" hidden="0"/>
    </xf>
    <xf numFmtId="166" fontId="2" fillId="0" borderId="2" xfId="0" applyNumberFormat="1" applyFont="1" applyFill="1" applyBorder="1" applyAlignment="1" applyProtection="1">
      <alignment horizontal="general" vertical="bottom"/>
      <protection locked="1" hidden="0"/>
    </xf>
    <xf numFmtId="166" fontId="7" fillId="0" borderId="2" xfId="0" applyNumberFormat="1" applyFont="1" applyFill="1" applyBorder="1" applyAlignment="1" applyProtection="1">
      <alignment horizontal="general" vertical="bottom"/>
      <protection locked="1" hidden="0"/>
    </xf>
    <xf numFmtId="167" fontId="7" fillId="0" borderId="0" xfId="0" applyNumberFormat="1" applyFont="1" applyFill="1" applyAlignment="1" applyProtection="1">
      <alignment horizontal="general" vertical="bottom"/>
      <protection locked="1" hidden="0"/>
    </xf>
    <xf numFmtId="166" fontId="5" fillId="0" borderId="0" xfId="0" applyNumberFormat="1" applyFont="1" applyFill="1" applyAlignment="1" applyProtection="1">
      <alignment horizontal="general" vertical="bottom"/>
      <protection locked="1" hidden="0"/>
    </xf>
    <xf numFmtId="166" fontId="3" fillId="4" borderId="2" xfId="0" applyNumberFormat="1" applyFont="1" applyFill="1" applyBorder="1" applyAlignment="1" applyProtection="1">
      <alignment horizontal="general" vertical="bottom"/>
      <protection locked="1" hidden="0"/>
    </xf>
    <xf numFmtId="167" fontId="6" fillId="4" borderId="0" xfId="0" applyNumberFormat="1" applyFont="1" applyFill="1" applyAlignment="1" applyProtection="1">
      <alignment horizontal="general" vertical="bottom"/>
      <protection locked="1" hidden="0"/>
    </xf>
    <xf numFmtId="164" fontId="5" fillId="4" borderId="0" xfId="0" applyNumberFormat="1" applyFont="1" applyFill="1" applyAlignment="1" applyProtection="1">
      <alignment horizontal="general" vertical="bottom"/>
      <protection locked="1" hidden="0"/>
    </xf>
    <xf numFmtId="166" fontId="6" fillId="4" borderId="0" xfId="0" applyNumberFormat="1" applyFont="1" applyFill="1" applyAlignment="1" applyProtection="1">
      <alignment horizontal="general" vertical="bottom"/>
      <protection locked="1" hidden="0"/>
    </xf>
    <xf numFmtId="166" fontId="2" fillId="4" borderId="2" xfId="0" applyNumberFormat="1" applyFont="1" applyFill="1" applyBorder="1" applyAlignment="1" applyProtection="1">
      <alignment horizontal="general" vertical="bottom"/>
      <protection locked="1" hidden="0"/>
    </xf>
    <xf numFmtId="164" fontId="3" fillId="5" borderId="2" xfId="0" applyNumberFormat="1" applyFont="1" applyFill="1" applyBorder="1" applyAlignment="1" applyProtection="1">
      <alignment horizontal="general" vertical="bottom"/>
      <protection locked="1" hidden="0"/>
    </xf>
    <xf numFmtId="0" fontId="2" fillId="0" borderId="4" xfId="0" applyFont="1" applyFill="1" applyBorder="1" applyAlignment="1" applyProtection="1">
      <alignment horizontal="general" vertical="bottom"/>
      <protection locked="1" hidden="0"/>
    </xf>
    <xf numFmtId="164" fontId="2" fillId="0" borderId="4" xfId="0" applyNumberFormat="1" applyFont="1" applyFill="1" applyBorder="1" applyAlignment="1" applyProtection="1">
      <alignment horizontal="general" vertical="bottom"/>
      <protection locked="1" hidden="0"/>
    </xf>
    <xf numFmtId="167" fontId="8" fillId="0" borderId="0" xfId="0" applyNumberFormat="1" applyFont="1" applyFill="1" applyAlignment="1" applyProtection="1">
      <alignment horizontal="general" vertical="bottom"/>
      <protection locked="1" hidden="0"/>
    </xf>
    <xf numFmtId="164" fontId="2" fillId="4" borderId="4" xfId="0" applyNumberFormat="1" applyFont="1" applyFill="1" applyBorder="1" applyAlignment="1" applyProtection="1">
      <alignment horizontal="general" vertical="bottom"/>
      <protection locked="1" hidden="0"/>
    </xf>
    <xf numFmtId="164" fontId="8" fillId="0" borderId="0" xfId="0" applyNumberFormat="1" applyFont="1" applyFill="1" applyAlignment="1" applyProtection="1">
      <alignment horizontal="general" vertical="bottom"/>
      <protection locked="1" hidden="0"/>
    </xf>
    <xf numFmtId="166" fontId="2" fillId="4" borderId="4" xfId="0" applyNumberFormat="1" applyFont="1" applyFill="1" applyBorder="1" applyAlignment="1" applyProtection="1">
      <alignment horizontal="general" vertical="bottom"/>
      <protection locked="1" hidden="0"/>
    </xf>
    <xf numFmtId="164" fontId="3" fillId="0" borderId="4" xfId="0" applyNumberFormat="1" applyFont="1" applyFill="1" applyBorder="1" applyAlignment="1" applyProtection="1">
      <alignment horizontal="general" vertical="bottom"/>
      <protection locked="1" hidden="0"/>
    </xf>
    <xf numFmtId="167" fontId="9" fillId="4" borderId="0" xfId="0" applyNumberFormat="1" applyFont="1" applyFill="1" applyAlignment="1" applyProtection="1">
      <alignment horizontal="general" vertical="bottom"/>
      <protection locked="1" hidden="0"/>
    </xf>
    <xf numFmtId="166" fontId="2" fillId="0" borderId="4" xfId="0" applyNumberFormat="1" applyFont="1" applyFill="1" applyBorder="1" applyAlignment="1" applyProtection="1">
      <alignment horizontal="general" vertical="bottom"/>
      <protection locked="1" hidden="0"/>
    </xf>
    <xf numFmtId="164" fontId="10" fillId="0" borderId="0" xfId="0" applyNumberFormat="1" applyFont="1" applyFill="1" applyAlignment="1" applyProtection="1">
      <alignment horizontal="general" vertical="bottom"/>
      <protection locked="1" hidden="0"/>
    </xf>
    <xf numFmtId="167" fontId="8" fillId="4" borderId="0" xfId="0" applyNumberFormat="1" applyFont="1" applyFill="1" applyAlignment="1" applyProtection="1">
      <alignment horizontal="general" vertical="bottom"/>
      <protection locked="1" hidden="0"/>
    </xf>
    <xf numFmtId="167" fontId="11" fillId="0" borderId="0" xfId="0" applyNumberFormat="1" applyFont="1" applyFill="1" applyAlignment="1" applyProtection="1">
      <alignment horizontal="general" vertical="bottom"/>
      <protection locked="1" hidden="0"/>
    </xf>
    <xf numFmtId="0" fontId="10" fillId="4" borderId="0" xfId="0" applyFont="1" applyFill="1" applyAlignment="1" applyProtection="1">
      <alignment horizontal="general" vertical="bottom"/>
      <protection locked="1" hidden="0"/>
    </xf>
    <xf numFmtId="167" fontId="11" fillId="4" borderId="0" xfId="0" applyNumberFormat="1" applyFont="1" applyFill="1" applyAlignment="1" applyProtection="1">
      <alignment horizontal="general" vertical="bottom"/>
      <protection locked="1" hidden="0"/>
    </xf>
    <xf numFmtId="164" fontId="10" fillId="4" borderId="0" xfId="0" applyNumberFormat="1" applyFont="1" applyFill="1" applyAlignment="1" applyProtection="1">
      <alignment horizontal="general" vertical="bottom"/>
      <protection locked="1" hidden="0"/>
    </xf>
    <xf numFmtId="166" fontId="1" fillId="4" borderId="0" xfId="0" applyNumberFormat="1" applyFont="1" applyFill="1" applyAlignment="1" applyProtection="1">
      <alignment horizontal="general" vertical="bottom"/>
      <protection locked="1" hidden="0"/>
    </xf>
    <xf numFmtId="164" fontId="3" fillId="4" borderId="4" xfId="0" applyNumberFormat="1" applyFont="1" applyFill="1" applyBorder="1" applyAlignment="1" applyProtection="1">
      <alignment horizontal="general" vertical="bottom"/>
      <protection locked="1" hidden="0"/>
    </xf>
    <xf numFmtId="168" fontId="5" fillId="0" borderId="0" xfId="0" applyNumberFormat="1" applyFont="1" applyFill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general" vertical="bottom"/>
      <protection locked="1" hidden="0"/>
    </xf>
    <xf numFmtId="168" fontId="2" fillId="0" borderId="2" xfId="0" applyNumberFormat="1" applyFont="1" applyFill="1" applyBorder="1" applyAlignment="1" applyProtection="1">
      <alignment horizontal="general" vertical="bottom"/>
      <protection locked="1" hidden="0"/>
    </xf>
    <xf numFmtId="168" fontId="5" fillId="4" borderId="0" xfId="0" applyNumberFormat="1" applyFont="1" applyFill="1" applyAlignment="1" applyProtection="1">
      <alignment horizontal="general" vertical="bottom"/>
      <protection locked="1" hidden="0"/>
    </xf>
    <xf numFmtId="0" fontId="5" fillId="0" borderId="0" xfId="0" applyFont="1" applyFill="1" applyAlignment="1" applyProtection="1">
      <alignment horizontal="general" vertical="bottom"/>
      <protection locked="1" hidden="0"/>
    </xf>
    <xf numFmtId="168" fontId="1" fillId="0" borderId="0" xfId="0" applyNumberFormat="1" applyFont="1" applyFill="1" applyAlignment="1" applyProtection="1">
      <alignment horizontal="general" vertical="bottom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theme" Target="theme/theme1.xml"/><Relationship Id="rId1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0</xdr:row>
      <xdr:rowOff>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ec.gov/Archives/edgar/data/1803599/000180359925000143/exhibit991q32025.htm" TargetMode="External"/><Relationship Id="rId2" Type="http://schemas.openxmlformats.org/officeDocument/2006/relationships/hyperlink" Target="https://www.sec.gov/Archives/edgar/data/1803599/000180359926000003/exhibit991q42025.htm" TargetMode="External"/><Relationship Id="rId3" Type="http://schemas.openxmlformats.org/officeDocument/2006/relationships/hyperlink" Target="https://www.sec.gov/Archives/edgar/data/1803599/000180359926000084/exhibit991q12026.htm" TargetMode="External"/><Relationship Id="rId4" Type="http://schemas.openxmlformats.org/officeDocument/2006/relationships/hyperlink" Target="https://www.sec.gov/Archives/edgar/data/1803599/000180359926000133/exhibit991q22026.htm" TargetMode="External"/><Relationship Id="rId5" Type="http://schemas.openxmlformats.org/officeDocument/2006/relationships/hyperlink" Target="https://www.sec.gov/Archives/edgar/data/1803599/000180359925000147/cnxc-20250831.htm" TargetMode="External"/><Relationship Id="rId6" Type="http://schemas.openxmlformats.org/officeDocument/2006/relationships/hyperlink" Target="https://www.sec.gov/Archives/edgar/data/1803599/000180359926000122/cnxc-20260228.htm" TargetMode="External"/><Relationship Id="rId7" Type="http://schemas.openxmlformats.org/officeDocument/2006/relationships/hyperlink" Target="https://www.sec.gov/Archives/edgar/data/1803599/000180359926000136/cnxc-20260531.htm" TargetMode="External"/><Relationship Id="rId8" Type="http://schemas.openxmlformats.org/officeDocument/2006/relationships/hyperlink" Target="https://www.sec.gov/Archives/edgar/data/1803599/000180359926000027/R9.htm" TargetMode="External"/><Relationship Id="rId9" Type="http://schemas.openxmlformats.org/officeDocument/2006/relationships/hyperlink" Target="https://www.sec.gov/Archives/edgar/data/1803599/000180359926000027/cnxc-20251130.htm" TargetMode="External"/><Relationship Id="rId10" Type="http://schemas.openxmlformats.org/officeDocument/2006/relationships/hyperlink" Target="https://app.edgar.tools/companies/CNXC/disclosures/revenue" TargetMode="External"/><Relationship Id="rId11" Type="http://schemas.openxmlformats.org/officeDocument/2006/relationships/hyperlink" Target="https://beta.earningswhispers.com/transcript/CNXC/Q22026" TargetMode="External"/><Relationship Id="rId12" Type="http://schemas.openxmlformats.org/officeDocument/2006/relationships/hyperlink" Target="https://news.alphastreet.com/concentrix-q3-2026-earnings-preview-september-29-street-expects-2-81-eps/amp/" TargetMode="External"/><Relationship Id="rId13" Type="http://schemas.openxmlformats.org/officeDocument/2006/relationships/hyperlink" Target="https://www.tradingview.com/news/tradingview:b844eab313a8b:0-cnxc-q3-26-earnings-revenue-estimate-is-2-48b-usd/" TargetMode="External"/><Relationship Id="rId14" Type="http://schemas.openxmlformats.org/officeDocument/2006/relationships/hyperlink" Target="https://ir.taskus.com/news-releases/news-release-details/taskus-announces-fiscal-second-quarter-2026-results" TargetMode="External"/><Relationship Id="rId15" Type="http://schemas.openxmlformats.org/officeDocument/2006/relationships/hyperlink" Target="https://investors.ttec.com/news-releases/news-release-details/ttec-announces-second-quarter-2026-financial-results" TargetMode="External"/><Relationship Id="rId16" Type="http://schemas.openxmlformats.org/officeDocument/2006/relationships/hyperlink" Target="https://www.concentrix.com/about/news/press-release/concentrix-strengthens-enterprise-risk-compliance-capabilities-acquisition-castlehil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35"/>
  <sheetViews>
    <sheetView showGridLines="0" workbookViewId="0">
      <pane xSplit="2" ySplit="8" topLeftCell="C9" activePane="bottomRight" state="frozen"/>
    </sheetView>
  </sheetViews>
  <sheetFormatPr defaultRowHeight="15"/>
  <cols>
    <col min="1" max="1" width="10" customWidth="1"/>
    <col min="2" max="2" width="36" customWidth="1"/>
    <col min="3" max="8" width="14" customWidth="1"/>
    <col min="10" max="10" width="85" customWidth="1"/>
  </cols>
  <sheetData>
    <row r="2">
      <c r="B2" s="10" t="s">
        <v>0</v>
      </c>
      <c r="C2" s="2"/>
      <c r="D2" s="2"/>
      <c r="E2" s="2"/>
      <c r="F2" s="2"/>
      <c r="G2" s="2"/>
      <c r="H2" s="2"/>
      <c r="I2" s="1"/>
      <c r="J2" s="1"/>
    </row>
    <row r="3">
      <c r="B3" s="10" t="s">
        <v>1</v>
      </c>
      <c r="C3" s="2"/>
      <c r="D3" s="2"/>
      <c r="E3" s="2"/>
      <c r="F3" s="2"/>
      <c r="G3" s="2"/>
      <c r="H3" s="2"/>
      <c r="I3" s="1"/>
      <c r="J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B5" s="1"/>
      <c r="C5" s="1"/>
      <c r="D5" s="1"/>
      <c r="E5" s="1"/>
      <c r="F5" s="1"/>
      <c r="G5" s="1"/>
      <c r="H5" s="1"/>
      <c r="I5" s="1"/>
      <c r="J5" s="1"/>
    </row>
    <row r="6"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1"/>
      <c r="J6" s="1"/>
    </row>
    <row r="7">
      <c r="B7" s="4" t="s">
        <v>10</v>
      </c>
      <c r="C7" s="9">
        <v>45900</v>
      </c>
      <c r="D7" s="9">
        <v>45991</v>
      </c>
      <c r="E7" s="9">
        <v>45991</v>
      </c>
      <c r="F7" s="9">
        <v>46081</v>
      </c>
      <c r="G7" s="9">
        <v>46173</v>
      </c>
      <c r="H7" s="9">
        <v>46265</v>
      </c>
      <c r="I7" s="1"/>
      <c r="J7" s="1"/>
    </row>
    <row r="8">
      <c r="B8" s="4" t="s">
        <v>11</v>
      </c>
      <c r="C8" s="4">
        <v>92</v>
      </c>
      <c r="D8" s="4">
        <v>91</v>
      </c>
      <c r="E8" s="4">
        <v>365</v>
      </c>
      <c r="F8" s="4">
        <v>90</v>
      </c>
      <c r="G8" s="4">
        <v>92</v>
      </c>
      <c r="H8" s="4">
        <v>92</v>
      </c>
      <c r="I8" s="1"/>
      <c r="J8" s="1"/>
    </row>
    <row r="9">
      <c r="B9" s="1"/>
      <c r="C9" s="3"/>
      <c r="D9" s="3"/>
      <c r="E9" s="3"/>
      <c r="F9" s="3"/>
      <c r="G9" s="3"/>
      <c r="H9" s="5"/>
      <c r="I9" s="1"/>
      <c r="J9" s="1"/>
    </row>
    <row r="10">
      <c r="B10" s="1" t="s">
        <v>12</v>
      </c>
      <c r="C10" s="3"/>
      <c r="D10" s="3"/>
      <c r="E10" s="3"/>
      <c r="F10" s="3"/>
      <c r="G10" s="3"/>
      <c r="H10" s="5"/>
      <c r="I10" s="1"/>
      <c r="J10" s="1"/>
    </row>
    <row r="11">
      <c r="B11" s="21" t="s">
        <v>13</v>
      </c>
      <c r="C11" s="30" t="s">
        <v>14</v>
      </c>
      <c r="D11" s="30" t="s">
        <v>15</v>
      </c>
      <c r="E11" s="30" t="s">
        <v>16</v>
      </c>
      <c r="F11" s="30" t="s">
        <v>17</v>
      </c>
      <c r="G11" s="3"/>
      <c r="H11" s="5"/>
      <c r="I11" s="1"/>
      <c r="J11" s="1"/>
    </row>
    <row r="12">
      <c r="B12" s="18" t="s">
        <v>18</v>
      </c>
      <c r="C12" s="8">
        <f>'Revenue summary'!H76</f>
        <v>2472</v>
      </c>
      <c r="D12" s="8">
        <f>Inputs!C53</f>
        <v>2477.44</v>
      </c>
      <c r="E12" s="6">
        <f>C12-D12</f>
        <v>-5.440000000000055</v>
      </c>
      <c r="F12" s="8">
        <f>Guidance!G11</f>
        <v>2477.5</v>
      </c>
      <c r="G12" s="6"/>
      <c r="H12" s="7"/>
      <c r="I12" s="1"/>
      <c r="J12" s="1"/>
    </row>
    <row r="13">
      <c r="B13" s="18" t="s">
        <v>19</v>
      </c>
      <c r="C13" s="8">
        <f>'Income Statement'!H51</f>
        <v>164.57699999999994</v>
      </c>
      <c r="D13" s="8">
        <f>Inputs!C63</f>
        <v>164.65</v>
      </c>
      <c r="E13" s="6">
        <f>C13-D13</f>
        <v>-0.07300000000006435</v>
      </c>
      <c r="F13" s="8">
        <f>Guidance!G12*Guidance!G17</f>
        <v>165.039</v>
      </c>
      <c r="G13" s="6"/>
      <c r="H13" s="7"/>
      <c r="I13" s="1"/>
      <c r="J13" s="1" t="s">
        <v>20</v>
      </c>
    </row>
    <row r="14">
      <c r="B14" s="18" t="s">
        <v>21</v>
      </c>
      <c r="C14" s="12">
        <f>'Income Statement'!H52</f>
        <v>2.7024137931034473</v>
      </c>
      <c r="D14" s="12">
        <f>Inputs!C36</f>
        <v>2.81</v>
      </c>
      <c r="E14" s="32">
        <f>C14-D14</f>
        <v>-0.10758620689655274</v>
      </c>
      <c r="F14" s="12">
        <f>Guidance!G12</f>
        <v>2.71</v>
      </c>
      <c r="G14" s="6"/>
      <c r="H14" s="7"/>
      <c r="I14" s="1"/>
      <c r="J14" s="1"/>
    </row>
    <row r="15">
      <c r="B15" s="1" t="s">
        <v>22</v>
      </c>
      <c r="C15" s="27">
        <f>'Income Statement'!H33</f>
        <v>0.6776551724137926</v>
      </c>
      <c r="D15" s="27">
        <f>Inputs!C45</f>
        <v>0.81</v>
      </c>
      <c r="E15" s="29">
        <f>C15-D15</f>
        <v>-0.13234482758620747</v>
      </c>
      <c r="F15" s="3" t="s">
        <v>23</v>
      </c>
      <c r="G15" s="3"/>
      <c r="H15" s="5"/>
      <c r="I15" s="1"/>
      <c r="J15" s="1" t="s">
        <v>24</v>
      </c>
    </row>
    <row r="16">
      <c r="B16" s="18" t="s">
        <v>25</v>
      </c>
      <c r="C16" s="41" t="str">
        <f>IF(AND('Revenue summary'!H83,ABS('Revenue summary'!H79)&lt;0.000001,ABS('Balance Sheet'!H33)&lt;0.000001,ABS('Cash Flow Statement'!H28)&lt;0.000001,ABS(Geo!E19)&lt;0.000001,ABS('Income Statement'!H57)&lt;0.000001,ABS('Income Statement'!H58)&lt;0.000001,ABS('Balance Sheet'!C36)&lt;0.000001,ABS('Balance Sheet'!D36)&lt;0.000001,ABS('Balance Sheet'!E36)&lt;0.000001,ABS('Balance Sheet'!F36)&lt;0.000001,ABS('Balance Sheet'!G36)&lt;0.000001),"PASS","FAIL")</f>
        <v>PASS</v>
      </c>
      <c r="D16" s="28"/>
      <c r="E16" s="6"/>
      <c r="F16" s="6"/>
      <c r="G16" s="6"/>
      <c r="H16" s="7"/>
      <c r="I16" s="1"/>
      <c r="J16" s="1"/>
    </row>
    <row r="17">
      <c r="B17" s="1"/>
      <c r="C17" s="3"/>
      <c r="D17" s="3"/>
      <c r="E17" s="3"/>
      <c r="F17" s="3"/>
      <c r="G17" s="3"/>
      <c r="H17" s="5"/>
      <c r="I17" s="1"/>
      <c r="J17" s="1"/>
    </row>
    <row r="18">
      <c r="B18" s="1" t="s">
        <v>26</v>
      </c>
      <c r="C18" s="34">
        <v>0.32</v>
      </c>
      <c r="D18" s="3"/>
      <c r="E18" s="3"/>
      <c r="F18" s="3"/>
      <c r="G18" s="3"/>
      <c r="H18" s="5"/>
      <c r="I18" s="1"/>
      <c r="J18" s="1"/>
    </row>
    <row r="19">
      <c r="B19" s="1" t="s">
        <v>27</v>
      </c>
      <c r="C19" s="11" t="s">
        <v>28</v>
      </c>
      <c r="D19" s="3"/>
      <c r="E19" s="3"/>
      <c r="F19" s="3"/>
      <c r="G19" s="3"/>
      <c r="H19" s="5"/>
      <c r="I19" s="1"/>
      <c r="J19" s="1"/>
    </row>
    <row r="20">
      <c r="B20" s="1"/>
      <c r="C20" s="3"/>
      <c r="D20" s="3"/>
      <c r="E20" s="3"/>
      <c r="F20" s="3"/>
      <c r="G20" s="3"/>
      <c r="H20" s="5"/>
      <c r="I20" s="1"/>
      <c r="J20" s="1"/>
    </row>
    <row r="21">
      <c r="B21" s="1" t="s">
        <v>29</v>
      </c>
      <c r="C21" s="23">
        <v>46294</v>
      </c>
      <c r="D21" s="3"/>
      <c r="E21" s="3"/>
      <c r="F21" s="3"/>
      <c r="G21" s="3"/>
      <c r="H21" s="5"/>
      <c r="I21" s="1"/>
      <c r="J21" s="1"/>
    </row>
    <row r="22">
      <c r="B22" s="1" t="s">
        <v>30</v>
      </c>
      <c r="C22" s="11" t="s">
        <v>31</v>
      </c>
      <c r="D22" s="3"/>
      <c r="E22" s="3"/>
      <c r="F22" s="3"/>
      <c r="G22" s="3"/>
      <c r="H22" s="5"/>
      <c r="I22" s="1"/>
      <c r="J22" s="1"/>
    </row>
    <row r="23">
      <c r="B23" s="1" t="s">
        <v>32</v>
      </c>
      <c r="C23" s="3" t="s">
        <v>33</v>
      </c>
      <c r="D23" s="3"/>
      <c r="E23" s="3"/>
      <c r="F23" s="3"/>
      <c r="G23" s="3"/>
      <c r="H23" s="5"/>
      <c r="I23" s="1"/>
      <c r="J23" s="1"/>
    </row>
    <row r="24">
      <c r="B24" s="1" t="s">
        <v>34</v>
      </c>
      <c r="C24" s="15">
        <f>Inputs!C20</f>
        <v>46289</v>
      </c>
      <c r="D24" s="3"/>
      <c r="E24" s="3"/>
      <c r="F24" s="3"/>
      <c r="G24" s="3"/>
      <c r="H24" s="5"/>
      <c r="I24" s="1"/>
      <c r="J24" s="1"/>
    </row>
    <row r="25">
      <c r="B25" s="1" t="s">
        <v>35</v>
      </c>
      <c r="C25" s="3" t="s">
        <v>36</v>
      </c>
      <c r="D25" s="3"/>
      <c r="E25" s="3"/>
      <c r="F25" s="3"/>
      <c r="G25" s="3"/>
      <c r="H25" s="5"/>
      <c r="I25" s="1"/>
      <c r="J25" s="1"/>
    </row>
    <row r="26">
      <c r="B26" s="1"/>
      <c r="C26" s="3"/>
      <c r="D26" s="3"/>
      <c r="E26" s="3"/>
      <c r="F26" s="3"/>
      <c r="G26" s="3"/>
      <c r="H26" s="5"/>
      <c r="I26" s="1"/>
      <c r="J26" s="1"/>
    </row>
    <row r="27">
      <c r="B27" s="1"/>
      <c r="C27" s="3"/>
      <c r="D27" s="3"/>
      <c r="E27" s="3"/>
      <c r="F27" s="3"/>
      <c r="G27" s="3"/>
      <c r="H27" s="5"/>
      <c r="I27" s="1"/>
      <c r="J27" s="1" t="s">
        <v>37</v>
      </c>
    </row>
    <row r="28">
      <c r="B28" s="1"/>
      <c r="C28" s="3"/>
      <c r="D28" s="3"/>
      <c r="E28" s="3"/>
      <c r="F28" s="3"/>
      <c r="G28" s="3"/>
      <c r="H28" s="5"/>
      <c r="I28" s="1"/>
      <c r="J28" s="1" t="s">
        <v>38</v>
      </c>
    </row>
    <row r="29">
      <c r="B29" s="1"/>
      <c r="C29" s="3"/>
      <c r="D29" s="3"/>
      <c r="E29" s="3"/>
      <c r="F29" s="3"/>
      <c r="G29" s="3"/>
      <c r="H29" s="5"/>
      <c r="I29" s="1"/>
      <c r="J29" s="1"/>
    </row>
    <row r="30">
      <c r="B30" s="1"/>
      <c r="C30" s="3"/>
      <c r="D30" s="3"/>
      <c r="E30" s="3"/>
      <c r="F30" s="3"/>
      <c r="G30" s="3"/>
      <c r="H30" s="5"/>
      <c r="I30" s="1"/>
      <c r="J30" s="1"/>
    </row>
    <row r="31">
      <c r="B31" s="1"/>
      <c r="C31" s="3"/>
      <c r="D31" s="3"/>
      <c r="E31" s="3"/>
      <c r="F31" s="3"/>
      <c r="G31" s="3"/>
      <c r="H31" s="5"/>
      <c r="I31" s="1"/>
      <c r="J31" s="1"/>
    </row>
    <row r="32">
      <c r="B32" s="1"/>
      <c r="C32" s="3"/>
      <c r="D32" s="3"/>
      <c r="E32" s="3"/>
      <c r="F32" s="3"/>
      <c r="G32" s="3"/>
      <c r="H32" s="5"/>
      <c r="I32" s="1"/>
      <c r="J32" s="1"/>
    </row>
    <row r="33">
      <c r="B33" s="1"/>
      <c r="C33" s="3"/>
      <c r="D33" s="3"/>
      <c r="E33" s="3"/>
      <c r="F33" s="3"/>
      <c r="G33" s="3"/>
      <c r="H33" s="5"/>
      <c r="I33" s="1"/>
      <c r="J33" s="1"/>
    </row>
    <row r="34">
      <c r="B34" s="1"/>
      <c r="C34" s="3"/>
      <c r="D34" s="3"/>
      <c r="E34" s="3"/>
      <c r="F34" s="3"/>
      <c r="G34" s="3"/>
      <c r="H34" s="5"/>
      <c r="I34" s="1"/>
      <c r="J34" s="1"/>
    </row>
    <row r="35">
      <c r="B35" s="1"/>
      <c r="C35" s="3"/>
      <c r="D35" s="3"/>
      <c r="E35" s="3"/>
      <c r="F35" s="3"/>
      <c r="G35" s="3"/>
      <c r="H35" s="5"/>
      <c r="I35" s="1"/>
      <c r="J35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91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10" customWidth="1"/>
    <col min="2" max="2" width="36" customWidth="1"/>
    <col min="3" max="8" width="13" customWidth="1"/>
    <col min="10" max="10" width="86" customWidth="1"/>
  </cols>
  <sheetData>
    <row r="2">
      <c r="B2" s="10" t="s">
        <v>0</v>
      </c>
      <c r="C2" s="2"/>
      <c r="D2" s="2"/>
      <c r="E2" s="2"/>
      <c r="F2" s="2"/>
      <c r="G2" s="2"/>
      <c r="H2" s="2"/>
      <c r="I2" s="1"/>
      <c r="J2" s="1"/>
    </row>
    <row r="3">
      <c r="B3" s="10" t="s">
        <v>39</v>
      </c>
      <c r="C3" s="2"/>
      <c r="D3" s="2"/>
      <c r="E3" s="2"/>
      <c r="F3" s="2"/>
      <c r="G3" s="2"/>
      <c r="H3" s="2"/>
      <c r="I3" s="1"/>
      <c r="J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B5" s="1"/>
      <c r="C5" s="1"/>
      <c r="D5" s="1"/>
      <c r="E5" s="1"/>
      <c r="F5" s="1"/>
      <c r="G5" s="1"/>
      <c r="H5" s="1"/>
      <c r="I5" s="1"/>
      <c r="J5" s="1"/>
    </row>
    <row r="6"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1"/>
      <c r="J6" s="1"/>
    </row>
    <row r="7">
      <c r="B7" s="4" t="s">
        <v>10</v>
      </c>
      <c r="C7" s="9">
        <v>45900</v>
      </c>
      <c r="D7" s="9">
        <v>45991</v>
      </c>
      <c r="E7" s="9">
        <v>45991</v>
      </c>
      <c r="F7" s="9">
        <v>46081</v>
      </c>
      <c r="G7" s="9">
        <v>46173</v>
      </c>
      <c r="H7" s="9">
        <v>46265</v>
      </c>
      <c r="I7" s="1"/>
      <c r="J7" s="1"/>
    </row>
    <row r="8">
      <c r="B8" s="4" t="s">
        <v>11</v>
      </c>
      <c r="C8" s="4">
        <v>92</v>
      </c>
      <c r="D8" s="4">
        <v>91</v>
      </c>
      <c r="E8" s="4">
        <v>365</v>
      </c>
      <c r="F8" s="4">
        <v>90</v>
      </c>
      <c r="G8" s="4">
        <v>92</v>
      </c>
      <c r="H8" s="4">
        <v>92</v>
      </c>
      <c r="I8" s="1"/>
      <c r="J8" s="1"/>
    </row>
    <row r="9">
      <c r="B9" s="1"/>
      <c r="C9" s="3"/>
      <c r="D9" s="3"/>
      <c r="E9" s="3"/>
      <c r="F9" s="3"/>
      <c r="G9" s="3"/>
      <c r="H9" s="5"/>
      <c r="I9" s="1"/>
      <c r="J9" s="1"/>
    </row>
    <row r="10">
      <c r="B10" s="18" t="s">
        <v>40</v>
      </c>
      <c r="C10" s="19">
        <v>670.573</v>
      </c>
      <c r="D10" s="19">
        <v>675.088</v>
      </c>
      <c r="E10" s="19">
        <v>2666.072</v>
      </c>
      <c r="F10" s="19">
        <v>635.089</v>
      </c>
      <c r="G10" s="19">
        <v>624.244</v>
      </c>
      <c r="H10" s="7">
        <f>H20*(1+H16)</f>
        <v>620</v>
      </c>
      <c r="I10" s="1"/>
      <c r="J10" s="1"/>
    </row>
    <row r="11">
      <c r="B11" s="44" t="s">
        <v>41</v>
      </c>
      <c r="C11" s="44">
        <f>C10/C76</f>
        <v>0.2700381314348558</v>
      </c>
      <c r="D11" s="44">
        <f>D10/D76</f>
        <v>0.26443706728556454</v>
      </c>
      <c r="E11" s="44">
        <f>E10/E76</f>
        <v>0.271334636233635</v>
      </c>
      <c r="F11" s="44">
        <f>F10/F76</f>
        <v>0.2539958750451429</v>
      </c>
      <c r="G11" s="44">
        <f>G10/G76</f>
        <v>0.25350288104681756</v>
      </c>
      <c r="H11" s="52">
        <f>H10/H76</f>
        <v>0.25080906148867316</v>
      </c>
      <c r="I11" s="1"/>
      <c r="J11" s="1"/>
    </row>
    <row r="12">
      <c r="B12" s="46" t="s">
        <v>42</v>
      </c>
      <c r="C12" s="46"/>
      <c r="D12" s="46">
        <f>(D11-C11)*10000</f>
        <v>-56.01064149291235</v>
      </c>
      <c r="E12" s="46"/>
      <c r="F12" s="46">
        <f>(F11-D11)*10000</f>
        <v>-104.41192240421616</v>
      </c>
      <c r="G12" s="46">
        <f>(G11-F11)*10000</f>
        <v>-4.9299399832536395</v>
      </c>
      <c r="H12" s="46">
        <f>(H11-G11)*10000</f>
        <v>-26.938195581444056</v>
      </c>
    </row>
    <row r="13">
      <c r="B13" s="44" t="s">
        <v>43</v>
      </c>
      <c r="C13" s="44" t="s">
        <v>44</v>
      </c>
      <c r="D13" s="44" t="s">
        <v>44</v>
      </c>
      <c r="E13" s="44" t="s">
        <v>44</v>
      </c>
      <c r="F13" s="44" t="s">
        <v>44</v>
      </c>
      <c r="G13" s="44" t="s">
        <v>44</v>
      </c>
      <c r="H13" s="49">
        <v>-0.06843082179115056</v>
      </c>
      <c r="I13" s="1"/>
      <c r="J13" s="1" t="s">
        <v>45</v>
      </c>
    </row>
    <row r="14">
      <c r="B14" s="44" t="s">
        <v>46</v>
      </c>
      <c r="C14" s="53" t="s">
        <v>44</v>
      </c>
      <c r="D14" s="53" t="s">
        <v>44</v>
      </c>
      <c r="E14" s="53" t="s">
        <v>44</v>
      </c>
      <c r="F14" s="53" t="s">
        <v>44</v>
      </c>
      <c r="G14" s="53" t="s">
        <v>44</v>
      </c>
      <c r="H14" s="55">
        <f>Inputs!$C$98</f>
        <v>0</v>
      </c>
      <c r="I14" s="1"/>
      <c r="J14" s="1"/>
    </row>
    <row r="15">
      <c r="B15" s="44" t="s">
        <v>47</v>
      </c>
      <c r="C15" s="53" t="s">
        <v>44</v>
      </c>
      <c r="D15" s="53" t="s">
        <v>44</v>
      </c>
      <c r="E15" s="53" t="s">
        <v>44</v>
      </c>
      <c r="F15" s="53" t="s">
        <v>44</v>
      </c>
      <c r="G15" s="53" t="s">
        <v>44</v>
      </c>
      <c r="H15" s="55">
        <f>Guidance!G15</f>
        <v>-0.0075</v>
      </c>
      <c r="I15" s="1"/>
      <c r="J15" s="1"/>
    </row>
    <row r="16">
      <c r="B16" s="44" t="s">
        <v>48</v>
      </c>
      <c r="C16" s="44">
        <f>C10/C20-1</f>
        <v>0.008639815651844351</v>
      </c>
      <c r="D16" s="44">
        <f>D10/D20-1</f>
        <v>-0.01567856106590304</v>
      </c>
      <c r="E16" s="44">
        <f>E10/E20-1</f>
        <v>-0.00297976096094299</v>
      </c>
      <c r="F16" s="44">
        <f>F10/F20-1</f>
        <v>-0.03436715058112305</v>
      </c>
      <c r="G16" s="44">
        <f>G10/G20-1</f>
        <v>-0.058056280263580784</v>
      </c>
      <c r="H16" s="52">
        <f>(1+H13)*(1+H14)*(1+H15)-1</f>
        <v>-0.07541759062771691</v>
      </c>
      <c r="I16" s="1"/>
      <c r="J16" s="1"/>
    </row>
    <row r="17">
      <c r="B17" s="44" t="s">
        <v>49</v>
      </c>
      <c r="C17" s="44"/>
      <c r="D17" s="44">
        <f>D10/C10-1</f>
        <v>0.006733047706961148</v>
      </c>
      <c r="E17" s="44"/>
      <c r="F17" s="44">
        <f>F10/D10-1</f>
        <v>-0.059250053326381</v>
      </c>
      <c r="G17" s="44">
        <f>G10/F10-1</f>
        <v>-0.01707634677974268</v>
      </c>
      <c r="H17" s="52">
        <f>H10/G10-1</f>
        <v>-0.006798623615124955</v>
      </c>
      <c r="I17" s="1"/>
      <c r="J17" s="1"/>
    </row>
    <row r="18">
      <c r="B18" s="1" t="s">
        <v>50</v>
      </c>
      <c r="C18" s="3"/>
      <c r="D18" s="3">
        <f>D10-C10</f>
        <v>4.514999999999986</v>
      </c>
      <c r="E18" s="3"/>
      <c r="F18" s="3">
        <f>F10-D10</f>
        <v>-39.99899999999991</v>
      </c>
      <c r="G18" s="3">
        <f>G10-F10</f>
        <v>-10.845000000000027</v>
      </c>
      <c r="H18" s="5">
        <f>H10-G10</f>
        <v>-4.244000000000028</v>
      </c>
      <c r="I18" s="1"/>
      <c r="J18" s="1"/>
    </row>
    <row r="19">
      <c r="B19" s="1" t="s">
        <v>51</v>
      </c>
      <c r="C19" s="3">
        <f>C10-C20</f>
        <v>5.744000000000028</v>
      </c>
      <c r="D19" s="3">
        <f>D10-D20</f>
        <v>-10.753000000000043</v>
      </c>
      <c r="E19" s="3">
        <f>E10-E20</f>
        <v>-7.967999999999847</v>
      </c>
      <c r="F19" s="3">
        <f>F10-F20</f>
        <v>-22.602999999999952</v>
      </c>
      <c r="G19" s="3">
        <f>G10-G20</f>
        <v>-38.47500000000002</v>
      </c>
      <c r="H19" s="5">
        <f>H10-C20</f>
        <v>-44.82899999999995</v>
      </c>
      <c r="I19" s="1"/>
      <c r="J19" s="1"/>
    </row>
    <row r="20">
      <c r="B20" s="1" t="s">
        <v>52</v>
      </c>
      <c r="C20" s="20">
        <f>Inputs!C90</f>
        <v>664.829</v>
      </c>
      <c r="D20" s="20">
        <f>Inputs!D90</f>
        <v>685.841</v>
      </c>
      <c r="E20" s="20">
        <f>Inputs!E90</f>
        <v>2674.04</v>
      </c>
      <c r="F20" s="20">
        <f>Inputs!F90</f>
        <v>657.692</v>
      </c>
      <c r="G20" s="20">
        <f>Inputs!G90</f>
        <v>662.719</v>
      </c>
      <c r="H20" s="5">
        <f>C10</f>
        <v>670.573</v>
      </c>
      <c r="I20" s="1"/>
      <c r="J20" s="1"/>
    </row>
    <row r="21">
      <c r="B21" s="18" t="s">
        <v>53</v>
      </c>
      <c r="C21" s="19">
        <v>622.822</v>
      </c>
      <c r="D21" s="19">
        <v>643.383</v>
      </c>
      <c r="E21" s="19">
        <v>2433.885</v>
      </c>
      <c r="F21" s="19">
        <v>649.363</v>
      </c>
      <c r="G21" s="19">
        <v>640.795</v>
      </c>
      <c r="H21" s="7">
        <f>H31*(1+H27)</f>
        <v>640.0000000000001</v>
      </c>
      <c r="I21" s="1"/>
      <c r="J21" s="1"/>
    </row>
    <row r="22">
      <c r="B22" s="44" t="s">
        <v>41</v>
      </c>
      <c r="C22" s="44">
        <f>C21/C76</f>
        <v>0.250808918785158</v>
      </c>
      <c r="D22" s="44">
        <f>D21/D76</f>
        <v>0.2520179793765974</v>
      </c>
      <c r="E22" s="44">
        <f>E21/E76</f>
        <v>0.2477042259584515</v>
      </c>
      <c r="F22" s="44">
        <f>F21/F76</f>
        <v>0.2597045822033434</v>
      </c>
      <c r="G22" s="44">
        <f>G21/G76</f>
        <v>0.2602241730163133</v>
      </c>
      <c r="H22" s="52">
        <f>H21/H76</f>
        <v>0.25889967637540456</v>
      </c>
      <c r="I22" s="1"/>
      <c r="J22" s="1"/>
    </row>
    <row r="23">
      <c r="B23" s="46" t="s">
        <v>42</v>
      </c>
      <c r="C23" s="46"/>
      <c r="D23" s="46">
        <f>(D22-C22)*10000</f>
        <v>12.09060591439437</v>
      </c>
      <c r="E23" s="46"/>
      <c r="F23" s="46">
        <f>(F22-D22)*10000</f>
        <v>76.86602826745992</v>
      </c>
      <c r="G23" s="46">
        <f>(G22-F22)*10000</f>
        <v>5.195908129698723</v>
      </c>
      <c r="H23" s="46">
        <f>(H22-G22)*10000</f>
        <v>-13.244966409087233</v>
      </c>
    </row>
    <row r="24">
      <c r="B24" s="44" t="s">
        <v>43</v>
      </c>
      <c r="C24" s="44" t="s">
        <v>44</v>
      </c>
      <c r="D24" s="44" t="s">
        <v>44</v>
      </c>
      <c r="E24" s="44" t="s">
        <v>44</v>
      </c>
      <c r="F24" s="44" t="s">
        <v>44</v>
      </c>
      <c r="G24" s="44" t="s">
        <v>44</v>
      </c>
      <c r="H24" s="49">
        <v>0.035346009036774984</v>
      </c>
      <c r="I24" s="1"/>
      <c r="J24" s="1" t="s">
        <v>45</v>
      </c>
    </row>
    <row r="25">
      <c r="B25" s="44" t="s">
        <v>46</v>
      </c>
      <c r="C25" s="53" t="s">
        <v>44</v>
      </c>
      <c r="D25" s="53" t="s">
        <v>44</v>
      </c>
      <c r="E25" s="53" t="s">
        <v>44</v>
      </c>
      <c r="F25" s="53" t="s">
        <v>44</v>
      </c>
      <c r="G25" s="53" t="s">
        <v>44</v>
      </c>
      <c r="H25" s="55">
        <f>Inputs!$C$98</f>
        <v>0</v>
      </c>
      <c r="I25" s="1"/>
      <c r="J25" s="1"/>
    </row>
    <row r="26">
      <c r="B26" s="44" t="s">
        <v>47</v>
      </c>
      <c r="C26" s="53" t="s">
        <v>44</v>
      </c>
      <c r="D26" s="53" t="s">
        <v>44</v>
      </c>
      <c r="E26" s="53" t="s">
        <v>44</v>
      </c>
      <c r="F26" s="53" t="s">
        <v>44</v>
      </c>
      <c r="G26" s="53" t="s">
        <v>44</v>
      </c>
      <c r="H26" s="55">
        <f>Guidance!G15</f>
        <v>-0.0075</v>
      </c>
      <c r="I26" s="1"/>
      <c r="J26" s="1"/>
    </row>
    <row r="27">
      <c r="B27" s="44" t="s">
        <v>48</v>
      </c>
      <c r="C27" s="44">
        <f>C21/C31-1</f>
        <v>0.04898810245631058</v>
      </c>
      <c r="D27" s="44">
        <f>D21/D31-1</f>
        <v>0.043881837371438026</v>
      </c>
      <c r="E27" s="44">
        <f>E21/E31-1</f>
        <v>0.030492415742468193</v>
      </c>
      <c r="F27" s="44">
        <f>F21/F31-1</f>
        <v>0.1121171848507787</v>
      </c>
      <c r="G27" s="44">
        <f>G21/G31-1</f>
        <v>0.09766145581741115</v>
      </c>
      <c r="H27" s="52">
        <f>(1+H24)*(1+H25)*(1+H26)-1</f>
        <v>0.02758091396899931</v>
      </c>
      <c r="I27" s="1"/>
      <c r="J27" s="1"/>
    </row>
    <row r="28">
      <c r="B28" s="44" t="s">
        <v>49</v>
      </c>
      <c r="C28" s="44"/>
      <c r="D28" s="44">
        <f>D21/C21-1</f>
        <v>0.03301264245643232</v>
      </c>
      <c r="E28" s="44"/>
      <c r="F28" s="44">
        <f>F21/D21-1</f>
        <v>0.009294619223697342</v>
      </c>
      <c r="G28" s="44">
        <f>G21/F21-1</f>
        <v>-0.01319446904119903</v>
      </c>
      <c r="H28" s="52">
        <f>H21/G21-1</f>
        <v>-0.0012406463845688886</v>
      </c>
      <c r="I28" s="1"/>
      <c r="J28" s="1"/>
    </row>
    <row r="29">
      <c r="B29" s="1" t="s">
        <v>50</v>
      </c>
      <c r="C29" s="3"/>
      <c r="D29" s="3">
        <f>D21-C21</f>
        <v>20.561000000000035</v>
      </c>
      <c r="E29" s="3"/>
      <c r="F29" s="3">
        <f>F21-D21</f>
        <v>5.980000000000018</v>
      </c>
      <c r="G29" s="3">
        <f>G21-F21</f>
        <v>-8.568000000000097</v>
      </c>
      <c r="H29" s="5">
        <f>H21-G21</f>
        <v>-0.7949999999998454</v>
      </c>
      <c r="I29" s="1"/>
      <c r="J29" s="1"/>
    </row>
    <row r="30">
      <c r="B30" s="1" t="s">
        <v>51</v>
      </c>
      <c r="C30" s="3">
        <f>C21-C31</f>
        <v>29.086000000000013</v>
      </c>
      <c r="D30" s="3">
        <f>D21-D31</f>
        <v>27.04600000000005</v>
      </c>
      <c r="E30" s="3">
        <f>E21-E31</f>
        <v>72.01900000000023</v>
      </c>
      <c r="F30" s="3">
        <f>F21-F31</f>
        <v>65.46500000000003</v>
      </c>
      <c r="G30" s="3">
        <f>G21-G31</f>
        <v>57.01299999999992</v>
      </c>
      <c r="H30" s="5">
        <f>H21-C31</f>
        <v>46.264000000000124</v>
      </c>
      <c r="I30" s="1"/>
      <c r="J30" s="1"/>
    </row>
    <row r="31">
      <c r="B31" s="1" t="s">
        <v>52</v>
      </c>
      <c r="C31" s="20">
        <f>Inputs!C91</f>
        <v>593.736</v>
      </c>
      <c r="D31" s="20">
        <f>Inputs!D91</f>
        <v>616.337</v>
      </c>
      <c r="E31" s="20">
        <f>Inputs!E91</f>
        <v>2361.866</v>
      </c>
      <c r="F31" s="20">
        <f>Inputs!F91</f>
        <v>583.898</v>
      </c>
      <c r="G31" s="20">
        <f>Inputs!G91</f>
        <v>583.782</v>
      </c>
      <c r="H31" s="5">
        <f>C21</f>
        <v>622.822</v>
      </c>
      <c r="I31" s="1"/>
      <c r="J31" s="1"/>
    </row>
    <row r="32">
      <c r="B32" s="18" t="s">
        <v>54</v>
      </c>
      <c r="C32" s="19">
        <v>411.229</v>
      </c>
      <c r="D32" s="19">
        <v>417.181</v>
      </c>
      <c r="E32" s="19">
        <v>1592.373</v>
      </c>
      <c r="F32" s="19">
        <v>394.016</v>
      </c>
      <c r="G32" s="19">
        <v>392.255</v>
      </c>
      <c r="H32" s="7">
        <f>H42*(1+H38)</f>
        <v>393</v>
      </c>
      <c r="I32" s="1"/>
      <c r="J32" s="1"/>
    </row>
    <row r="33">
      <c r="B33" s="44" t="s">
        <v>41</v>
      </c>
      <c r="C33" s="44">
        <f>C32/C76</f>
        <v>0.1656009274930907</v>
      </c>
      <c r="D33" s="44">
        <f>D32/D76</f>
        <v>0.16341294789310298</v>
      </c>
      <c r="E33" s="44">
        <f>E32/E76</f>
        <v>0.1620608703378086</v>
      </c>
      <c r="F33" s="44">
        <f>F32/F76</f>
        <v>0.15758175421364098</v>
      </c>
      <c r="G33" s="44">
        <f>G32/G76</f>
        <v>0.15929311712250246</v>
      </c>
      <c r="H33" s="52">
        <f>H32/H76</f>
        <v>0.15898058252427186</v>
      </c>
      <c r="I33" s="1"/>
      <c r="J33" s="1"/>
    </row>
    <row r="34">
      <c r="B34" s="46" t="s">
        <v>42</v>
      </c>
      <c r="C34" s="46"/>
      <c r="D34" s="46">
        <f>(D33-C33)*10000</f>
        <v>-21.87979599987705</v>
      </c>
      <c r="E34" s="46"/>
      <c r="F34" s="46">
        <f>(F33-D33)*10000</f>
        <v>-58.31193679461999</v>
      </c>
      <c r="G34" s="46">
        <f>(G33-F33)*10000</f>
        <v>17.1136290886148</v>
      </c>
      <c r="H34" s="46">
        <f>(H33-G33)*10000</f>
        <v>-3.1253459823060714</v>
      </c>
    </row>
    <row r="35">
      <c r="B35" s="44" t="s">
        <v>43</v>
      </c>
      <c r="C35" s="44" t="s">
        <v>44</v>
      </c>
      <c r="D35" s="44" t="s">
        <v>44</v>
      </c>
      <c r="E35" s="44" t="s">
        <v>44</v>
      </c>
      <c r="F35" s="44" t="s">
        <v>44</v>
      </c>
      <c r="G35" s="44" t="s">
        <v>44</v>
      </c>
      <c r="H35" s="49">
        <v>-0.03710639740935562</v>
      </c>
      <c r="I35" s="1"/>
      <c r="J35" s="1" t="s">
        <v>45</v>
      </c>
    </row>
    <row r="36">
      <c r="B36" s="44" t="s">
        <v>46</v>
      </c>
      <c r="C36" s="53" t="s">
        <v>44</v>
      </c>
      <c r="D36" s="53" t="s">
        <v>44</v>
      </c>
      <c r="E36" s="53" t="s">
        <v>44</v>
      </c>
      <c r="F36" s="53" t="s">
        <v>44</v>
      </c>
      <c r="G36" s="53" t="s">
        <v>44</v>
      </c>
      <c r="H36" s="55">
        <f>Inputs!$C$98</f>
        <v>0</v>
      </c>
      <c r="I36" s="1"/>
      <c r="J36" s="1"/>
    </row>
    <row r="37">
      <c r="B37" s="44" t="s">
        <v>47</v>
      </c>
      <c r="C37" s="53" t="s">
        <v>44</v>
      </c>
      <c r="D37" s="53" t="s">
        <v>44</v>
      </c>
      <c r="E37" s="53" t="s">
        <v>44</v>
      </c>
      <c r="F37" s="53" t="s">
        <v>44</v>
      </c>
      <c r="G37" s="53" t="s">
        <v>44</v>
      </c>
      <c r="H37" s="55">
        <f>Guidance!G15</f>
        <v>-0.0075</v>
      </c>
      <c r="I37" s="1"/>
      <c r="J37" s="1"/>
    </row>
    <row r="38">
      <c r="B38" s="44" t="s">
        <v>48</v>
      </c>
      <c r="C38" s="44">
        <f>C32/C42-1</f>
        <v>0.08073680448242881</v>
      </c>
      <c r="D38" s="44">
        <f>D32/D42-1</f>
        <v>0.08079099265277367</v>
      </c>
      <c r="E38" s="44">
        <f>E32/E42-1</f>
        <v>0.04218212709811109</v>
      </c>
      <c r="F38" s="44">
        <f>F32/F42-1</f>
        <v>0.0620377358490567</v>
      </c>
      <c r="G38" s="44">
        <f>G32/G42-1</f>
        <v>-0.0018016963429127175</v>
      </c>
      <c r="H38" s="52">
        <f>(1+H35)*(1+H36)*(1+H37)-1</f>
        <v>-0.04432809942878535</v>
      </c>
      <c r="I38" s="1"/>
      <c r="J38" s="1"/>
    </row>
    <row r="39">
      <c r="B39" s="44" t="s">
        <v>49</v>
      </c>
      <c r="C39" s="44"/>
      <c r="D39" s="44">
        <f>D32/C32-1</f>
        <v>0.014473687410177849</v>
      </c>
      <c r="E39" s="44"/>
      <c r="F39" s="44">
        <f>F32/D32-1</f>
        <v>-0.05552745690719363</v>
      </c>
      <c r="G39" s="44">
        <f>G32/F32-1</f>
        <v>-0.004469361650288328</v>
      </c>
      <c r="H39" s="52">
        <f>H32/G32-1</f>
        <v>0.00189927470650475</v>
      </c>
      <c r="I39" s="1"/>
      <c r="J39" s="1"/>
    </row>
    <row r="40">
      <c r="B40" s="1" t="s">
        <v>50</v>
      </c>
      <c r="C40" s="3"/>
      <c r="D40" s="3">
        <f>D32-C32</f>
        <v>5.951999999999998</v>
      </c>
      <c r="E40" s="3"/>
      <c r="F40" s="3">
        <f>F32-D32</f>
        <v>-23.164999999999964</v>
      </c>
      <c r="G40" s="3">
        <f>G32-F32</f>
        <v>-1.761000000000024</v>
      </c>
      <c r="H40" s="5">
        <f>H32-G32</f>
        <v>0.7450000000000045</v>
      </c>
      <c r="I40" s="1"/>
      <c r="J40" s="1"/>
    </row>
    <row r="41">
      <c r="B41" s="1" t="s">
        <v>51</v>
      </c>
      <c r="C41" s="3">
        <f>C32-C42</f>
        <v>30.721000000000004</v>
      </c>
      <c r="D41" s="3">
        <f>D32-D42</f>
        <v>31.185000000000002</v>
      </c>
      <c r="E41" s="3">
        <f>E32-E42</f>
        <v>64.45100000000002</v>
      </c>
      <c r="F41" s="3">
        <f>F32-F42</f>
        <v>23.01600000000002</v>
      </c>
      <c r="G41" s="3">
        <f>G32-G42</f>
        <v>-0.7080000000000268</v>
      </c>
      <c r="H41" s="5">
        <f>H32-C42</f>
        <v>12.492000000000019</v>
      </c>
      <c r="I41" s="1"/>
      <c r="J41" s="1"/>
    </row>
    <row r="42">
      <c r="B42" s="1" t="s">
        <v>52</v>
      </c>
      <c r="C42" s="20">
        <f>Inputs!C92</f>
        <v>380.508</v>
      </c>
      <c r="D42" s="20">
        <f>Inputs!D92</f>
        <v>385.996</v>
      </c>
      <c r="E42" s="20">
        <f>Inputs!E92</f>
        <v>1527.922</v>
      </c>
      <c r="F42" s="20">
        <f>Inputs!F92</f>
        <v>371</v>
      </c>
      <c r="G42" s="20">
        <f>Inputs!G92</f>
        <v>392.963</v>
      </c>
      <c r="H42" s="5">
        <f>C32</f>
        <v>411.229</v>
      </c>
      <c r="I42" s="1"/>
      <c r="J42" s="1"/>
    </row>
    <row r="43">
      <c r="B43" s="18" t="s">
        <v>55</v>
      </c>
      <c r="C43" s="19">
        <v>384.449</v>
      </c>
      <c r="D43" s="19">
        <v>402.566</v>
      </c>
      <c r="E43" s="19">
        <v>1536.223</v>
      </c>
      <c r="F43" s="19">
        <v>421.605</v>
      </c>
      <c r="G43" s="19">
        <v>432.388</v>
      </c>
      <c r="H43" s="7">
        <f>H53*(1+H49)</f>
        <v>444</v>
      </c>
      <c r="I43" s="1"/>
      <c r="J43" s="1" t="s">
        <v>56</v>
      </c>
    </row>
    <row r="44">
      <c r="B44" s="44" t="s">
        <v>41</v>
      </c>
      <c r="C44" s="44">
        <f>C43/C76</f>
        <v>0.1548166860162859</v>
      </c>
      <c r="D44" s="44">
        <f>D43/D76</f>
        <v>0.15768814203315804</v>
      </c>
      <c r="E44" s="44">
        <f>E43/E76</f>
        <v>0.15634630605577923</v>
      </c>
      <c r="F44" s="44">
        <f>F43/F76</f>
        <v>0.16861562851570014</v>
      </c>
      <c r="G44" s="44">
        <f>G43/G76</f>
        <v>0.17559096079429093</v>
      </c>
      <c r="H44" s="52">
        <f>H43/H76</f>
        <v>0.1796116504854369</v>
      </c>
      <c r="I44" s="1"/>
      <c r="J44" s="1"/>
    </row>
    <row r="45">
      <c r="B45" s="46" t="s">
        <v>42</v>
      </c>
      <c r="C45" s="46"/>
      <c r="D45" s="46">
        <f>(D44-C44)*10000</f>
        <v>28.71456016872137</v>
      </c>
      <c r="E45" s="46"/>
      <c r="F45" s="46">
        <f>(F44-D44)*10000</f>
        <v>109.27486482542103</v>
      </c>
      <c r="G45" s="46">
        <f>(G44-F44)*10000</f>
        <v>69.7533227859079</v>
      </c>
      <c r="H45" s="46">
        <f>(H44-G44)*10000</f>
        <v>40.20689691145968</v>
      </c>
    </row>
    <row r="46">
      <c r="B46" s="44" t="s">
        <v>43</v>
      </c>
      <c r="C46" s="44" t="s">
        <v>44</v>
      </c>
      <c r="D46" s="44" t="s">
        <v>44</v>
      </c>
      <c r="E46" s="44" t="s">
        <v>44</v>
      </c>
      <c r="F46" s="44" t="s">
        <v>44</v>
      </c>
      <c r="G46" s="44" t="s">
        <v>44</v>
      </c>
      <c r="H46" s="49">
        <v>0.1636268106509826</v>
      </c>
      <c r="I46" s="1"/>
      <c r="J46" s="1" t="s">
        <v>45</v>
      </c>
    </row>
    <row r="47">
      <c r="B47" s="44" t="s">
        <v>46</v>
      </c>
      <c r="C47" s="53" t="s">
        <v>44</v>
      </c>
      <c r="D47" s="53" t="s">
        <v>44</v>
      </c>
      <c r="E47" s="53" t="s">
        <v>44</v>
      </c>
      <c r="F47" s="53" t="s">
        <v>44</v>
      </c>
      <c r="G47" s="53" t="s">
        <v>44</v>
      </c>
      <c r="H47" s="55">
        <f>Inputs!$C$98</f>
        <v>0</v>
      </c>
      <c r="I47" s="1"/>
      <c r="J47" s="1"/>
    </row>
    <row r="48">
      <c r="B48" s="44" t="s">
        <v>47</v>
      </c>
      <c r="C48" s="53" t="s">
        <v>44</v>
      </c>
      <c r="D48" s="53" t="s">
        <v>44</v>
      </c>
      <c r="E48" s="53" t="s">
        <v>44</v>
      </c>
      <c r="F48" s="53" t="s">
        <v>44</v>
      </c>
      <c r="G48" s="53" t="s">
        <v>44</v>
      </c>
      <c r="H48" s="55">
        <f>Guidance!G15</f>
        <v>-0.0075</v>
      </c>
      <c r="I48" s="1"/>
      <c r="J48" s="1"/>
    </row>
    <row r="49">
      <c r="B49" s="44" t="s">
        <v>48</v>
      </c>
      <c r="C49" s="44">
        <f>C43/C53-1</f>
        <v>0.09072519441315752</v>
      </c>
      <c r="D49" s="44">
        <f>D43/D53-1</f>
        <v>0.118161238802861</v>
      </c>
      <c r="E49" s="44">
        <f>E43/E53-1</f>
        <v>0.05535842972271321</v>
      </c>
      <c r="F49" s="44">
        <f>F43/F53-1</f>
        <v>0.15447174507726058</v>
      </c>
      <c r="G49" s="44">
        <f>G43/G53-1</f>
        <v>0.1259664336028541</v>
      </c>
      <c r="H49" s="52">
        <f>(1+H46)*(1+H47)*(1+H48)-1</f>
        <v>0.15489960957110038</v>
      </c>
      <c r="I49" s="1"/>
      <c r="J49" s="1"/>
    </row>
    <row r="50">
      <c r="B50" s="44" t="s">
        <v>49</v>
      </c>
      <c r="C50" s="44"/>
      <c r="D50" s="44">
        <f>D43/C43-1</f>
        <v>0.047124586095945054</v>
      </c>
      <c r="E50" s="44"/>
      <c r="F50" s="44">
        <f>F43/D43-1</f>
        <v>0.0472941082952858</v>
      </c>
      <c r="G50" s="44">
        <f>G43/F43-1</f>
        <v>0.025576072390033122</v>
      </c>
      <c r="H50" s="52">
        <f>H43/G43-1</f>
        <v>0.026855509403591382</v>
      </c>
      <c r="I50" s="1"/>
      <c r="J50" s="1"/>
    </row>
    <row r="51">
      <c r="B51" s="1" t="s">
        <v>50</v>
      </c>
      <c r="C51" s="3"/>
      <c r="D51" s="3">
        <f>D43-C43</f>
        <v>18.116999999999962</v>
      </c>
      <c r="E51" s="3"/>
      <c r="F51" s="3">
        <f>F43-D43</f>
        <v>19.039000000000044</v>
      </c>
      <c r="G51" s="3">
        <f>G43-F43</f>
        <v>10.782999999999959</v>
      </c>
      <c r="H51" s="5">
        <f>H43-G43</f>
        <v>11.612000000000023</v>
      </c>
      <c r="I51" s="1"/>
      <c r="J51" s="1"/>
    </row>
    <row r="52">
      <c r="B52" s="1" t="s">
        <v>51</v>
      </c>
      <c r="C52" s="3">
        <f>C43-C53</f>
        <v>31.97800000000001</v>
      </c>
      <c r="D52" s="3">
        <f>D43-D53</f>
        <v>42.541</v>
      </c>
      <c r="E52" s="3">
        <f>E43-E53</f>
        <v>80.58199999999988</v>
      </c>
      <c r="F52" s="3">
        <f>F43-F53</f>
        <v>56.412000000000035</v>
      </c>
      <c r="G52" s="3">
        <f>G43-G53</f>
        <v>48.37299999999999</v>
      </c>
      <c r="H52" s="5">
        <f>H43-C53</f>
        <v>91.529</v>
      </c>
      <c r="I52" s="1"/>
      <c r="J52" s="1"/>
    </row>
    <row r="53">
      <c r="B53" s="1" t="s">
        <v>52</v>
      </c>
      <c r="C53" s="20">
        <f>Inputs!C93</f>
        <v>352.471</v>
      </c>
      <c r="D53" s="20">
        <f>Inputs!D93</f>
        <v>360.025</v>
      </c>
      <c r="E53" s="20">
        <f>Inputs!E93</f>
        <v>1455.641</v>
      </c>
      <c r="F53" s="20">
        <f>Inputs!F93</f>
        <v>365.193</v>
      </c>
      <c r="G53" s="20">
        <f>Inputs!G93</f>
        <v>384.015</v>
      </c>
      <c r="H53" s="5">
        <f>C43</f>
        <v>384.449</v>
      </c>
      <c r="I53" s="1"/>
      <c r="J53" s="1"/>
    </row>
    <row r="54">
      <c r="B54" s="18" t="s">
        <v>57</v>
      </c>
      <c r="C54" s="19">
        <v>174.106</v>
      </c>
      <c r="D54" s="19">
        <v>184.986</v>
      </c>
      <c r="E54" s="19">
        <v>725.283</v>
      </c>
      <c r="F54" s="19">
        <v>178.83</v>
      </c>
      <c r="G54" s="19">
        <v>151.869</v>
      </c>
      <c r="H54" s="7">
        <f>H64*(1+H60)</f>
        <v>151</v>
      </c>
      <c r="I54" s="1"/>
      <c r="J54" s="1"/>
    </row>
    <row r="55">
      <c r="B55" s="44" t="s">
        <v>41</v>
      </c>
      <c r="C55" s="44">
        <f>C54/C76</f>
        <v>0.07011206671249365</v>
      </c>
      <c r="D55" s="44">
        <f>D54/D76</f>
        <v>0.07246041305561267</v>
      </c>
      <c r="E55" s="44">
        <f>E54/E76</f>
        <v>0.07381436021661811</v>
      </c>
      <c r="F55" s="44">
        <f>F54/F76</f>
        <v>0.07152081414466778</v>
      </c>
      <c r="G55" s="44">
        <f>G54/G76</f>
        <v>0.06167336657092281</v>
      </c>
      <c r="H55" s="52">
        <f>H54/H76</f>
        <v>0.06108414239482201</v>
      </c>
      <c r="I55" s="1"/>
      <c r="J55" s="1"/>
    </row>
    <row r="56">
      <c r="B56" s="46" t="s">
        <v>42</v>
      </c>
      <c r="C56" s="46"/>
      <c r="D56" s="46">
        <f>(D55-C55)*10000</f>
        <v>23.483463431190206</v>
      </c>
      <c r="E56" s="46"/>
      <c r="F56" s="46">
        <f>(F55-D55)*10000</f>
        <v>-9.395989109448887</v>
      </c>
      <c r="G56" s="46">
        <f>(G55-F55)*10000</f>
        <v>-98.47447573744971</v>
      </c>
      <c r="H56" s="46">
        <f>(H55-G55)*10000</f>
        <v>-5.892241761007999</v>
      </c>
    </row>
    <row r="57">
      <c r="B57" s="44" t="s">
        <v>43</v>
      </c>
      <c r="C57" s="44" t="s">
        <v>44</v>
      </c>
      <c r="D57" s="44" t="s">
        <v>44</v>
      </c>
      <c r="E57" s="44" t="s">
        <v>44</v>
      </c>
      <c r="F57" s="44" t="s">
        <v>44</v>
      </c>
      <c r="G57" s="44" t="s">
        <v>44</v>
      </c>
      <c r="H57" s="49">
        <v>-0.12615844408286436</v>
      </c>
      <c r="I57" s="1"/>
      <c r="J57" s="1" t="s">
        <v>45</v>
      </c>
    </row>
    <row r="58">
      <c r="B58" s="44" t="s">
        <v>46</v>
      </c>
      <c r="C58" s="53" t="s">
        <v>44</v>
      </c>
      <c r="D58" s="53" t="s">
        <v>44</v>
      </c>
      <c r="E58" s="53" t="s">
        <v>44</v>
      </c>
      <c r="F58" s="53" t="s">
        <v>44</v>
      </c>
      <c r="G58" s="53" t="s">
        <v>44</v>
      </c>
      <c r="H58" s="55">
        <f>Inputs!$C$98</f>
        <v>0</v>
      </c>
      <c r="I58" s="1"/>
      <c r="J58" s="1"/>
    </row>
    <row r="59">
      <c r="B59" s="44" t="s">
        <v>47</v>
      </c>
      <c r="C59" s="53" t="s">
        <v>44</v>
      </c>
      <c r="D59" s="53" t="s">
        <v>44</v>
      </c>
      <c r="E59" s="53" t="s">
        <v>44</v>
      </c>
      <c r="F59" s="53" t="s">
        <v>44</v>
      </c>
      <c r="G59" s="53" t="s">
        <v>44</v>
      </c>
      <c r="H59" s="55">
        <f>Guidance!G15</f>
        <v>-0.0075</v>
      </c>
      <c r="I59" s="1"/>
      <c r="J59" s="1"/>
    </row>
    <row r="60">
      <c r="B60" s="44" t="s">
        <v>48</v>
      </c>
      <c r="C60" s="44">
        <f>C54/C64-1</f>
        <v>0.00989559164733178</v>
      </c>
      <c r="D60" s="44">
        <f>D54/D64-1</f>
        <v>-0.01196942748642027</v>
      </c>
      <c r="E60" s="44">
        <f>E54/E64-1</f>
        <v>-0.0028952871159723115</v>
      </c>
      <c r="F60" s="44">
        <f>F54/F64-1</f>
        <v>-0.05782250204156891</v>
      </c>
      <c r="G60" s="44">
        <f>G54/G64-1</f>
        <v>-0.1389962922227388</v>
      </c>
      <c r="H60" s="52">
        <f>(1+H57)*(1+H58)*(1+H59)-1</f>
        <v>-0.13271225575224288</v>
      </c>
      <c r="I60" s="1"/>
      <c r="J60" s="1"/>
    </row>
    <row r="61">
      <c r="B61" s="44" t="s">
        <v>49</v>
      </c>
      <c r="C61" s="44"/>
      <c r="D61" s="44">
        <f>D54/C54-1</f>
        <v>0.06249066660540126</v>
      </c>
      <c r="E61" s="44"/>
      <c r="F61" s="44">
        <f>F54/D54-1</f>
        <v>-0.0332781940254937</v>
      </c>
      <c r="G61" s="44">
        <f>G54/F54-1</f>
        <v>-0.15076329474920325</v>
      </c>
      <c r="H61" s="52">
        <f>H54/G54-1</f>
        <v>-0.005722036755361537</v>
      </c>
      <c r="I61" s="1"/>
      <c r="J61" s="1"/>
    </row>
    <row r="62">
      <c r="B62" s="1" t="s">
        <v>50</v>
      </c>
      <c r="C62" s="3"/>
      <c r="D62" s="3">
        <f>D54-C54</f>
        <v>10.879999999999995</v>
      </c>
      <c r="E62" s="3"/>
      <c r="F62" s="3">
        <f>F54-D54</f>
        <v>-6.1559999999999775</v>
      </c>
      <c r="G62" s="3">
        <f>G54-F54</f>
        <v>-26.961000000000013</v>
      </c>
      <c r="H62" s="5">
        <f>H54-G54</f>
        <v>-0.8689999999999998</v>
      </c>
      <c r="I62" s="1"/>
      <c r="J62" s="1"/>
    </row>
    <row r="63">
      <c r="B63" s="1" t="s">
        <v>51</v>
      </c>
      <c r="C63" s="3">
        <f>C54-C64</f>
        <v>1.7059999999999889</v>
      </c>
      <c r="D63" s="3">
        <f>D54-D64</f>
        <v>-2.241000000000014</v>
      </c>
      <c r="E63" s="3">
        <f>E54-E64</f>
        <v>-2.1059999999999945</v>
      </c>
      <c r="F63" s="3">
        <f>F54-F64</f>
        <v>-10.974999999999994</v>
      </c>
      <c r="G63" s="3">
        <f>G54-G64</f>
        <v>-24.516999999999996</v>
      </c>
      <c r="H63" s="5">
        <f>H54-C64</f>
        <v>-21.400000000000006</v>
      </c>
      <c r="I63" s="1"/>
      <c r="J63" s="1"/>
    </row>
    <row r="64">
      <c r="B64" s="1" t="s">
        <v>52</v>
      </c>
      <c r="C64" s="20">
        <f>Inputs!C94</f>
        <v>172.4</v>
      </c>
      <c r="D64" s="20">
        <f>Inputs!D94</f>
        <v>187.227</v>
      </c>
      <c r="E64" s="20">
        <f>Inputs!E94</f>
        <v>727.389</v>
      </c>
      <c r="F64" s="20">
        <f>Inputs!F94</f>
        <v>189.805</v>
      </c>
      <c r="G64" s="20">
        <f>Inputs!G94</f>
        <v>176.386</v>
      </c>
      <c r="H64" s="5">
        <f>C54</f>
        <v>174.106</v>
      </c>
      <c r="I64" s="1"/>
      <c r="J64" s="1"/>
    </row>
    <row r="65">
      <c r="B65" s="18" t="s">
        <v>58</v>
      </c>
      <c r="C65" s="19">
        <v>220.074</v>
      </c>
      <c r="D65" s="19">
        <v>229.721</v>
      </c>
      <c r="E65" s="19">
        <v>871.935</v>
      </c>
      <c r="F65" s="19">
        <v>221.488</v>
      </c>
      <c r="G65" s="19">
        <v>220.922</v>
      </c>
      <c r="H65" s="7">
        <f>H75*(1+H71)</f>
        <v>223.99999999999997</v>
      </c>
      <c r="I65" s="1"/>
      <c r="J65" s="1"/>
    </row>
    <row r="66">
      <c r="B66" s="44" t="s">
        <v>41</v>
      </c>
      <c r="C66" s="44">
        <f>C65/C76</f>
        <v>0.0886232695581159</v>
      </c>
      <c r="D66" s="44">
        <f>D65/D76</f>
        <v>0.08998345035596424</v>
      </c>
      <c r="E66" s="44">
        <f>E65/E76</f>
        <v>0.08873960119770753</v>
      </c>
      <c r="F66" s="44">
        <f>F65/F76</f>
        <v>0.08858134587750476</v>
      </c>
      <c r="G66" s="44">
        <f>G65/G76</f>
        <v>0.08971550144915294</v>
      </c>
      <c r="H66" s="52">
        <f>H65/H76</f>
        <v>0.09061488673139158</v>
      </c>
      <c r="I66" s="1"/>
      <c r="J66" s="1"/>
    </row>
    <row r="67">
      <c r="B67" s="46" t="s">
        <v>42</v>
      </c>
      <c r="C67" s="46"/>
      <c r="D67" s="46">
        <f>(D66-C66)*10000</f>
        <v>13.601807978483315</v>
      </c>
      <c r="E67" s="46"/>
      <c r="F67" s="46">
        <f>(F66-D66)*10000</f>
        <v>-14.021044784594816</v>
      </c>
      <c r="G67" s="46">
        <f>(G66-F66)*10000</f>
        <v>11.34155571648185</v>
      </c>
      <c r="H67" s="46">
        <f>(H66-G66)*10000</f>
        <v>8.993852822386378</v>
      </c>
    </row>
    <row r="68">
      <c r="B68" s="44" t="s">
        <v>43</v>
      </c>
      <c r="C68" s="44" t="s">
        <v>44</v>
      </c>
      <c r="D68" s="44" t="s">
        <v>44</v>
      </c>
      <c r="E68" s="44" t="s">
        <v>44</v>
      </c>
      <c r="F68" s="44" t="s">
        <v>44</v>
      </c>
      <c r="G68" s="44" t="s">
        <v>44</v>
      </c>
      <c r="H68" s="49">
        <v>0.025530936022000628</v>
      </c>
      <c r="I68" s="1"/>
      <c r="J68" s="1" t="s">
        <v>45</v>
      </c>
    </row>
    <row r="69">
      <c r="B69" s="44" t="s">
        <v>46</v>
      </c>
      <c r="C69" s="53" t="s">
        <v>44</v>
      </c>
      <c r="D69" s="53" t="s">
        <v>44</v>
      </c>
      <c r="E69" s="53" t="s">
        <v>44</v>
      </c>
      <c r="F69" s="53" t="s">
        <v>44</v>
      </c>
      <c r="G69" s="53" t="s">
        <v>44</v>
      </c>
      <c r="H69" s="55">
        <f>Inputs!$C$98</f>
        <v>0</v>
      </c>
      <c r="I69" s="1"/>
      <c r="J69" s="1"/>
    </row>
    <row r="70">
      <c r="B70" s="44" t="s">
        <v>47</v>
      </c>
      <c r="C70" s="53" t="s">
        <v>44</v>
      </c>
      <c r="D70" s="53" t="s">
        <v>44</v>
      </c>
      <c r="E70" s="53" t="s">
        <v>44</v>
      </c>
      <c r="F70" s="53" t="s">
        <v>44</v>
      </c>
      <c r="G70" s="53" t="s">
        <v>44</v>
      </c>
      <c r="H70" s="55">
        <f>Guidance!G15</f>
        <v>-0.0075</v>
      </c>
      <c r="I70" s="1"/>
      <c r="J70" s="1"/>
    </row>
    <row r="71">
      <c r="B71" s="44" t="s">
        <v>48</v>
      </c>
      <c r="C71" s="44">
        <f>C65/C75-1</f>
        <v>-0.015187856874362193</v>
      </c>
      <c r="D71" s="44">
        <f>D65/D75-1</f>
        <v>0.08054167960187764</v>
      </c>
      <c r="E71" s="44">
        <f>E65/E75-1</f>
        <v>-0.00012270051213136846</v>
      </c>
      <c r="F71" s="44">
        <f>F65/F75-1</f>
        <v>0.08236167987724441</v>
      </c>
      <c r="G71" s="44">
        <f>G65/G75-1</f>
        <v>0.01570531387639873</v>
      </c>
      <c r="H71" s="52">
        <f>(1+H68)*(1+H69)*(1+H70)-1</f>
        <v>0.01783945400183562</v>
      </c>
      <c r="I71" s="1"/>
      <c r="J71" s="1"/>
    </row>
    <row r="72">
      <c r="B72" s="44" t="s">
        <v>49</v>
      </c>
      <c r="C72" s="44"/>
      <c r="D72" s="44">
        <f>D65/C65-1</f>
        <v>0.04383525541408795</v>
      </c>
      <c r="E72" s="44"/>
      <c r="F72" s="44">
        <f>F65/D65-1</f>
        <v>-0.03583912659269284</v>
      </c>
      <c r="G72" s="44">
        <f>G65/F65-1</f>
        <v>-0.0025554431842809144</v>
      </c>
      <c r="H72" s="52">
        <f>H65/G65-1</f>
        <v>0.01393251916966154</v>
      </c>
      <c r="I72" s="1"/>
      <c r="J72" s="1"/>
    </row>
    <row r="73">
      <c r="B73" s="1" t="s">
        <v>50</v>
      </c>
      <c r="C73" s="3"/>
      <c r="D73" s="3">
        <f>D65-C65</f>
        <v>9.646999999999991</v>
      </c>
      <c r="E73" s="3"/>
      <c r="F73" s="3">
        <f>F65-D65</f>
        <v>-8.233000000000004</v>
      </c>
      <c r="G73" s="3">
        <f>G65-F65</f>
        <v>-0.5660000000000025</v>
      </c>
      <c r="H73" s="5">
        <f>H65-G65</f>
        <v>3.0779999999999745</v>
      </c>
      <c r="I73" s="1"/>
      <c r="J73" s="1"/>
    </row>
    <row r="74">
      <c r="B74" s="1" t="s">
        <v>51</v>
      </c>
      <c r="C74" s="3">
        <f>C65-C75</f>
        <v>-3.393999999999977</v>
      </c>
      <c r="D74" s="3">
        <f>D65-D75</f>
        <v>17.12299999999999</v>
      </c>
      <c r="E74" s="3">
        <f>E65-E75</f>
        <v>-0.10700000000008458</v>
      </c>
      <c r="F74" s="3">
        <f>F65-F75</f>
        <v>16.854000000000013</v>
      </c>
      <c r="G74" s="3">
        <f>G65-G75</f>
        <v>3.415999999999997</v>
      </c>
      <c r="H74" s="5">
        <f>H65-C75</f>
        <v>0.5319999999999823</v>
      </c>
      <c r="I74" s="1"/>
      <c r="J74" s="1"/>
    </row>
    <row r="75">
      <c r="B75" s="1" t="s">
        <v>52</v>
      </c>
      <c r="C75" s="20">
        <f>Inputs!C95</f>
        <v>223.468</v>
      </c>
      <c r="D75" s="20">
        <f>Inputs!D95</f>
        <v>212.598</v>
      </c>
      <c r="E75" s="20">
        <f>Inputs!E95</f>
        <v>872.042</v>
      </c>
      <c r="F75" s="20">
        <f>Inputs!F95</f>
        <v>204.634</v>
      </c>
      <c r="G75" s="20">
        <f>Inputs!G95</f>
        <v>217.506</v>
      </c>
      <c r="H75" s="5">
        <f>C65</f>
        <v>220.074</v>
      </c>
      <c r="I75" s="1"/>
      <c r="J75" s="1"/>
    </row>
    <row r="76">
      <c r="B76" s="18" t="s">
        <v>59</v>
      </c>
      <c r="C76" s="6">
        <f>SUM(C10,C21,C32,C43,C54,C65)</f>
        <v>2483.253</v>
      </c>
      <c r="D76" s="6">
        <f>SUM(D10,D21,D32,D43,D54,D65)</f>
        <v>2552.925</v>
      </c>
      <c r="E76" s="6">
        <f>SUM(E10,E21,E32,E43,E54,E65)</f>
        <v>9825.771</v>
      </c>
      <c r="F76" s="6">
        <f>SUM(F10,F21,F32,F43,F54,F65)</f>
        <v>2500.391</v>
      </c>
      <c r="G76" s="6">
        <f>SUM(G10,G21,G32,G43,G54,G65)</f>
        <v>2462.473</v>
      </c>
      <c r="H76" s="7">
        <f>SUM(H10,H21,H32,H43,H54,H65)</f>
        <v>2472</v>
      </c>
      <c r="I76" s="1"/>
      <c r="J76" s="1"/>
    </row>
    <row r="77">
      <c r="B77" s="44" t="s">
        <v>60</v>
      </c>
      <c r="C77" s="44"/>
      <c r="D77" s="44"/>
      <c r="E77" s="44"/>
      <c r="F77" s="44"/>
      <c r="G77" s="44"/>
      <c r="H77" s="52">
        <f>H76/C76-1</f>
        <v>-0.004531555987247415</v>
      </c>
      <c r="I77" s="1"/>
      <c r="J77" s="1"/>
    </row>
    <row r="78">
      <c r="B78" s="44" t="s">
        <v>61</v>
      </c>
      <c r="C78" s="44"/>
      <c r="D78" s="44"/>
      <c r="E78" s="44"/>
      <c r="F78" s="44"/>
      <c r="G78" s="44"/>
      <c r="H78" s="52">
        <f>H76/G76-1</f>
        <v>0.0038688749074609063</v>
      </c>
      <c r="I78" s="1"/>
      <c r="J78" s="1"/>
    </row>
    <row r="79">
      <c r="B79" s="18" t="s">
        <v>62</v>
      </c>
      <c r="C79" s="6">
        <f>SUM(C10,C21,C32,C43,C54,C65)-C76</f>
        <v>0</v>
      </c>
      <c r="D79" s="6">
        <f>SUM(D10,D21,D32,D43,D54,D65)-D76</f>
        <v>0</v>
      </c>
      <c r="E79" s="6">
        <f>SUM(E10,E21,E32,E43,E54,E65)-E76</f>
        <v>0</v>
      </c>
      <c r="F79" s="6">
        <f>SUM(F10,F21,F32,F43,F54,F65)-F76</f>
        <v>0</v>
      </c>
      <c r="G79" s="6">
        <f>SUM(G10,G21,G32,G43,G54,G65)-G76</f>
        <v>0</v>
      </c>
      <c r="H79" s="7">
        <f>SUM(H10,H21,H32,H43,H54,H65)-H76</f>
        <v>0</v>
      </c>
      <c r="I79" s="1"/>
      <c r="J79" s="1"/>
    </row>
    <row r="80">
      <c r="B80" s="1" t="s">
        <v>63</v>
      </c>
      <c r="C80" s="3">
        <f>C76-C82</f>
        <v>0.003000000000156433</v>
      </c>
      <c r="D80" s="3">
        <f>D76-D82</f>
        <v>-0.004999999999654392</v>
      </c>
      <c r="E80" s="3"/>
      <c r="F80" s="3">
        <f>F76-F82</f>
        <v>0.0010000000002037268</v>
      </c>
      <c r="G80" s="3">
        <f>G76-G82</f>
        <v>0.003000000000156433</v>
      </c>
      <c r="H80" s="5"/>
      <c r="I80" s="1"/>
      <c r="J80" s="1"/>
    </row>
    <row r="81">
      <c r="B81" s="1" t="s">
        <v>64</v>
      </c>
      <c r="C81" s="11">
        <v>1</v>
      </c>
      <c r="D81" s="3"/>
      <c r="E81" s="3"/>
      <c r="F81" s="3"/>
      <c r="G81" s="3"/>
      <c r="H81" s="5"/>
      <c r="I81" s="1"/>
      <c r="J81" s="1" t="s">
        <v>65</v>
      </c>
    </row>
    <row r="82">
      <c r="B82" s="1" t="s">
        <v>66</v>
      </c>
      <c r="C82" s="20">
        <f>Inputs!I14</f>
        <v>2483.25</v>
      </c>
      <c r="D82" s="20">
        <f>Inputs!I15</f>
        <v>2552.93</v>
      </c>
      <c r="E82" s="3"/>
      <c r="F82" s="20">
        <f>Inputs!I16</f>
        <v>2500.39</v>
      </c>
      <c r="G82" s="20">
        <f>Inputs!I17</f>
        <v>2462.47</v>
      </c>
      <c r="H82" s="5"/>
      <c r="I82" s="1"/>
      <c r="J82" s="1"/>
    </row>
    <row r="83">
      <c r="B83" s="1" t="s">
        <v>67</v>
      </c>
      <c r="H83" s="24" t="b">
        <f>AND(H76&gt;=Guidance!E11,H76&lt;=Guidance!F11)</f>
        <v>1</v>
      </c>
    </row>
    <row r="84">
      <c r="H84" s="54"/>
    </row>
    <row r="85">
      <c r="H85" s="54"/>
    </row>
    <row r="86">
      <c r="C86" s="51"/>
      <c r="D86" s="51"/>
      <c r="E86" s="51"/>
      <c r="F86" s="51"/>
      <c r="G86" s="51"/>
      <c r="H86" s="56"/>
    </row>
    <row r="87">
      <c r="C87" s="51"/>
      <c r="D87" s="51"/>
      <c r="E87" s="51"/>
      <c r="F87" s="51"/>
      <c r="G87" s="51"/>
      <c r="H87" s="56"/>
    </row>
    <row r="88">
      <c r="C88" s="51"/>
      <c r="D88" s="51"/>
      <c r="E88" s="51"/>
      <c r="F88" s="51"/>
      <c r="G88" s="51"/>
      <c r="H88" s="56"/>
    </row>
    <row r="89">
      <c r="C89" s="51"/>
      <c r="D89" s="51"/>
      <c r="E89" s="51"/>
      <c r="F89" s="51"/>
      <c r="G89" s="51"/>
      <c r="H89" s="56"/>
    </row>
    <row r="90">
      <c r="C90" s="51"/>
      <c r="D90" s="51"/>
      <c r="E90" s="51"/>
      <c r="F90" s="51"/>
      <c r="G90" s="51"/>
      <c r="H90" s="56"/>
    </row>
    <row r="91">
      <c r="C91" s="51"/>
      <c r="D91" s="51"/>
      <c r="E91" s="51"/>
      <c r="F91" s="51"/>
      <c r="G91" s="51"/>
      <c r="H91" s="56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B2:J84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10" customWidth="1"/>
    <col min="2" max="2" width="36" customWidth="1"/>
    <col min="3" max="8" width="13" customWidth="1"/>
  </cols>
  <sheetData>
    <row r="2">
      <c r="B2" s="10" t="s">
        <v>0</v>
      </c>
      <c r="C2" s="2"/>
      <c r="D2" s="2"/>
      <c r="E2" s="2"/>
      <c r="F2" s="2"/>
      <c r="G2" s="2"/>
      <c r="H2" s="2"/>
      <c r="I2" s="1"/>
      <c r="J2" s="1"/>
    </row>
    <row r="3">
      <c r="B3" s="10" t="s">
        <v>68</v>
      </c>
      <c r="C3" s="2"/>
      <c r="D3" s="2"/>
      <c r="E3" s="2"/>
      <c r="F3" s="2"/>
      <c r="G3" s="2"/>
      <c r="H3" s="2"/>
      <c r="I3" s="1"/>
      <c r="J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B5" s="1"/>
      <c r="C5" s="1"/>
      <c r="D5" s="1"/>
      <c r="E5" s="1"/>
      <c r="F5" s="1"/>
      <c r="G5" s="1"/>
      <c r="H5" s="1"/>
      <c r="I5" s="1"/>
      <c r="J5" s="1"/>
    </row>
    <row r="6"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1"/>
      <c r="J6" s="1"/>
    </row>
    <row r="7">
      <c r="B7" s="4" t="s">
        <v>10</v>
      </c>
      <c r="C7" s="9">
        <v>45900</v>
      </c>
      <c r="D7" s="9">
        <v>45991</v>
      </c>
      <c r="E7" s="9">
        <v>45991</v>
      </c>
      <c r="F7" s="9">
        <v>46081</v>
      </c>
      <c r="G7" s="9">
        <v>46173</v>
      </c>
      <c r="H7" s="9">
        <v>46265</v>
      </c>
      <c r="I7" s="1"/>
      <c r="J7" s="1"/>
    </row>
    <row r="8">
      <c r="B8" s="4" t="s">
        <v>11</v>
      </c>
      <c r="C8" s="4">
        <v>92</v>
      </c>
      <c r="D8" s="4">
        <v>91</v>
      </c>
      <c r="E8" s="4">
        <v>365</v>
      </c>
      <c r="F8" s="4">
        <v>90</v>
      </c>
      <c r="G8" s="4">
        <v>92</v>
      </c>
      <c r="H8" s="4">
        <v>92</v>
      </c>
      <c r="I8" s="1"/>
      <c r="J8" s="1"/>
    </row>
    <row r="9">
      <c r="B9" s="1"/>
      <c r="C9" s="3"/>
      <c r="D9" s="3"/>
      <c r="E9" s="3"/>
      <c r="F9" s="3"/>
      <c r="G9" s="3"/>
      <c r="H9" s="5"/>
      <c r="I9" s="1"/>
      <c r="J9" s="1"/>
    </row>
    <row r="10">
      <c r="B10" s="42" t="s">
        <v>69</v>
      </c>
      <c r="C10" s="48">
        <f>'Revenue summary'!C76</f>
        <v>2483.253</v>
      </c>
      <c r="D10" s="48">
        <f>'Revenue summary'!D76</f>
        <v>2552.925</v>
      </c>
      <c r="E10" s="48">
        <f>'Revenue summary'!E76</f>
        <v>9825.771</v>
      </c>
      <c r="F10" s="48">
        <f>'Revenue summary'!F76</f>
        <v>2500.391</v>
      </c>
      <c r="G10" s="48">
        <f>'Revenue summary'!G76</f>
        <v>2462.473</v>
      </c>
      <c r="H10" s="58">
        <f>'Revenue summary'!H76</f>
        <v>2472</v>
      </c>
      <c r="I10" s="1"/>
      <c r="J10" s="1"/>
    </row>
    <row r="11">
      <c r="B11" s="44" t="s">
        <v>70</v>
      </c>
      <c r="C11" s="44"/>
      <c r="D11" s="44"/>
      <c r="E11" s="44"/>
      <c r="F11" s="53">
        <f>F10/Inputs!H12-1</f>
        <v>0.05712709331281429</v>
      </c>
      <c r="G11" s="53">
        <f>G10/Inputs!H13-1</f>
        <v>0.033909669943024134</v>
      </c>
      <c r="H11" s="52">
        <f>H10/C10-1</f>
        <v>-0.004531555987247415</v>
      </c>
      <c r="I11" s="1"/>
      <c r="J11" s="1"/>
    </row>
    <row r="12">
      <c r="B12" s="1" t="s">
        <v>71</v>
      </c>
      <c r="C12" s="11">
        <v>1628.246</v>
      </c>
      <c r="D12" s="11">
        <v>1676.968</v>
      </c>
      <c r="E12" s="11">
        <v>6390.76</v>
      </c>
      <c r="F12" s="11">
        <v>1650.734</v>
      </c>
      <c r="G12" s="11">
        <v>1639.124</v>
      </c>
      <c r="H12" s="5">
        <f>H10*(1-H64)</f>
        <v>1638.9360000000001</v>
      </c>
      <c r="I12" s="1"/>
      <c r="J12" s="1"/>
    </row>
    <row r="13">
      <c r="B13" s="42" t="s">
        <v>72</v>
      </c>
      <c r="C13" s="43">
        <f>C10-C12</f>
        <v>855.0070000000001</v>
      </c>
      <c r="D13" s="43">
        <f>D10-D12</f>
        <v>875.9570000000001</v>
      </c>
      <c r="E13" s="43">
        <f>E10-E12</f>
        <v>3435.0110000000004</v>
      </c>
      <c r="F13" s="43">
        <f>F10-F12</f>
        <v>849.6570000000002</v>
      </c>
      <c r="G13" s="43">
        <f>G10-G12</f>
        <v>823.3489999999999</v>
      </c>
      <c r="H13" s="45">
        <f>H10-H12</f>
        <v>833.0639999999999</v>
      </c>
      <c r="I13" s="1"/>
      <c r="J13" s="1"/>
    </row>
    <row r="14">
      <c r="B14" s="44" t="s">
        <v>73</v>
      </c>
      <c r="C14" s="44">
        <f>C13/C10</f>
        <v>0.3443092588632733</v>
      </c>
      <c r="D14" s="44">
        <f>D13/D10</f>
        <v>0.3431189713759707</v>
      </c>
      <c r="E14" s="44">
        <f>E13/E10</f>
        <v>0.34959200657129097</v>
      </c>
      <c r="F14" s="44">
        <f>F13/F10</f>
        <v>0.3398096537701504</v>
      </c>
      <c r="G14" s="44">
        <f>G13/G10</f>
        <v>0.33435858992159506</v>
      </c>
      <c r="H14" s="52">
        <f>H13/H10</f>
        <v>0.33699999999999997</v>
      </c>
      <c r="I14" s="1"/>
      <c r="J14" s="1"/>
    </row>
    <row r="15">
      <c r="B15" s="46" t="s">
        <v>74</v>
      </c>
      <c r="C15" s="46"/>
      <c r="D15" s="46">
        <f>(D14-C14)*10000</f>
        <v>-11.902874873025993</v>
      </c>
      <c r="E15" s="46"/>
      <c r="F15" s="46">
        <f>(F14-D14)*10000</f>
        <v>-33.09317605820317</v>
      </c>
      <c r="G15" s="46">
        <f>(G14-F14)*10000</f>
        <v>-54.51063848555315</v>
      </c>
      <c r="H15" s="46">
        <f>(H14-G14)*10000</f>
        <v>26.414100784049044</v>
      </c>
    </row>
    <row r="16">
      <c r="B16" s="1" t="s">
        <v>75</v>
      </c>
      <c r="C16" s="11">
        <v>708.023</v>
      </c>
      <c r="D16" s="11">
        <v>730.61</v>
      </c>
      <c r="E16" s="11">
        <v>2825.468</v>
      </c>
      <c r="F16" s="11">
        <v>731.098</v>
      </c>
      <c r="G16" s="11">
        <v>727.928</v>
      </c>
      <c r="H16" s="5">
        <f>H13-H65+H35+H36+H37+H43+H44+H45</f>
        <v>710.2639999999999</v>
      </c>
      <c r="I16" s="1"/>
      <c r="J16" s="1"/>
    </row>
    <row r="17">
      <c r="B17" s="1" t="s">
        <v>76</v>
      </c>
      <c r="C17" s="11">
        <v>0</v>
      </c>
      <c r="D17" s="11">
        <v>1527.726</v>
      </c>
      <c r="E17" s="11">
        <v>1527.726</v>
      </c>
      <c r="F17" s="11">
        <v>0</v>
      </c>
      <c r="G17" s="11">
        <v>0</v>
      </c>
      <c r="H17" s="5">
        <f>H76</f>
        <v>0</v>
      </c>
      <c r="I17" s="1"/>
      <c r="J17" s="1"/>
    </row>
    <row r="18">
      <c r="B18" s="42" t="s">
        <v>77</v>
      </c>
      <c r="C18" s="43">
        <f>C13-C16-C17</f>
        <v>146.98400000000004</v>
      </c>
      <c r="D18" s="43">
        <f>D13-D16-D17</f>
        <v>-1382.379</v>
      </c>
      <c r="E18" s="43">
        <f>E13-E16-E17</f>
        <v>-918.1829999999995</v>
      </c>
      <c r="F18" s="43">
        <f>F13-F16-F17</f>
        <v>118.5590000000002</v>
      </c>
      <c r="G18" s="43">
        <f>G13-G16-G17</f>
        <v>95.42099999999994</v>
      </c>
      <c r="H18" s="45">
        <f>H13-H16-H17</f>
        <v>122.79999999999995</v>
      </c>
      <c r="I18" s="1"/>
      <c r="J18" s="1"/>
    </row>
    <row r="19">
      <c r="B19" s="44" t="s">
        <v>78</v>
      </c>
      <c r="C19" s="44">
        <f>C18/C10</f>
        <v>0.059190102659696785</v>
      </c>
      <c r="D19" s="44">
        <f>D18/D10</f>
        <v>-0.5414882928405652</v>
      </c>
      <c r="E19" s="44">
        <f>E18/E10</f>
        <v>-0.09344640741169313</v>
      </c>
      <c r="F19" s="44">
        <f>F18/F10</f>
        <v>0.04741618410880546</v>
      </c>
      <c r="G19" s="44">
        <f>G18/G10</f>
        <v>0.03875006954390969</v>
      </c>
      <c r="H19" s="52">
        <f>H18/H10</f>
        <v>0.04967637540453072</v>
      </c>
      <c r="I19" s="1"/>
      <c r="J19" s="1"/>
    </row>
    <row r="20">
      <c r="B20" s="46" t="s">
        <v>79</v>
      </c>
      <c r="C20" s="46"/>
      <c r="D20" s="46">
        <f>(D19-C19)*10000</f>
        <v>-6006.78395500262</v>
      </c>
      <c r="E20" s="46"/>
      <c r="F20" s="46">
        <f>(F19-D19)*10000</f>
        <v>5889.044769493707</v>
      </c>
      <c r="G20" s="46">
        <f>(G19-F19)*10000</f>
        <v>-86.66114564895764</v>
      </c>
      <c r="H20" s="46">
        <f>(H19-G19)*10000</f>
        <v>109.2630586062103</v>
      </c>
    </row>
    <row r="21">
      <c r="B21" s="1" t="s">
        <v>80</v>
      </c>
      <c r="C21" s="11">
        <v>72.014</v>
      </c>
      <c r="D21" s="11">
        <v>69.935</v>
      </c>
      <c r="E21" s="11">
        <v>290.349</v>
      </c>
      <c r="F21" s="11">
        <v>75.317</v>
      </c>
      <c r="G21" s="11">
        <v>68.074</v>
      </c>
      <c r="H21" s="5">
        <f>H66</f>
        <v>65</v>
      </c>
      <c r="I21" s="1"/>
      <c r="J21" s="1"/>
    </row>
    <row r="22">
      <c r="B22" s="1" t="s">
        <v>81</v>
      </c>
      <c r="C22" s="11">
        <v>-36.474</v>
      </c>
      <c r="D22" s="11">
        <v>-6.135</v>
      </c>
      <c r="E22" s="11">
        <v>-26.31</v>
      </c>
      <c r="F22" s="11">
        <v>14.511</v>
      </c>
      <c r="G22" s="11">
        <v>-42.128</v>
      </c>
      <c r="H22" s="5">
        <f>H68</f>
        <v>0</v>
      </c>
      <c r="I22" s="1"/>
      <c r="J22" s="1"/>
    </row>
    <row r="23">
      <c r="B23" s="1" t="s">
        <v>82</v>
      </c>
      <c r="C23" s="3">
        <f>C18-C21-C22</f>
        <v>111.44400000000005</v>
      </c>
      <c r="D23" s="3">
        <f>D18-D21-D22</f>
        <v>-1446.1789999999999</v>
      </c>
      <c r="E23" s="3">
        <f>E18-E21-E22</f>
        <v>-1182.2219999999995</v>
      </c>
      <c r="F23" s="3">
        <f>F18-F21-F22</f>
        <v>28.731000000000204</v>
      </c>
      <c r="G23" s="3">
        <f>G18-G21-G22</f>
        <v>69.47499999999994</v>
      </c>
      <c r="H23" s="5">
        <f>H18-H21-H22</f>
        <v>57.799999999999955</v>
      </c>
      <c r="I23" s="1"/>
      <c r="J23" s="1"/>
    </row>
    <row r="24">
      <c r="B24" s="1" t="s">
        <v>83</v>
      </c>
      <c r="C24" s="11">
        <v>23.334</v>
      </c>
      <c r="D24" s="11">
        <v>33.205</v>
      </c>
      <c r="E24" s="11">
        <v>96.702</v>
      </c>
      <c r="F24" s="11">
        <v>7.142</v>
      </c>
      <c r="G24" s="11">
        <v>14.199</v>
      </c>
      <c r="H24" s="5">
        <f>H23*H67</f>
        <v>14.449999999999989</v>
      </c>
      <c r="I24" s="1"/>
      <c r="J24" s="1"/>
    </row>
    <row r="25">
      <c r="B25" s="44" t="s">
        <v>84</v>
      </c>
      <c r="C25" s="44">
        <f>C24/C23</f>
        <v>0.20937870141057383</v>
      </c>
      <c r="D25" s="44">
        <f>D24/D23</f>
        <v>-0.022960504889090495</v>
      </c>
      <c r="E25" s="44">
        <f>E24/E23</f>
        <v>-0.08179681988662031</v>
      </c>
      <c r="F25" s="44">
        <f>F24/F23</f>
        <v>0.24858167136542236</v>
      </c>
      <c r="G25" s="44">
        <f>G24/G23</f>
        <v>0.2043756747031308</v>
      </c>
      <c r="H25" s="52">
        <f>H24/H23</f>
        <v>0.25</v>
      </c>
      <c r="I25" s="1"/>
      <c r="J25" s="1"/>
    </row>
    <row r="26">
      <c r="B26" s="46" t="s">
        <v>85</v>
      </c>
      <c r="C26" s="46"/>
      <c r="D26" s="46">
        <f>(D25-C25)*10000</f>
        <v>-2323.3920629966433</v>
      </c>
      <c r="E26" s="46"/>
      <c r="F26" s="46">
        <f>(F25-D25)*10000</f>
        <v>2715.421762545129</v>
      </c>
      <c r="G26" s="46">
        <f>(G25-F25)*10000</f>
        <v>-442.0599666229155</v>
      </c>
      <c r="H26" s="46">
        <f>(H25-G25)*10000</f>
        <v>456.2432529686919</v>
      </c>
    </row>
    <row r="27">
      <c r="B27" s="42" t="s">
        <v>86</v>
      </c>
      <c r="C27" s="43">
        <f>C23-C24</f>
        <v>88.11000000000004</v>
      </c>
      <c r="D27" s="43">
        <f>D23-D24</f>
        <v>-1479.3839999999998</v>
      </c>
      <c r="E27" s="43">
        <f>E23-E24</f>
        <v>-1278.9239999999995</v>
      </c>
      <c r="F27" s="43">
        <f>F23-F24</f>
        <v>21.589000000000205</v>
      </c>
      <c r="G27" s="43">
        <f>G23-G24</f>
        <v>55.27599999999994</v>
      </c>
      <c r="H27" s="45">
        <f>H23-H24</f>
        <v>43.349999999999966</v>
      </c>
      <c r="I27" s="1"/>
      <c r="J27" s="1"/>
    </row>
    <row r="28">
      <c r="B28" s="1" t="s">
        <v>87</v>
      </c>
      <c r="C28" s="20">
        <f>C27-C31*Inputs!G14</f>
        <v>4.089320000000043</v>
      </c>
      <c r="D28" s="20">
        <f>D27-D31*Inputs!G15</f>
        <v>1.0093500000002678</v>
      </c>
      <c r="E28" s="20">
        <f>E27-E31*Inputs!C99</f>
        <v>4.000320000000556</v>
      </c>
      <c r="F28" s="20">
        <f>F27-F31*Inputs!G16</f>
        <v>1.3600000000002055</v>
      </c>
      <c r="G28" s="20">
        <f>G27-G31*Inputs!G17</f>
        <v>2.9346799999999362</v>
      </c>
      <c r="H28" s="5">
        <f>H27*H73</f>
        <v>2.080799999999998</v>
      </c>
      <c r="I28" s="1"/>
      <c r="J28" s="1"/>
    </row>
    <row r="29">
      <c r="B29" s="42" t="s">
        <v>88</v>
      </c>
      <c r="C29" s="43">
        <f>C27-C28</f>
        <v>84.02068</v>
      </c>
      <c r="D29" s="43">
        <f>D27-D28</f>
        <v>-1480.39335</v>
      </c>
      <c r="E29" s="43">
        <f>E27-E28</f>
        <v>-1282.92432</v>
      </c>
      <c r="F29" s="43">
        <f>F27-F28</f>
        <v>20.229</v>
      </c>
      <c r="G29" s="43">
        <f>G27-G28</f>
        <v>52.34132</v>
      </c>
      <c r="H29" s="45">
        <f>H27-H28</f>
        <v>41.26919999999997</v>
      </c>
      <c r="I29" s="1"/>
      <c r="J29" s="1"/>
    </row>
    <row r="30">
      <c r="B30" s="1" t="s">
        <v>89</v>
      </c>
      <c r="C30" s="11">
        <v>62.598</v>
      </c>
      <c r="D30" s="11">
        <v>62.071</v>
      </c>
      <c r="E30" s="11">
        <v>63.012</v>
      </c>
      <c r="F30" s="11">
        <v>61.279</v>
      </c>
      <c r="G30" s="11">
        <v>60.85</v>
      </c>
      <c r="H30" s="5">
        <f>H74</f>
        <v>60.85</v>
      </c>
      <c r="I30" s="1"/>
      <c r="J30" s="1"/>
    </row>
    <row r="31">
      <c r="B31" s="1" t="s">
        <v>90</v>
      </c>
      <c r="C31" s="11">
        <v>62.702</v>
      </c>
      <c r="D31" s="11">
        <v>62.071</v>
      </c>
      <c r="E31" s="11">
        <v>63.012</v>
      </c>
      <c r="F31" s="11">
        <v>61.3</v>
      </c>
      <c r="G31" s="11">
        <v>60.862</v>
      </c>
      <c r="H31" s="5">
        <f>H75</f>
        <v>60.9</v>
      </c>
      <c r="I31" s="1"/>
      <c r="J31" s="1"/>
    </row>
    <row r="32">
      <c r="B32" s="1" t="s">
        <v>91</v>
      </c>
      <c r="C32" s="29">
        <f>C29/C30</f>
        <v>1.342226269209879</v>
      </c>
      <c r="D32" s="29">
        <f>D29/D30</f>
        <v>-23.85</v>
      </c>
      <c r="E32" s="29">
        <f>E29/E30</f>
        <v>-20.36</v>
      </c>
      <c r="F32" s="29">
        <f>F29/F30</f>
        <v>0.33011308931281513</v>
      </c>
      <c r="G32" s="29">
        <f>G29/G30</f>
        <v>0.8601695973705834</v>
      </c>
      <c r="H32" s="57">
        <f>H29/H30</f>
        <v>0.6782119967132287</v>
      </c>
      <c r="I32" s="1"/>
      <c r="J32" s="1"/>
    </row>
    <row r="33">
      <c r="B33" s="42" t="s">
        <v>92</v>
      </c>
      <c r="C33" s="50">
        <f>C29/C31</f>
        <v>1.34</v>
      </c>
      <c r="D33" s="50">
        <f>D29/D31</f>
        <v>-23.85</v>
      </c>
      <c r="E33" s="50">
        <f>E29/E31</f>
        <v>-20.36</v>
      </c>
      <c r="F33" s="50">
        <f>F29/F31</f>
        <v>0.33</v>
      </c>
      <c r="G33" s="50">
        <f>G29/G31</f>
        <v>0.86</v>
      </c>
      <c r="H33" s="47">
        <f>H29/H31</f>
        <v>0.6776551724137926</v>
      </c>
      <c r="I33" s="1"/>
      <c r="J33" s="1"/>
    </row>
    <row r="34">
      <c r="B34" s="1" t="s">
        <v>93</v>
      </c>
      <c r="C34" s="3"/>
      <c r="D34" s="3"/>
      <c r="E34" s="3"/>
      <c r="F34" s="3"/>
      <c r="G34" s="3"/>
      <c r="H34" s="5"/>
      <c r="I34" s="1"/>
      <c r="J34" s="1"/>
    </row>
    <row r="35">
      <c r="B35" s="1" t="s">
        <v>94</v>
      </c>
      <c r="C35" s="11">
        <v>0</v>
      </c>
      <c r="D35" s="3">
        <f>D17</f>
        <v>1527.726</v>
      </c>
      <c r="E35" s="11">
        <v>1527.726</v>
      </c>
      <c r="F35" s="11">
        <v>0</v>
      </c>
      <c r="G35" s="11">
        <v>0</v>
      </c>
      <c r="H35" s="5">
        <f>H76</f>
        <v>0</v>
      </c>
      <c r="I35" s="1"/>
      <c r="J35" s="1"/>
    </row>
    <row r="36">
      <c r="B36" s="1" t="s">
        <v>95</v>
      </c>
      <c r="C36" s="11">
        <v>18.619</v>
      </c>
      <c r="D36" s="11">
        <v>48.017</v>
      </c>
      <c r="E36" s="11">
        <v>101.468</v>
      </c>
      <c r="F36" s="11">
        <v>34.869</v>
      </c>
      <c r="G36" s="11">
        <v>65.505</v>
      </c>
      <c r="H36" s="5">
        <f>H69</f>
        <v>45</v>
      </c>
      <c r="I36" s="1"/>
      <c r="J36" s="1"/>
    </row>
    <row r="37">
      <c r="B37" s="1" t="s">
        <v>96</v>
      </c>
      <c r="C37" s="11">
        <v>2.704</v>
      </c>
      <c r="D37" s="11">
        <v>2.71</v>
      </c>
      <c r="E37" s="11">
        <v>10.326</v>
      </c>
      <c r="F37" s="11">
        <v>2.755</v>
      </c>
      <c r="G37" s="11">
        <v>2.701</v>
      </c>
      <c r="H37" s="5">
        <f>H70</f>
        <v>2.7</v>
      </c>
      <c r="I37" s="1"/>
      <c r="J37" s="1"/>
    </row>
    <row r="38">
      <c r="B38" s="1" t="s">
        <v>97</v>
      </c>
      <c r="C38" s="11">
        <v>0</v>
      </c>
      <c r="D38" s="11">
        <v>0.221</v>
      </c>
      <c r="E38" s="11">
        <v>1.323</v>
      </c>
      <c r="F38" s="11">
        <v>6.268</v>
      </c>
      <c r="G38" s="11">
        <v>0</v>
      </c>
      <c r="H38" s="5">
        <f>H80</f>
        <v>0</v>
      </c>
      <c r="I38" s="1"/>
      <c r="J38" s="1"/>
    </row>
    <row r="39">
      <c r="B39" s="1" t="s">
        <v>98</v>
      </c>
      <c r="C39" s="11">
        <v>4.739</v>
      </c>
      <c r="D39" s="11">
        <v>1.149</v>
      </c>
      <c r="E39" s="11">
        <v>14.577</v>
      </c>
      <c r="F39" s="11">
        <v>0</v>
      </c>
      <c r="G39" s="11">
        <v>0</v>
      </c>
      <c r="H39" s="5">
        <f>H81</f>
        <v>0</v>
      </c>
      <c r="I39" s="1"/>
      <c r="J39" s="1"/>
    </row>
    <row r="40">
      <c r="B40" s="1" t="s">
        <v>99</v>
      </c>
      <c r="C40" s="11">
        <v>0</v>
      </c>
      <c r="D40" s="11">
        <v>0</v>
      </c>
      <c r="E40" s="11">
        <v>2</v>
      </c>
      <c r="F40" s="11">
        <v>0</v>
      </c>
      <c r="G40" s="11">
        <v>0</v>
      </c>
      <c r="H40" s="5">
        <f>H82</f>
        <v>0</v>
      </c>
      <c r="I40" s="1"/>
      <c r="J40" s="1"/>
    </row>
    <row r="41">
      <c r="B41" s="1" t="s">
        <v>100</v>
      </c>
      <c r="C41" s="11">
        <v>-2.417</v>
      </c>
      <c r="D41" s="11">
        <v>-6.208</v>
      </c>
      <c r="E41" s="11">
        <v>-1.958</v>
      </c>
      <c r="F41" s="11">
        <v>-0.416</v>
      </c>
      <c r="G41" s="11">
        <v>-0.529</v>
      </c>
      <c r="H41" s="5">
        <f>H78</f>
        <v>0</v>
      </c>
      <c r="I41" s="1"/>
      <c r="J41" s="1"/>
    </row>
    <row r="42">
      <c r="B42" s="1" t="s">
        <v>101</v>
      </c>
      <c r="C42" s="11">
        <v>-35.531</v>
      </c>
      <c r="D42" s="11">
        <v>-0.038</v>
      </c>
      <c r="E42" s="11">
        <v>-28.959</v>
      </c>
      <c r="F42" s="11">
        <v>12.306</v>
      </c>
      <c r="G42" s="11">
        <v>-44.965</v>
      </c>
      <c r="H42" s="5">
        <f>H79</f>
        <v>0</v>
      </c>
      <c r="I42" s="1"/>
      <c r="J42" s="1"/>
    </row>
    <row r="43">
      <c r="B43" s="1" t="s">
        <v>102</v>
      </c>
      <c r="C43" s="11">
        <v>111.779</v>
      </c>
      <c r="D43" s="11">
        <v>107.776</v>
      </c>
      <c r="E43" s="11">
        <v>434.332</v>
      </c>
      <c r="F43" s="11">
        <v>103.456</v>
      </c>
      <c r="G43" s="11">
        <v>102.057</v>
      </c>
      <c r="H43" s="5">
        <f>H71</f>
        <v>100</v>
      </c>
      <c r="I43" s="1"/>
      <c r="J43" s="1"/>
    </row>
    <row r="44">
      <c r="B44" s="1" t="s">
        <v>103</v>
      </c>
      <c r="C44" s="11">
        <v>0</v>
      </c>
      <c r="D44" s="11">
        <v>0</v>
      </c>
      <c r="E44" s="11">
        <v>0</v>
      </c>
      <c r="F44" s="11">
        <v>5.929</v>
      </c>
      <c r="G44" s="11">
        <v>0.963</v>
      </c>
      <c r="H44" s="5">
        <f>H77</f>
        <v>0</v>
      </c>
      <c r="I44" s="1"/>
      <c r="J44" s="1"/>
    </row>
    <row r="45">
      <c r="B45" s="1" t="s">
        <v>104</v>
      </c>
      <c r="C45" s="11">
        <v>25.042</v>
      </c>
      <c r="D45" s="11">
        <v>19.371</v>
      </c>
      <c r="E45" s="11">
        <v>97.875</v>
      </c>
      <c r="F45" s="11">
        <v>29.455</v>
      </c>
      <c r="G45" s="11">
        <v>25.367</v>
      </c>
      <c r="H45" s="5">
        <f>H72</f>
        <v>25</v>
      </c>
      <c r="I45" s="1"/>
      <c r="J45" s="1"/>
    </row>
    <row r="46">
      <c r="B46" s="1" t="s">
        <v>105</v>
      </c>
      <c r="C46" s="11">
        <v>-30.535</v>
      </c>
      <c r="D46" s="11">
        <v>-42.576</v>
      </c>
      <c r="E46" s="11">
        <v>-155.034</v>
      </c>
      <c r="F46" s="11">
        <v>-48.057</v>
      </c>
      <c r="G46" s="11">
        <v>-37.805</v>
      </c>
      <c r="H46" s="5">
        <f>-(H35+H36+H37+H38+H39+H40+H41+H42+H43+H44+H45)*H67</f>
        <v>-43.175</v>
      </c>
      <c r="I46" s="1"/>
      <c r="J46" s="1"/>
    </row>
    <row r="47">
      <c r="B47" s="1" t="s">
        <v>106</v>
      </c>
      <c r="C47" s="11">
        <v>0.721</v>
      </c>
      <c r="D47" s="11">
        <v>0.709</v>
      </c>
      <c r="E47" s="11">
        <v>5.699</v>
      </c>
      <c r="F47" s="11">
        <v>0</v>
      </c>
      <c r="G47" s="11">
        <v>0</v>
      </c>
      <c r="H47" s="5">
        <f>H83</f>
        <v>0</v>
      </c>
      <c r="I47" s="1"/>
      <c r="J47" s="1"/>
    </row>
    <row r="48">
      <c r="B48" s="1" t="s">
        <v>107</v>
      </c>
      <c r="C48" s="11">
        <v>0</v>
      </c>
      <c r="D48" s="11">
        <v>12.96</v>
      </c>
      <c r="E48" s="11">
        <v>12.96</v>
      </c>
      <c r="F48" s="11">
        <v>0</v>
      </c>
      <c r="G48" s="11">
        <v>0</v>
      </c>
      <c r="H48" s="5">
        <f>H84</f>
        <v>0</v>
      </c>
      <c r="I48" s="1"/>
      <c r="J48" s="1"/>
    </row>
    <row r="49">
      <c r="B49" s="42" t="s">
        <v>108</v>
      </c>
      <c r="C49" s="43">
        <f>C27+C35+C36+C37+C38+C39+C40+C41+C42+C43+C44+C45+C46+C47+C48</f>
        <v>183.23100000000005</v>
      </c>
      <c r="D49" s="43">
        <f>D27+D35+D36+D37+D38+D39+D40+D41+D42+D43+D44+D45+D46+D47+D48</f>
        <v>192.43300000000036</v>
      </c>
      <c r="E49" s="43">
        <f>E27+E35+E36+E37+E38+E39+E40+E41+E42+E43+E44+E45+E46+E47+E48</f>
        <v>743.4110000000005</v>
      </c>
      <c r="F49" s="43">
        <f>F27+F35+F36+F37+F38+F39+F40+F41+F42+F43+F44+F45+F46+F47+F48</f>
        <v>168.15400000000022</v>
      </c>
      <c r="G49" s="43">
        <f>G27+G35+G36+G37+G38+G39+G40+G41+G42+G43+G44+G45+G46+G47+G48</f>
        <v>168.5699999999999</v>
      </c>
      <c r="H49" s="45">
        <f>H27+H35+H36+H37+H38+H39+H40+H41+H42+H43+H44+H45+H46+H47+H48</f>
        <v>172.87499999999994</v>
      </c>
      <c r="I49" s="1"/>
      <c r="J49" s="1"/>
    </row>
    <row r="50">
      <c r="B50" s="1" t="s">
        <v>109</v>
      </c>
      <c r="C50" s="20">
        <f>C49-C31*Inputs!E14</f>
        <v>8.919440000000066</v>
      </c>
      <c r="D50" s="20">
        <f>D49-D31*Inputs!E15</f>
        <v>9.323550000000353</v>
      </c>
      <c r="E50" s="20">
        <f>E49-E31*Inputs!C100</f>
        <v>36.41636000000051</v>
      </c>
      <c r="F50" s="20">
        <f>F49-F31*Inputs!E16</f>
        <v>8.161000000000229</v>
      </c>
      <c r="G50" s="20">
        <f>G49-G31*Inputs!E17</f>
        <v>8.50293999999991</v>
      </c>
      <c r="H50" s="5">
        <f>H49*H73</f>
        <v>8.297999999999998</v>
      </c>
      <c r="I50" s="1"/>
      <c r="J50" s="1"/>
    </row>
    <row r="51">
      <c r="B51" s="42" t="s">
        <v>110</v>
      </c>
      <c r="C51" s="43">
        <f>C49-C50</f>
        <v>174.31156</v>
      </c>
      <c r="D51" s="43">
        <f>D49-D50</f>
        <v>183.10945</v>
      </c>
      <c r="E51" s="43">
        <f>E49-E50</f>
        <v>706.99464</v>
      </c>
      <c r="F51" s="43">
        <f>F49-F50</f>
        <v>159.993</v>
      </c>
      <c r="G51" s="43">
        <f>G49-G50</f>
        <v>160.06706</v>
      </c>
      <c r="H51" s="45">
        <f>H49-H50</f>
        <v>164.57699999999994</v>
      </c>
      <c r="I51" s="1"/>
      <c r="J51" s="1"/>
    </row>
    <row r="52">
      <c r="B52" s="42" t="s">
        <v>111</v>
      </c>
      <c r="C52" s="50">
        <f>C51/C31</f>
        <v>2.78</v>
      </c>
      <c r="D52" s="50">
        <f>D51/D31</f>
        <v>2.95</v>
      </c>
      <c r="E52" s="50">
        <f>E51/E31</f>
        <v>11.22</v>
      </c>
      <c r="F52" s="50">
        <f>F51/F31</f>
        <v>2.61</v>
      </c>
      <c r="G52" s="50">
        <f>G51/G31</f>
        <v>2.63</v>
      </c>
      <c r="H52" s="47">
        <f>H51/H31</f>
        <v>2.7024137931034473</v>
      </c>
      <c r="I52" s="1"/>
      <c r="J52" s="1"/>
    </row>
    <row r="53">
      <c r="B53" s="44" t="s">
        <v>112</v>
      </c>
      <c r="C53" s="44"/>
      <c r="D53" s="44"/>
      <c r="E53" s="44"/>
      <c r="F53" s="44"/>
      <c r="G53" s="53">
        <f>G52/Inputs!E13-1</f>
        <v>-0.02592592592592602</v>
      </c>
      <c r="H53" s="52">
        <f>H52/C52-1</f>
        <v>-0.027908707516745457</v>
      </c>
      <c r="I53" s="1"/>
      <c r="J53" s="1"/>
    </row>
    <row r="54">
      <c r="B54" s="42" t="s">
        <v>113</v>
      </c>
      <c r="C54" s="43">
        <f>C18+C35+C36+C37+C43+C44+C45</f>
        <v>305.12800000000004</v>
      </c>
      <c r="D54" s="43">
        <f>D18+D35+D36+D37+D43+D44+D45</f>
        <v>323.2210000000002</v>
      </c>
      <c r="E54" s="43">
        <f>E18+E35+E36+E37+E43+E44+E45</f>
        <v>1253.5440000000006</v>
      </c>
      <c r="F54" s="43">
        <f>F18+F35+F36+F37+F43+F44+F45</f>
        <v>295.02300000000014</v>
      </c>
      <c r="G54" s="43">
        <f>G18+G35+G36+G37+G43+G44+G45</f>
        <v>292.01399999999995</v>
      </c>
      <c r="H54" s="45">
        <f>H18+H35+H36+H37+H43+H44+H45</f>
        <v>295.49999999999994</v>
      </c>
      <c r="I54" s="1"/>
      <c r="J54" s="1"/>
    </row>
    <row r="55">
      <c r="B55" s="44" t="s">
        <v>114</v>
      </c>
      <c r="C55" s="44">
        <f>C54/C10</f>
        <v>0.12287431043071327</v>
      </c>
      <c r="D55" s="44">
        <f>D54/D10</f>
        <v>0.12660810638777095</v>
      </c>
      <c r="E55" s="44">
        <f>E54/E10</f>
        <v>0.12757716417368167</v>
      </c>
      <c r="F55" s="44">
        <f>F54/F10</f>
        <v>0.11799074624728698</v>
      </c>
      <c r="G55" s="44">
        <f>G54/G10</f>
        <v>0.11858566571085245</v>
      </c>
      <c r="H55" s="52">
        <f>H54/H10</f>
        <v>0.11953883495145629</v>
      </c>
      <c r="I55" s="1"/>
      <c r="J55" s="1"/>
    </row>
    <row r="56">
      <c r="B56" s="46" t="s">
        <v>115</v>
      </c>
      <c r="C56" s="46"/>
      <c r="D56" s="46">
        <f>(D55-C55)*10000</f>
        <v>37.337959570576814</v>
      </c>
      <c r="E56" s="46"/>
      <c r="F56" s="46">
        <f>(F55-D55)*10000</f>
        <v>-86.17360140483976</v>
      </c>
      <c r="G56" s="46">
        <f>(G55-F55)*10000</f>
        <v>5.94919463565477</v>
      </c>
      <c r="H56" s="46">
        <f>(H55-G55)*10000</f>
        <v>9.531692406038323</v>
      </c>
    </row>
    <row r="57">
      <c r="B57" s="1" t="s">
        <v>116</v>
      </c>
      <c r="C57" s="3">
        <f>C33-C29/C31</f>
        <v>0</v>
      </c>
      <c r="D57" s="3">
        <f>D33-D29/D31</f>
        <v>0</v>
      </c>
      <c r="E57" s="3">
        <f>E33-E29/E31</f>
        <v>0</v>
      </c>
      <c r="F57" s="3">
        <f>F33-F29/F31</f>
        <v>0</v>
      </c>
      <c r="G57" s="3">
        <f>G33-G29/G31</f>
        <v>0</v>
      </c>
      <c r="H57" s="5">
        <f>H33-H29/H31</f>
        <v>0</v>
      </c>
      <c r="I57" s="1"/>
      <c r="J57" s="1"/>
    </row>
    <row r="58">
      <c r="B58" s="1" t="s">
        <v>117</v>
      </c>
      <c r="C58" s="3">
        <f>C52-C51/C31</f>
        <v>0</v>
      </c>
      <c r="D58" s="3">
        <f>D52-D51/D31</f>
        <v>0</v>
      </c>
      <c r="E58" s="3">
        <f>E52-E51/E31</f>
        <v>0</v>
      </c>
      <c r="F58" s="3">
        <f>F52-F51/F31</f>
        <v>0</v>
      </c>
      <c r="G58" s="3">
        <f>G52-G51/G31</f>
        <v>0</v>
      </c>
      <c r="H58" s="5">
        <f>H52-H51/H31</f>
        <v>0</v>
      </c>
      <c r="I58" s="1"/>
      <c r="J58" s="1"/>
    </row>
    <row r="59">
      <c r="B59" s="1"/>
      <c r="C59" s="3"/>
      <c r="D59" s="3"/>
      <c r="E59" s="3"/>
      <c r="F59" s="3"/>
      <c r="G59" s="3"/>
      <c r="H59" s="5"/>
      <c r="I59" s="1"/>
      <c r="J59" s="1"/>
    </row>
    <row r="60">
      <c r="B60" s="1"/>
      <c r="C60" s="3"/>
      <c r="D60" s="3"/>
      <c r="E60" s="3"/>
      <c r="F60" s="3"/>
      <c r="G60" s="3"/>
      <c r="H60" s="5"/>
      <c r="I60" s="1"/>
      <c r="J60" s="1" t="s">
        <v>118</v>
      </c>
    </row>
    <row r="61">
      <c r="B61" s="1"/>
      <c r="C61" s="3"/>
      <c r="D61" s="3"/>
      <c r="E61" s="3"/>
      <c r="F61" s="3"/>
      <c r="G61" s="3"/>
      <c r="H61" s="5"/>
      <c r="I61" s="1"/>
      <c r="J61" s="1"/>
    </row>
    <row r="62">
      <c r="B62" s="1"/>
      <c r="C62" s="3"/>
      <c r="D62" s="3"/>
      <c r="E62" s="3"/>
      <c r="F62" s="3"/>
      <c r="G62" s="3"/>
      <c r="H62" s="5"/>
      <c r="I62" s="1"/>
      <c r="J62" s="1"/>
    </row>
    <row r="63">
      <c r="B63" s="44"/>
      <c r="C63" s="44"/>
      <c r="D63" s="44"/>
      <c r="E63" s="44"/>
      <c r="F63" s="44"/>
      <c r="G63" s="44"/>
      <c r="H63" s="52"/>
      <c r="I63" s="1"/>
      <c r="J63" s="1"/>
    </row>
    <row r="64">
      <c r="B64" s="44" t="s">
        <v>119</v>
      </c>
      <c r="C64" s="44"/>
      <c r="D64" s="44"/>
      <c r="E64" s="44"/>
      <c r="F64" s="44"/>
      <c r="G64" s="44"/>
      <c r="H64" s="49">
        <v>0.337</v>
      </c>
      <c r="I64" s="1"/>
      <c r="J64" s="1"/>
    </row>
    <row r="65">
      <c r="B65" s="1" t="s">
        <v>120</v>
      </c>
      <c r="C65" s="3"/>
      <c r="D65" s="3"/>
      <c r="E65" s="3"/>
      <c r="F65" s="3"/>
      <c r="G65" s="3"/>
      <c r="H65" s="38">
        <v>295.5</v>
      </c>
      <c r="I65" s="1"/>
      <c r="J65" s="1"/>
    </row>
    <row r="66">
      <c r="B66" s="1" t="s">
        <v>121</v>
      </c>
      <c r="C66" s="3"/>
      <c r="D66" s="3"/>
      <c r="E66" s="3"/>
      <c r="F66" s="3"/>
      <c r="G66" s="3"/>
      <c r="H66" s="24">
        <f>Guidance!G16</f>
        <v>65</v>
      </c>
      <c r="I66" s="1"/>
      <c r="J66" s="1"/>
    </row>
    <row r="67">
      <c r="B67" s="44" t="s">
        <v>122</v>
      </c>
      <c r="C67" s="44"/>
      <c r="D67" s="44"/>
      <c r="E67" s="44"/>
      <c r="F67" s="44"/>
      <c r="G67" s="44"/>
      <c r="H67" s="55">
        <f>Guidance!G19</f>
        <v>0.25</v>
      </c>
      <c r="I67" s="1"/>
      <c r="J67" s="1"/>
    </row>
    <row r="68">
      <c r="B68" s="1" t="s">
        <v>123</v>
      </c>
      <c r="C68" s="3"/>
      <c r="D68" s="3"/>
      <c r="E68" s="3"/>
      <c r="F68" s="3"/>
      <c r="G68" s="3"/>
      <c r="H68" s="24">
        <f>Inputs!$C$98</f>
        <v>0</v>
      </c>
      <c r="I68" s="1"/>
      <c r="J68" s="1"/>
    </row>
    <row r="69">
      <c r="B69" s="1" t="s">
        <v>124</v>
      </c>
      <c r="C69" s="3"/>
      <c r="D69" s="3"/>
      <c r="E69" s="3"/>
      <c r="F69" s="3"/>
      <c r="G69" s="3"/>
      <c r="H69" s="38">
        <v>45</v>
      </c>
      <c r="I69" s="1"/>
      <c r="J69" s="1"/>
    </row>
    <row r="70">
      <c r="B70" s="1" t="s">
        <v>125</v>
      </c>
      <c r="C70" s="3"/>
      <c r="D70" s="3"/>
      <c r="E70" s="3"/>
      <c r="F70" s="3"/>
      <c r="G70" s="3"/>
      <c r="H70" s="38">
        <v>2.7</v>
      </c>
      <c r="I70" s="1"/>
      <c r="J70" s="1"/>
    </row>
    <row r="71">
      <c r="B71" s="1" t="s">
        <v>126</v>
      </c>
      <c r="C71" s="3"/>
      <c r="D71" s="3"/>
      <c r="E71" s="3"/>
      <c r="F71" s="3"/>
      <c r="G71" s="3"/>
      <c r="H71" s="38">
        <v>100</v>
      </c>
      <c r="I71" s="1"/>
      <c r="J71" s="1"/>
    </row>
    <row r="72">
      <c r="B72" s="1" t="s">
        <v>127</v>
      </c>
      <c r="C72" s="3"/>
      <c r="D72" s="3"/>
      <c r="E72" s="3"/>
      <c r="F72" s="3"/>
      <c r="G72" s="3"/>
      <c r="H72" s="38">
        <v>25</v>
      </c>
      <c r="I72" s="1"/>
      <c r="J72" s="1"/>
    </row>
    <row r="73">
      <c r="B73" s="44" t="s">
        <v>128</v>
      </c>
      <c r="C73" s="44"/>
      <c r="D73" s="44"/>
      <c r="E73" s="44"/>
      <c r="F73" s="44"/>
      <c r="G73" s="44"/>
      <c r="H73" s="55">
        <f>Guidance!G18</f>
        <v>0.048</v>
      </c>
      <c r="I73" s="1"/>
      <c r="J73" s="1"/>
    </row>
    <row r="74">
      <c r="B74" s="1" t="s">
        <v>129</v>
      </c>
      <c r="C74" s="3"/>
      <c r="D74" s="3"/>
      <c r="E74" s="3"/>
      <c r="F74" s="3"/>
      <c r="G74" s="3"/>
      <c r="H74" s="38">
        <v>60.85</v>
      </c>
      <c r="I74" s="1"/>
      <c r="J74" s="1"/>
    </row>
    <row r="75">
      <c r="B75" s="1" t="s">
        <v>130</v>
      </c>
      <c r="C75" s="3"/>
      <c r="D75" s="3"/>
      <c r="E75" s="3"/>
      <c r="F75" s="3"/>
      <c r="G75" s="3"/>
      <c r="H75" s="24">
        <f>Guidance!G17</f>
        <v>60.9</v>
      </c>
      <c r="I75" s="1"/>
      <c r="J75" s="1"/>
    </row>
    <row r="76">
      <c r="B76" s="1" t="s">
        <v>131</v>
      </c>
      <c r="C76" s="3"/>
      <c r="D76" s="3"/>
      <c r="E76" s="3"/>
      <c r="F76" s="3"/>
      <c r="G76" s="3"/>
      <c r="H76" s="24">
        <f>Inputs!$C$98</f>
        <v>0</v>
      </c>
      <c r="I76" s="1"/>
      <c r="J76" s="1"/>
    </row>
    <row r="77">
      <c r="B77" s="1" t="s">
        <v>132</v>
      </c>
      <c r="C77" s="3"/>
      <c r="D77" s="3"/>
      <c r="E77" s="3"/>
      <c r="F77" s="3"/>
      <c r="G77" s="3"/>
      <c r="H77" s="24">
        <f>Inputs!$C$98</f>
        <v>0</v>
      </c>
      <c r="I77" s="1"/>
      <c r="J77" s="1"/>
    </row>
    <row r="78">
      <c r="B78" s="1" t="s">
        <v>133</v>
      </c>
      <c r="C78" s="3"/>
      <c r="D78" s="3"/>
      <c r="E78" s="3"/>
      <c r="F78" s="3"/>
      <c r="G78" s="3"/>
      <c r="H78" s="24">
        <f>Inputs!$C$98</f>
        <v>0</v>
      </c>
      <c r="I78" s="1"/>
      <c r="J78" s="1"/>
    </row>
    <row r="79">
      <c r="B79" s="1" t="s">
        <v>134</v>
      </c>
      <c r="C79" s="3"/>
      <c r="D79" s="3"/>
      <c r="E79" s="3"/>
      <c r="F79" s="3"/>
      <c r="G79" s="3"/>
      <c r="H79" s="24">
        <f>Inputs!$C$98</f>
        <v>0</v>
      </c>
      <c r="I79" s="1"/>
      <c r="J79" s="1"/>
    </row>
    <row r="80">
      <c r="B80" s="1" t="s">
        <v>135</v>
      </c>
      <c r="C80" s="3"/>
      <c r="D80" s="3"/>
      <c r="E80" s="3"/>
      <c r="F80" s="3"/>
      <c r="G80" s="3"/>
      <c r="H80" s="24">
        <f>Inputs!$C$98</f>
        <v>0</v>
      </c>
      <c r="I80" s="1"/>
      <c r="J80" s="1"/>
    </row>
    <row r="81">
      <c r="B81" s="1" t="s">
        <v>136</v>
      </c>
      <c r="C81" s="3"/>
      <c r="D81" s="3"/>
      <c r="E81" s="3"/>
      <c r="F81" s="3"/>
      <c r="G81" s="3"/>
      <c r="H81" s="24">
        <f>Inputs!$C$98</f>
        <v>0</v>
      </c>
      <c r="I81" s="1"/>
      <c r="J81" s="1"/>
    </row>
    <row r="82">
      <c r="B82" s="1" t="s">
        <v>137</v>
      </c>
      <c r="C82" s="3"/>
      <c r="D82" s="3"/>
      <c r="E82" s="3"/>
      <c r="F82" s="3"/>
      <c r="G82" s="3"/>
      <c r="H82" s="24">
        <f>Inputs!$C$98</f>
        <v>0</v>
      </c>
      <c r="I82" s="1"/>
      <c r="J82" s="1"/>
    </row>
    <row r="83">
      <c r="B83" s="1" t="s">
        <v>138</v>
      </c>
      <c r="C83" s="3"/>
      <c r="D83" s="3"/>
      <c r="E83" s="3"/>
      <c r="F83" s="3"/>
      <c r="G83" s="3"/>
      <c r="H83" s="24">
        <f>Inputs!$C$98</f>
        <v>0</v>
      </c>
      <c r="I83" s="1"/>
      <c r="J83" s="1"/>
    </row>
    <row r="84">
      <c r="B84" s="1" t="s">
        <v>139</v>
      </c>
      <c r="C84" s="3"/>
      <c r="D84" s="3"/>
      <c r="E84" s="3"/>
      <c r="F84" s="3"/>
      <c r="G84" s="3"/>
      <c r="H84" s="24">
        <f>Inputs!$C$98</f>
        <v>0</v>
      </c>
      <c r="I84" s="1"/>
      <c r="J84" s="1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B2:J36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10" customWidth="1"/>
    <col min="2" max="2" width="36" customWidth="1"/>
    <col min="3" max="8" width="13" customWidth="1"/>
  </cols>
  <sheetData>
    <row r="2">
      <c r="B2" s="10" t="s">
        <v>0</v>
      </c>
      <c r="C2" s="2"/>
      <c r="D2" s="2"/>
      <c r="E2" s="2"/>
      <c r="F2" s="2"/>
      <c r="G2" s="2"/>
      <c r="H2" s="2"/>
      <c r="I2" s="1"/>
      <c r="J2" s="1"/>
    </row>
    <row r="3">
      <c r="B3" s="10" t="s">
        <v>140</v>
      </c>
      <c r="C3" s="2"/>
      <c r="D3" s="2"/>
      <c r="E3" s="2"/>
      <c r="F3" s="2"/>
      <c r="G3" s="2"/>
      <c r="H3" s="2"/>
      <c r="I3" s="1"/>
      <c r="J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B5" s="1"/>
      <c r="C5" s="1"/>
      <c r="D5" s="1"/>
      <c r="E5" s="1"/>
      <c r="F5" s="1"/>
      <c r="G5" s="1"/>
      <c r="H5" s="1"/>
      <c r="I5" s="1"/>
      <c r="J5" s="1"/>
    </row>
    <row r="6"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1"/>
      <c r="J6" s="1"/>
    </row>
    <row r="7">
      <c r="B7" s="4" t="s">
        <v>10</v>
      </c>
      <c r="C7" s="9">
        <v>45900</v>
      </c>
      <c r="D7" s="9">
        <v>45991</v>
      </c>
      <c r="E7" s="9">
        <v>45991</v>
      </c>
      <c r="F7" s="9">
        <v>46081</v>
      </c>
      <c r="G7" s="9">
        <v>46173</v>
      </c>
      <c r="H7" s="9">
        <v>46265</v>
      </c>
      <c r="I7" s="1"/>
      <c r="J7" s="1"/>
    </row>
    <row r="8">
      <c r="B8" s="4" t="s">
        <v>11</v>
      </c>
      <c r="C8" s="4">
        <v>92</v>
      </c>
      <c r="D8" s="4">
        <v>91</v>
      </c>
      <c r="E8" s="4">
        <v>365</v>
      </c>
      <c r="F8" s="4">
        <v>90</v>
      </c>
      <c r="G8" s="4">
        <v>92</v>
      </c>
      <c r="H8" s="4">
        <v>92</v>
      </c>
      <c r="I8" s="1"/>
      <c r="J8" s="1"/>
    </row>
    <row r="9">
      <c r="B9" s="1"/>
      <c r="C9" s="3"/>
      <c r="D9" s="3"/>
      <c r="E9" s="3"/>
      <c r="F9" s="3"/>
      <c r="G9" s="3"/>
      <c r="H9" s="5"/>
      <c r="I9" s="1"/>
      <c r="J9" s="1"/>
    </row>
    <row r="10">
      <c r="B10" s="1" t="s">
        <v>141</v>
      </c>
      <c r="C10" s="11">
        <v>350.259</v>
      </c>
      <c r="D10" s="11">
        <v>327.347</v>
      </c>
      <c r="E10" s="3">
        <f>D10</f>
        <v>327.347</v>
      </c>
      <c r="F10" s="11">
        <v>222.699</v>
      </c>
      <c r="G10" s="11">
        <v>255.566</v>
      </c>
      <c r="H10" s="24">
        <f>'Cash Flow Statement'!H27-H34</f>
        <v>243.56599999999995</v>
      </c>
      <c r="I10" s="1"/>
      <c r="J10" s="1"/>
    </row>
    <row r="11">
      <c r="B11" s="1" t="s">
        <v>142</v>
      </c>
      <c r="C11" s="11">
        <v>2051.92</v>
      </c>
      <c r="D11" s="11">
        <v>1999.021</v>
      </c>
      <c r="E11" s="3">
        <f>D11</f>
        <v>1999.021</v>
      </c>
      <c r="F11" s="11">
        <v>2038.296</v>
      </c>
      <c r="G11" s="11">
        <v>1987.978</v>
      </c>
      <c r="H11" s="5">
        <f>G11</f>
        <v>1987.978</v>
      </c>
      <c r="I11" s="1"/>
      <c r="J11" s="1"/>
    </row>
    <row r="12">
      <c r="B12" s="1" t="s">
        <v>143</v>
      </c>
      <c r="C12" s="11">
        <v>0</v>
      </c>
      <c r="D12" s="11">
        <v>0</v>
      </c>
      <c r="E12" s="3">
        <f>D12</f>
        <v>0</v>
      </c>
      <c r="F12" s="11">
        <v>207.502</v>
      </c>
      <c r="G12" s="11">
        <v>202.738</v>
      </c>
      <c r="H12" s="5">
        <f>G12</f>
        <v>202.738</v>
      </c>
      <c r="I12" s="1"/>
      <c r="J12" s="1"/>
    </row>
    <row r="13">
      <c r="B13" s="1" t="s">
        <v>144</v>
      </c>
      <c r="C13" s="11">
        <v>735.332</v>
      </c>
      <c r="D13" s="11">
        <v>758.135</v>
      </c>
      <c r="E13" s="3">
        <f>D13</f>
        <v>758.135</v>
      </c>
      <c r="F13" s="11">
        <v>572.718</v>
      </c>
      <c r="G13" s="11">
        <v>593.611</v>
      </c>
      <c r="H13" s="24">
        <f>G13-'Cash Flow Statement'!H14</f>
        <v>561.961</v>
      </c>
      <c r="I13" s="1"/>
      <c r="J13" s="1"/>
    </row>
    <row r="14">
      <c r="B14" s="18" t="s">
        <v>145</v>
      </c>
      <c r="C14" s="6">
        <f>SUM(C10:C13)</f>
        <v>3137.511</v>
      </c>
      <c r="D14" s="6">
        <f>SUM(D10:D13)</f>
        <v>3084.5029999999997</v>
      </c>
      <c r="E14" s="6">
        <f>SUM(E10:E13)</f>
        <v>3084.5029999999997</v>
      </c>
      <c r="F14" s="6">
        <f>SUM(F10:F13)</f>
        <v>3041.215</v>
      </c>
      <c r="G14" s="6">
        <f>SUM(G10:G13)</f>
        <v>3039.893</v>
      </c>
      <c r="H14" s="7">
        <f>SUM(H10:H13)</f>
        <v>2996.2430000000004</v>
      </c>
      <c r="I14" s="1"/>
      <c r="J14" s="1"/>
    </row>
    <row r="15">
      <c r="B15" s="1" t="s">
        <v>146</v>
      </c>
      <c r="C15" s="11">
        <v>733.306</v>
      </c>
      <c r="D15" s="11">
        <v>735.55</v>
      </c>
      <c r="E15" s="3">
        <f>D15</f>
        <v>735.55</v>
      </c>
      <c r="F15" s="11">
        <v>726.063</v>
      </c>
      <c r="G15" s="11">
        <v>709.829</v>
      </c>
      <c r="H15" s="24">
        <f>G15-'Cash Flow Statement'!H16-'Cash Flow Statement'!H11</f>
        <v>699.829</v>
      </c>
      <c r="I15" s="1"/>
      <c r="J15" s="1"/>
    </row>
    <row r="16">
      <c r="B16" s="1" t="s">
        <v>147</v>
      </c>
      <c r="C16" s="11">
        <v>5191.565</v>
      </c>
      <c r="D16" s="11">
        <v>3671.746</v>
      </c>
      <c r="E16" s="3">
        <f>D16</f>
        <v>3671.746</v>
      </c>
      <c r="F16" s="11">
        <v>3696.052</v>
      </c>
      <c r="G16" s="11">
        <v>3653.49</v>
      </c>
      <c r="H16" s="5">
        <f>G16</f>
        <v>3653.49</v>
      </c>
      <c r="I16" s="1"/>
      <c r="J16" s="1"/>
    </row>
    <row r="17">
      <c r="B17" s="1" t="s">
        <v>148</v>
      </c>
      <c r="C17" s="11">
        <v>2079.278</v>
      </c>
      <c r="D17" s="11">
        <v>1960.338</v>
      </c>
      <c r="E17" s="3">
        <f>D17</f>
        <v>1960.338</v>
      </c>
      <c r="F17" s="11">
        <v>1867.038</v>
      </c>
      <c r="G17" s="11">
        <v>1749.909</v>
      </c>
      <c r="H17" s="24">
        <f>G17-'Income Statement'!H43</f>
        <v>1649.909</v>
      </c>
      <c r="I17" s="1"/>
      <c r="J17" s="1"/>
    </row>
    <row r="18">
      <c r="B18" s="1" t="s">
        <v>149</v>
      </c>
      <c r="C18" s="11">
        <v>282.486</v>
      </c>
      <c r="D18" s="11">
        <v>317.453</v>
      </c>
      <c r="E18" s="3">
        <f>D18</f>
        <v>317.453</v>
      </c>
      <c r="F18" s="11">
        <v>314.044</v>
      </c>
      <c r="G18" s="11">
        <v>343.201</v>
      </c>
      <c r="H18" s="5">
        <f>G18</f>
        <v>343.201</v>
      </c>
      <c r="I18" s="1"/>
      <c r="J18" s="1"/>
    </row>
    <row r="19">
      <c r="B19" s="1" t="s">
        <v>150</v>
      </c>
      <c r="C19" s="11">
        <v>985.953</v>
      </c>
      <c r="D19" s="11">
        <v>991.496</v>
      </c>
      <c r="E19" s="3">
        <f>D19</f>
        <v>991.496</v>
      </c>
      <c r="F19" s="11">
        <v>1030.21</v>
      </c>
      <c r="G19" s="11">
        <v>1016.525</v>
      </c>
      <c r="H19" s="5">
        <f>G19</f>
        <v>1016.525</v>
      </c>
      <c r="I19" s="1"/>
      <c r="J19" s="1"/>
    </row>
    <row r="20">
      <c r="B20" s="18" t="s">
        <v>151</v>
      </c>
      <c r="C20" s="6">
        <f>SUM(C14:C19)</f>
        <v>12410.099</v>
      </c>
      <c r="D20" s="6">
        <f>SUM(D14:D19)</f>
        <v>10761.086</v>
      </c>
      <c r="E20" s="6">
        <f>SUM(E14:E19)</f>
        <v>10761.086</v>
      </c>
      <c r="F20" s="6">
        <f>SUM(F14:F19)</f>
        <v>10674.622</v>
      </c>
      <c r="G20" s="6">
        <f>SUM(G14:G19)</f>
        <v>10512.847</v>
      </c>
      <c r="H20" s="7">
        <f>H14+H15+H16+H17+H18+H19</f>
        <v>10359.196999999998</v>
      </c>
      <c r="I20" s="1"/>
      <c r="J20" s="1"/>
    </row>
    <row r="21">
      <c r="B21" s="1" t="s">
        <v>152</v>
      </c>
      <c r="C21" s="11">
        <v>221.57</v>
      </c>
      <c r="D21" s="11">
        <v>244.771</v>
      </c>
      <c r="E21" s="3">
        <f>D21</f>
        <v>244.771</v>
      </c>
      <c r="F21" s="11">
        <v>202.424</v>
      </c>
      <c r="G21" s="11">
        <v>198.108</v>
      </c>
      <c r="H21" s="5">
        <f>G21</f>
        <v>198.108</v>
      </c>
      <c r="I21" s="1"/>
      <c r="J21" s="1"/>
    </row>
    <row r="22">
      <c r="B22" s="1" t="s">
        <v>153</v>
      </c>
      <c r="C22" s="11">
        <v>37.5</v>
      </c>
      <c r="D22" s="11">
        <v>65.625</v>
      </c>
      <c r="E22" s="3">
        <f>D22</f>
        <v>65.625</v>
      </c>
      <c r="F22" s="11">
        <v>750</v>
      </c>
      <c r="G22" s="11">
        <v>650</v>
      </c>
      <c r="H22" s="24">
        <f>G22+'Cash Flow Statement'!H20</f>
        <v>450</v>
      </c>
      <c r="I22" s="1"/>
      <c r="J22" s="1"/>
    </row>
    <row r="23">
      <c r="B23" s="1" t="s">
        <v>154</v>
      </c>
      <c r="C23" s="11">
        <v>698.89</v>
      </c>
      <c r="D23" s="11">
        <v>764.962</v>
      </c>
      <c r="E23" s="3">
        <f>D23</f>
        <v>764.962</v>
      </c>
      <c r="F23" s="11">
        <v>622.039</v>
      </c>
      <c r="G23" s="11">
        <v>658.057</v>
      </c>
      <c r="H23" s="5">
        <f>G23</f>
        <v>658.057</v>
      </c>
      <c r="I23" s="1"/>
      <c r="J23" s="1"/>
    </row>
    <row r="24">
      <c r="B24" s="1" t="s">
        <v>155</v>
      </c>
      <c r="C24" s="11">
        <v>969.868</v>
      </c>
      <c r="D24" s="11">
        <v>997.198</v>
      </c>
      <c r="E24" s="3">
        <f>D24</f>
        <v>997.198</v>
      </c>
      <c r="F24" s="11">
        <v>736.782</v>
      </c>
      <c r="G24" s="11">
        <v>815.876</v>
      </c>
      <c r="H24" s="5">
        <f>G24</f>
        <v>815.876</v>
      </c>
      <c r="I24" s="1"/>
      <c r="J24" s="1"/>
    </row>
    <row r="25">
      <c r="B25" s="1" t="s">
        <v>156</v>
      </c>
      <c r="C25" s="11">
        <v>81.355</v>
      </c>
      <c r="D25" s="11">
        <v>123.794</v>
      </c>
      <c r="E25" s="3">
        <f>D25</f>
        <v>123.794</v>
      </c>
      <c r="F25" s="11">
        <v>89.147</v>
      </c>
      <c r="G25" s="11">
        <v>85.078</v>
      </c>
      <c r="H25" s="5">
        <f>G25</f>
        <v>85.078</v>
      </c>
      <c r="I25" s="1"/>
      <c r="J25" s="1"/>
    </row>
    <row r="26">
      <c r="B26" s="1" t="s">
        <v>157</v>
      </c>
      <c r="C26" s="11">
        <v>0</v>
      </c>
      <c r="D26" s="11">
        <v>0</v>
      </c>
      <c r="E26" s="3">
        <f>D26</f>
        <v>0</v>
      </c>
      <c r="F26" s="11">
        <v>174.941</v>
      </c>
      <c r="G26" s="11">
        <v>172.259</v>
      </c>
      <c r="H26" s="5">
        <f>G26</f>
        <v>172.259</v>
      </c>
      <c r="I26" s="1"/>
      <c r="J26" s="1"/>
    </row>
    <row r="27">
      <c r="B27" s="18" t="s">
        <v>158</v>
      </c>
      <c r="C27" s="6">
        <f>SUM(C21:C26)</f>
        <v>2009.183</v>
      </c>
      <c r="D27" s="6">
        <f>SUM(D21:D26)</f>
        <v>2196.35</v>
      </c>
      <c r="E27" s="6">
        <f>SUM(E21:E26)</f>
        <v>2196.35</v>
      </c>
      <c r="F27" s="6">
        <f>SUM(F21:F26)</f>
        <v>2575.333</v>
      </c>
      <c r="G27" s="6">
        <f>SUM(G21:G26)</f>
        <v>2579.3779999999997</v>
      </c>
      <c r="H27" s="7">
        <f>SUM(H21:H26)</f>
        <v>2379.3779999999997</v>
      </c>
      <c r="I27" s="1"/>
      <c r="J27" s="1"/>
    </row>
    <row r="28">
      <c r="B28" s="1" t="s">
        <v>159</v>
      </c>
      <c r="C28" s="11">
        <v>4790.293</v>
      </c>
      <c r="D28" s="11">
        <v>4572.889</v>
      </c>
      <c r="E28" s="3">
        <f>D28</f>
        <v>4572.889</v>
      </c>
      <c r="F28" s="11">
        <v>3995.253</v>
      </c>
      <c r="G28" s="11">
        <v>3934.874</v>
      </c>
      <c r="H28" s="5">
        <f>G28</f>
        <v>3934.874</v>
      </c>
      <c r="I28" s="1"/>
      <c r="J28" s="1"/>
    </row>
    <row r="29">
      <c r="B29" s="1" t="s">
        <v>160</v>
      </c>
      <c r="C29" s="11">
        <v>964.086</v>
      </c>
      <c r="D29" s="11">
        <v>950.983</v>
      </c>
      <c r="E29" s="3">
        <f>D29</f>
        <v>950.983</v>
      </c>
      <c r="F29" s="11">
        <v>1014.676</v>
      </c>
      <c r="G29" s="11">
        <v>1011.706</v>
      </c>
      <c r="H29" s="5">
        <f>G29</f>
        <v>1011.706</v>
      </c>
      <c r="I29" s="1"/>
      <c r="J29" s="1"/>
    </row>
    <row r="30">
      <c r="B30" s="1" t="s">
        <v>161</v>
      </c>
      <c r="C30" s="11">
        <v>302.408</v>
      </c>
      <c r="D30" s="11">
        <v>296.519</v>
      </c>
      <c r="E30" s="3">
        <f>D30</f>
        <v>296.519</v>
      </c>
      <c r="F30" s="11">
        <v>300.946</v>
      </c>
      <c r="G30" s="11">
        <v>285.603</v>
      </c>
      <c r="H30" s="5">
        <f>G30</f>
        <v>285.603</v>
      </c>
      <c r="I30" s="1"/>
      <c r="J30" s="1"/>
    </row>
    <row r="31">
      <c r="B31" s="18" t="s">
        <v>162</v>
      </c>
      <c r="C31" s="6">
        <f>SUM(C27:C30)</f>
        <v>8065.969999999999</v>
      </c>
      <c r="D31" s="6">
        <f>SUM(D27:D30)</f>
        <v>8016.741</v>
      </c>
      <c r="E31" s="6">
        <f>SUM(E27:E30)</f>
        <v>8016.741</v>
      </c>
      <c r="F31" s="6">
        <f>SUM(F27:F30)</f>
        <v>7886.2080000000005</v>
      </c>
      <c r="G31" s="6">
        <f>SUM(G27:G30)</f>
        <v>7811.561</v>
      </c>
      <c r="H31" s="7">
        <f>SUM(H27:H30)</f>
        <v>7611.561</v>
      </c>
      <c r="I31" s="1"/>
      <c r="J31" s="1"/>
    </row>
    <row r="32">
      <c r="B32" s="18" t="s">
        <v>163</v>
      </c>
      <c r="C32" s="19">
        <v>4344.129</v>
      </c>
      <c r="D32" s="19">
        <v>2744.345</v>
      </c>
      <c r="E32" s="6">
        <f>D32</f>
        <v>2744.345</v>
      </c>
      <c r="F32" s="19">
        <v>2788.414</v>
      </c>
      <c r="G32" s="19">
        <v>2701.286</v>
      </c>
      <c r="H32" s="22">
        <f>G32+'Income Statement'!H27+'Cash Flow Statement'!H21+'Income Statement'!H45</f>
        <v>2747.636</v>
      </c>
      <c r="I32" s="1"/>
      <c r="J32" s="1"/>
    </row>
    <row r="33">
      <c r="B33" s="18" t="s">
        <v>164</v>
      </c>
      <c r="C33" s="6">
        <f>C20-C31-C32</f>
        <v>0</v>
      </c>
      <c r="D33" s="6">
        <f>D20-D31-D32</f>
        <v>0</v>
      </c>
      <c r="E33" s="6">
        <f>E20-E31-E32</f>
        <v>0</v>
      </c>
      <c r="F33" s="6">
        <f>F20-F31-F32</f>
        <v>0</v>
      </c>
      <c r="G33" s="6">
        <f>G20-G31-G32</f>
        <v>0</v>
      </c>
      <c r="H33" s="7">
        <f>H20-H31-H32</f>
        <v>0</v>
      </c>
      <c r="I33" s="1"/>
      <c r="J33" s="1"/>
    </row>
    <row r="34">
      <c r="B34" s="1" t="s">
        <v>165</v>
      </c>
      <c r="C34" s="11">
        <v>188.227</v>
      </c>
      <c r="D34" s="11">
        <v>193.78</v>
      </c>
      <c r="E34" s="11"/>
      <c r="F34" s="11">
        <v>192.813</v>
      </c>
      <c r="G34" s="11">
        <v>185.919</v>
      </c>
      <c r="H34" s="5">
        <f>G34</f>
        <v>185.919</v>
      </c>
      <c r="I34" s="1"/>
      <c r="J34" s="1"/>
    </row>
    <row r="35">
      <c r="B35" s="18" t="s">
        <v>166</v>
      </c>
      <c r="C35" s="6">
        <f>C10+C34</f>
        <v>538.486</v>
      </c>
      <c r="D35" s="6">
        <f>D10+D34</f>
        <v>521.127</v>
      </c>
      <c r="E35" s="6">
        <f>E10+E34</f>
        <v>521.127</v>
      </c>
      <c r="F35" s="6">
        <f>F10+F34</f>
        <v>415.512</v>
      </c>
      <c r="G35" s="6">
        <f>G10+G34</f>
        <v>441.485</v>
      </c>
      <c r="H35" s="7">
        <f>H10+H34</f>
        <v>429.48499999999996</v>
      </c>
      <c r="I35" s="1"/>
      <c r="J35" s="1"/>
    </row>
    <row r="36">
      <c r="B36" s="3" t="s">
        <v>167</v>
      </c>
      <c r="C36" s="20">
        <f>C20-Inputs!C116</f>
        <v>0</v>
      </c>
      <c r="D36" s="20">
        <f>D20-Inputs!D116</f>
        <v>0</v>
      </c>
      <c r="E36" s="20">
        <f>E20-Inputs!E116</f>
        <v>0</v>
      </c>
      <c r="F36" s="20">
        <f>F20-Inputs!F116</f>
        <v>0</v>
      </c>
      <c r="G36" s="20">
        <f>G20-Inputs!G116</f>
        <v>0</v>
      </c>
      <c r="H36" s="3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B2:J35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10" customWidth="1"/>
    <col min="2" max="2" width="36" customWidth="1"/>
    <col min="3" max="8" width="13" customWidth="1"/>
  </cols>
  <sheetData>
    <row r="2">
      <c r="B2" s="10" t="s">
        <v>0</v>
      </c>
      <c r="C2" s="2"/>
      <c r="D2" s="2"/>
      <c r="E2" s="2"/>
      <c r="F2" s="2"/>
      <c r="G2" s="2"/>
      <c r="H2" s="2"/>
      <c r="I2" s="1"/>
      <c r="J2" s="1"/>
    </row>
    <row r="3">
      <c r="B3" s="10" t="s">
        <v>168</v>
      </c>
      <c r="C3" s="2"/>
      <c r="D3" s="2"/>
      <c r="E3" s="2"/>
      <c r="F3" s="2"/>
      <c r="G3" s="2"/>
      <c r="H3" s="2"/>
      <c r="I3" s="1"/>
      <c r="J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B5" s="1"/>
      <c r="C5" s="1"/>
      <c r="D5" s="1"/>
      <c r="E5" s="1"/>
      <c r="F5" s="1"/>
      <c r="G5" s="1"/>
      <c r="H5" s="1"/>
      <c r="I5" s="1"/>
      <c r="J5" s="1"/>
    </row>
    <row r="6"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1"/>
      <c r="J6" s="1"/>
    </row>
    <row r="7">
      <c r="B7" s="4" t="s">
        <v>10</v>
      </c>
      <c r="C7" s="9">
        <v>45900</v>
      </c>
      <c r="D7" s="9">
        <v>45991</v>
      </c>
      <c r="E7" s="9">
        <v>45991</v>
      </c>
      <c r="F7" s="9">
        <v>46081</v>
      </c>
      <c r="G7" s="9">
        <v>46173</v>
      </c>
      <c r="H7" s="9">
        <v>46265</v>
      </c>
      <c r="I7" s="1"/>
      <c r="J7" s="1"/>
    </row>
    <row r="8">
      <c r="B8" s="4" t="s">
        <v>11</v>
      </c>
      <c r="C8" s="4">
        <v>92</v>
      </c>
      <c r="D8" s="4">
        <v>91</v>
      </c>
      <c r="E8" s="4">
        <v>365</v>
      </c>
      <c r="F8" s="4">
        <v>90</v>
      </c>
      <c r="G8" s="4">
        <v>92</v>
      </c>
      <c r="H8" s="4">
        <v>92</v>
      </c>
      <c r="I8" s="1"/>
      <c r="J8" s="1"/>
    </row>
    <row r="9">
      <c r="B9" s="1"/>
      <c r="C9" s="3"/>
      <c r="D9" s="3"/>
      <c r="E9" s="3"/>
      <c r="F9" s="3"/>
      <c r="G9" s="3"/>
      <c r="H9" s="5"/>
      <c r="I9" s="1"/>
      <c r="J9" s="1"/>
    </row>
    <row r="10">
      <c r="B10" s="18" t="s">
        <v>169</v>
      </c>
      <c r="C10" s="8">
        <f>Inputs!C105-Inputs!I105</f>
        <v>224.80300000000003</v>
      </c>
      <c r="D10" s="8">
        <f>Inputs!D105-Inputs!C105</f>
        <v>344.21999999999997</v>
      </c>
      <c r="E10" s="8">
        <f>Inputs!E105</f>
        <v>806.967</v>
      </c>
      <c r="F10" s="8">
        <f>Inputs!F105</f>
        <v>-83.22</v>
      </c>
      <c r="G10" s="8">
        <f>Inputs!G105-Inputs!F105</f>
        <v>257.89099999999996</v>
      </c>
      <c r="H10" s="22">
        <f>'Income Statement'!H27+H11+H12+H13+H14</f>
        <v>259.99999999999994</v>
      </c>
      <c r="I10" s="1"/>
      <c r="J10" s="1"/>
    </row>
    <row r="11">
      <c r="B11" s="1" t="s">
        <v>170</v>
      </c>
      <c r="C11" s="20">
        <f>Inputs!C112-Inputs!I112</f>
        <v>56.778000000000006</v>
      </c>
      <c r="D11" s="20">
        <f>Inputs!D112-Inputs!C112</f>
        <v>58.07499999999999</v>
      </c>
      <c r="E11" s="20">
        <f>Inputs!D112</f>
        <v>226.101</v>
      </c>
      <c r="F11" s="11">
        <v>55.913</v>
      </c>
      <c r="G11" s="20">
        <f>Inputs!G112-F11</f>
        <v>58.062</v>
      </c>
      <c r="H11" s="38">
        <v>60</v>
      </c>
      <c r="I11" s="1"/>
      <c r="J11" s="1"/>
    </row>
    <row r="12">
      <c r="B12" s="1" t="s">
        <v>171</v>
      </c>
      <c r="C12" s="20">
        <f>'Income Statement'!C43</f>
        <v>111.779</v>
      </c>
      <c r="D12" s="20">
        <f>'Income Statement'!D43</f>
        <v>107.776</v>
      </c>
      <c r="E12" s="20">
        <f>'Income Statement'!E43</f>
        <v>434.332</v>
      </c>
      <c r="F12" s="20">
        <f>'Income Statement'!F43</f>
        <v>103.456</v>
      </c>
      <c r="G12" s="20">
        <f>'Income Statement'!G43</f>
        <v>102.057</v>
      </c>
      <c r="H12" s="24">
        <f>'Income Statement'!H43</f>
        <v>100</v>
      </c>
      <c r="I12" s="1"/>
      <c r="J12" s="1"/>
    </row>
    <row r="13">
      <c r="B13" s="1" t="s">
        <v>172</v>
      </c>
      <c r="C13" s="20">
        <f>'Income Statement'!C45</f>
        <v>25.042</v>
      </c>
      <c r="D13" s="20">
        <f>'Income Statement'!D45</f>
        <v>19.371</v>
      </c>
      <c r="E13" s="20">
        <f>'Income Statement'!E45</f>
        <v>97.875</v>
      </c>
      <c r="F13" s="20">
        <f>'Income Statement'!F45</f>
        <v>29.455</v>
      </c>
      <c r="G13" s="20">
        <f>'Income Statement'!G45</f>
        <v>25.367</v>
      </c>
      <c r="H13" s="24">
        <f>'Income Statement'!H45</f>
        <v>25</v>
      </c>
      <c r="I13" s="1"/>
      <c r="J13" s="1"/>
    </row>
    <row r="14">
      <c r="B14" s="1" t="s">
        <v>173</v>
      </c>
      <c r="C14" s="20">
        <f>C10-'Income Statement'!C27-SUM(C11:C13)</f>
        <v>-56.906000000000006</v>
      </c>
      <c r="D14" s="20">
        <f>D10-'Income Statement'!D27-SUM(D11:D13)</f>
        <v>1638.3819999999998</v>
      </c>
      <c r="E14" s="20">
        <f>E10-'Income Statement'!E27-SUM(E11:E13)</f>
        <v>1327.5829999999996</v>
      </c>
      <c r="F14" s="20">
        <f>F10-'Income Statement'!F27-SUM(F11:F13)</f>
        <v>-293.6330000000002</v>
      </c>
      <c r="G14" s="20">
        <f>G10-'Income Statement'!G27-SUM(G11:G13)</f>
        <v>17.12900000000002</v>
      </c>
      <c r="H14" s="5">
        <f>H30</f>
        <v>31.65</v>
      </c>
      <c r="I14" s="1"/>
      <c r="J14" s="1"/>
    </row>
    <row r="15">
      <c r="B15" s="1"/>
      <c r="C15" s="3"/>
      <c r="D15" s="3"/>
      <c r="E15" s="3"/>
      <c r="F15" s="3"/>
      <c r="G15" s="3"/>
      <c r="H15" s="5"/>
      <c r="I15" s="1"/>
      <c r="J15" s="1"/>
    </row>
    <row r="16">
      <c r="B16" s="1" t="s">
        <v>174</v>
      </c>
      <c r="C16" s="20">
        <f>Inputs!C109-Inputs!I109</f>
        <v>-65.054</v>
      </c>
      <c r="D16" s="20">
        <f>Inputs!D109-Inputs!C109</f>
        <v>-63.03200000000001</v>
      </c>
      <c r="E16" s="20">
        <f>Inputs!E109</f>
        <v>-234.496</v>
      </c>
      <c r="F16" s="20">
        <f>Inputs!F109</f>
        <v>-53.902</v>
      </c>
      <c r="G16" s="20">
        <f>Inputs!G109-Inputs!F109</f>
        <v>-48.17399999999999</v>
      </c>
      <c r="H16" s="5">
        <f>H31</f>
        <v>-50</v>
      </c>
      <c r="I16" s="1"/>
      <c r="J16" s="1"/>
    </row>
    <row r="17">
      <c r="B17" s="1" t="s">
        <v>175</v>
      </c>
      <c r="C17" s="3">
        <f>C18-C16</f>
        <v>0</v>
      </c>
      <c r="D17" s="3">
        <f>D18-D16</f>
        <v>-15.22399999999999</v>
      </c>
      <c r="E17" s="3">
        <f>E18-E16</f>
        <v>-15.887</v>
      </c>
      <c r="F17" s="3">
        <f>F18-F16</f>
        <v>3.155999999999999</v>
      </c>
      <c r="G17" s="3">
        <f>G18-G16</f>
        <v>17.016</v>
      </c>
      <c r="H17" s="24">
        <f>Inputs!$C$98</f>
        <v>0</v>
      </c>
      <c r="I17" s="1"/>
      <c r="J17" s="1"/>
    </row>
    <row r="18">
      <c r="B18" s="18" t="s">
        <v>176</v>
      </c>
      <c r="C18" s="8">
        <f>Inputs!C106-Inputs!I106</f>
        <v>-65.05400000000002</v>
      </c>
      <c r="D18" s="8">
        <f>Inputs!D106-Inputs!C106</f>
        <v>-78.256</v>
      </c>
      <c r="E18" s="8">
        <f>Inputs!E106</f>
        <v>-250.383</v>
      </c>
      <c r="F18" s="8">
        <f>Inputs!F106</f>
        <v>-50.746</v>
      </c>
      <c r="G18" s="8">
        <f>Inputs!G106-Inputs!F106</f>
        <v>-31.157999999999994</v>
      </c>
      <c r="H18" s="7">
        <f>SUM(H16:H17)</f>
        <v>-50</v>
      </c>
      <c r="I18" s="1"/>
      <c r="J18" s="1"/>
    </row>
    <row r="19">
      <c r="B19" s="1"/>
      <c r="C19" s="3"/>
      <c r="D19" s="3"/>
      <c r="E19" s="3"/>
      <c r="F19" s="3"/>
      <c r="G19" s="3"/>
      <c r="H19" s="5"/>
      <c r="I19" s="1"/>
      <c r="J19" s="1"/>
    </row>
    <row r="20">
      <c r="B20" s="1" t="s">
        <v>177</v>
      </c>
      <c r="C20" s="20">
        <f>Inputs!$C$98</f>
        <v>0</v>
      </c>
      <c r="D20" s="20">
        <f>Inputs!$C$98</f>
        <v>0</v>
      </c>
      <c r="E20" s="20">
        <f>Inputs!$C$98</f>
        <v>0</v>
      </c>
      <c r="F20" s="20">
        <f>Inputs!$C$98</f>
        <v>0</v>
      </c>
      <c r="G20" s="20">
        <f>Inputs!$C$98</f>
        <v>0</v>
      </c>
      <c r="H20" s="38">
        <v>-200</v>
      </c>
      <c r="I20" s="1"/>
      <c r="J20" s="1"/>
    </row>
    <row r="21">
      <c r="B21" s="1" t="s">
        <v>178</v>
      </c>
      <c r="C21" s="11">
        <v>-21.869</v>
      </c>
      <c r="D21" s="11">
        <v>-23.225</v>
      </c>
      <c r="E21" s="11">
        <v>-89.618</v>
      </c>
      <c r="F21" s="11">
        <v>-23.149</v>
      </c>
      <c r="G21" s="11">
        <v>-23.069</v>
      </c>
      <c r="H21" s="38">
        <v>-22</v>
      </c>
      <c r="I21" s="1"/>
      <c r="J21" s="1"/>
    </row>
    <row r="22">
      <c r="B22" s="1" t="s">
        <v>179</v>
      </c>
      <c r="C22" s="3">
        <f>C23-C20-C21</f>
        <v>-142.975</v>
      </c>
      <c r="D22" s="3">
        <f>D23-D20-D21</f>
        <v>-256.774</v>
      </c>
      <c r="E22" s="3">
        <f>E23-E20-E21</f>
        <v>-401.825</v>
      </c>
      <c r="F22" s="3">
        <f>F23-F20-F21</f>
        <v>41.652</v>
      </c>
      <c r="G22" s="3">
        <f>G23-G20-G21</f>
        <v>-170.799</v>
      </c>
      <c r="H22" s="24">
        <f>Inputs!$C$98</f>
        <v>0</v>
      </c>
      <c r="I22" s="1"/>
      <c r="J22" s="1"/>
    </row>
    <row r="23">
      <c r="B23" s="18" t="s">
        <v>180</v>
      </c>
      <c r="C23" s="8">
        <f>Inputs!C107-Inputs!I107</f>
        <v>-164.844</v>
      </c>
      <c r="D23" s="8">
        <f>Inputs!D107-Inputs!C107</f>
        <v>-279.999</v>
      </c>
      <c r="E23" s="8">
        <f>Inputs!E107</f>
        <v>-491.443</v>
      </c>
      <c r="F23" s="8">
        <f>Inputs!F107</f>
        <v>18.503</v>
      </c>
      <c r="G23" s="8">
        <f>Inputs!G107-Inputs!F107</f>
        <v>-193.868</v>
      </c>
      <c r="H23" s="7">
        <f>SUM(H20:H22)</f>
        <v>-222</v>
      </c>
      <c r="I23" s="1"/>
      <c r="J23" s="1"/>
    </row>
    <row r="24">
      <c r="B24" s="1" t="s">
        <v>181</v>
      </c>
      <c r="C24" s="20">
        <f>Inputs!C108-Inputs!I108</f>
        <v>8.448999999999998</v>
      </c>
      <c r="D24" s="20">
        <f>Inputs!D108-Inputs!C108</f>
        <v>-3.323999999999998</v>
      </c>
      <c r="E24" s="20">
        <f>Inputs!E108</f>
        <v>26.382</v>
      </c>
      <c r="F24" s="20">
        <f>Inputs!F108</f>
        <v>9.848</v>
      </c>
      <c r="G24" s="20">
        <f>Inputs!G108-Inputs!F108</f>
        <v>-6.892000000000001</v>
      </c>
      <c r="H24" s="24">
        <f>Inputs!$C$98</f>
        <v>0</v>
      </c>
      <c r="I24" s="1"/>
      <c r="J24" s="1"/>
    </row>
    <row r="25">
      <c r="B25" s="18" t="s">
        <v>182</v>
      </c>
      <c r="C25" s="6">
        <f>SUM(C10,C18,C23:C24)</f>
        <v>3.3540000000000276</v>
      </c>
      <c r="D25" s="6">
        <f>SUM(D10,D18,D23:D24)</f>
        <v>-17.35900000000008</v>
      </c>
      <c r="E25" s="6">
        <f>SUM(E10,E18,E23:E24)</f>
        <v>91.52299999999997</v>
      </c>
      <c r="F25" s="6">
        <f>SUM(F10,F18,F23:F24)</f>
        <v>-105.615</v>
      </c>
      <c r="G25" s="6">
        <f>SUM(G10,G18,G23:G24)</f>
        <v>25.972999999999978</v>
      </c>
      <c r="H25" s="7">
        <f>SUM(H10,H18,H23:H24)</f>
        <v>-12.000000000000057</v>
      </c>
      <c r="I25" s="1"/>
      <c r="J25" s="1"/>
    </row>
    <row r="26">
      <c r="B26" s="1" t="s">
        <v>183</v>
      </c>
      <c r="C26" s="11">
        <v>535.132</v>
      </c>
      <c r="D26" s="3">
        <f>C27</f>
        <v>538.486</v>
      </c>
      <c r="E26" s="11">
        <v>429.604</v>
      </c>
      <c r="F26" s="3">
        <f>E27</f>
        <v>521.127</v>
      </c>
      <c r="G26" s="3">
        <f>F27</f>
        <v>415.51199999999994</v>
      </c>
      <c r="H26" s="24">
        <f>'Balance Sheet'!G35</f>
        <v>441.485</v>
      </c>
      <c r="I26" s="1"/>
      <c r="J26" s="1"/>
    </row>
    <row r="27">
      <c r="B27" s="18" t="s">
        <v>184</v>
      </c>
      <c r="C27" s="6">
        <f>C26+C25</f>
        <v>538.486</v>
      </c>
      <c r="D27" s="6">
        <f>D26+D25</f>
        <v>521.127</v>
      </c>
      <c r="E27" s="6">
        <f>E26+E25</f>
        <v>521.127</v>
      </c>
      <c r="F27" s="6">
        <f>F26+F25</f>
        <v>415.51199999999994</v>
      </c>
      <c r="G27" s="6">
        <f>G26+G25</f>
        <v>441.4849999999999</v>
      </c>
      <c r="H27" s="7">
        <f>SUM(H25:H26)</f>
        <v>429.48499999999996</v>
      </c>
      <c r="I27" s="1"/>
      <c r="J27" s="1"/>
    </row>
    <row r="28">
      <c r="B28" s="18" t="s">
        <v>185</v>
      </c>
      <c r="C28" s="8">
        <f>C27-'Balance Sheet'!C35</f>
        <v>0</v>
      </c>
      <c r="D28" s="8">
        <f>D27-'Balance Sheet'!D35</f>
        <v>0</v>
      </c>
      <c r="E28" s="8">
        <f>E27-'Balance Sheet'!E35</f>
        <v>0</v>
      </c>
      <c r="F28" s="8">
        <f>F27-'Balance Sheet'!F35</f>
        <v>0</v>
      </c>
      <c r="G28" s="8">
        <f>G27-'Balance Sheet'!G35</f>
        <v>0</v>
      </c>
      <c r="H28" s="22">
        <f>H27-'Balance Sheet'!H35</f>
        <v>0</v>
      </c>
      <c r="I28" s="1"/>
      <c r="J28" s="1"/>
    </row>
    <row r="29">
      <c r="B29" s="1"/>
      <c r="C29" s="3"/>
      <c r="D29" s="3"/>
      <c r="E29" s="3"/>
      <c r="F29" s="3"/>
      <c r="G29" s="3"/>
      <c r="H29" s="5"/>
      <c r="I29" s="1"/>
      <c r="J29" s="1"/>
    </row>
    <row r="30">
      <c r="B30" s="1" t="s">
        <v>186</v>
      </c>
      <c r="C30" s="3"/>
      <c r="D30" s="3"/>
      <c r="E30" s="3"/>
      <c r="F30" s="3"/>
      <c r="G30" s="3"/>
      <c r="H30" s="38">
        <v>31.65</v>
      </c>
      <c r="I30" s="1"/>
      <c r="J30" s="1"/>
    </row>
    <row r="31">
      <c r="B31" s="1" t="s">
        <v>187</v>
      </c>
      <c r="C31" s="3"/>
      <c r="D31" s="3"/>
      <c r="E31" s="3"/>
      <c r="F31" s="3"/>
      <c r="G31" s="3"/>
      <c r="H31" s="38">
        <v>-50</v>
      </c>
      <c r="I31" s="1"/>
      <c r="J31" s="1"/>
    </row>
    <row r="32">
      <c r="B32" s="1"/>
      <c r="C32" s="3"/>
      <c r="D32" s="3"/>
      <c r="E32" s="3"/>
      <c r="F32" s="3"/>
      <c r="G32" s="3"/>
      <c r="H32" s="5"/>
      <c r="I32" s="1"/>
      <c r="J32" s="1"/>
    </row>
    <row r="33">
      <c r="B33" s="1"/>
      <c r="C33" s="3"/>
      <c r="D33" s="3"/>
      <c r="E33" s="3"/>
      <c r="F33" s="3"/>
      <c r="G33" s="3"/>
      <c r="H33" s="5"/>
      <c r="I33" s="1"/>
      <c r="J33" s="1"/>
    </row>
    <row r="34">
      <c r="B34" s="1"/>
      <c r="C34" s="3"/>
      <c r="D34" s="3"/>
      <c r="E34" s="3"/>
      <c r="F34" s="3"/>
      <c r="G34" s="3"/>
      <c r="H34" s="5"/>
      <c r="I34" s="1"/>
      <c r="J34" s="1"/>
    </row>
    <row r="35">
      <c r="B35" s="1"/>
      <c r="C35" s="3"/>
      <c r="D35" s="3"/>
      <c r="E35" s="3"/>
      <c r="F35" s="3"/>
      <c r="G35" s="3"/>
      <c r="H35" s="5"/>
      <c r="I35" s="1"/>
      <c r="J35" s="1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B2:J35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10" customWidth="1"/>
    <col min="2" max="2" width="36" customWidth="1"/>
    <col min="3" max="8" width="13" customWidth="1"/>
    <col min="10" max="10" width="85" customWidth="1"/>
  </cols>
  <sheetData>
    <row r="2">
      <c r="B2" s="10" t="s">
        <v>0</v>
      </c>
      <c r="C2" s="2"/>
      <c r="D2" s="2"/>
      <c r="E2" s="2"/>
      <c r="F2" s="2"/>
      <c r="G2" s="2"/>
      <c r="H2" s="2"/>
      <c r="I2" s="1"/>
      <c r="J2" s="1"/>
    </row>
    <row r="3">
      <c r="B3" s="10" t="s">
        <v>188</v>
      </c>
      <c r="C3" s="2"/>
      <c r="D3" s="2"/>
      <c r="E3" s="2"/>
      <c r="F3" s="2"/>
      <c r="G3" s="2"/>
      <c r="H3" s="2"/>
      <c r="I3" s="1"/>
      <c r="J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B5" s="1"/>
      <c r="C5" s="1"/>
      <c r="D5" s="1"/>
      <c r="E5" s="1"/>
      <c r="F5" s="1"/>
      <c r="G5" s="1"/>
      <c r="H5" s="1"/>
      <c r="I5" s="1"/>
      <c r="J5" s="1"/>
    </row>
    <row r="6"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1"/>
      <c r="J6" s="1"/>
    </row>
    <row r="7">
      <c r="B7" s="4" t="s">
        <v>10</v>
      </c>
      <c r="C7" s="9">
        <v>45900</v>
      </c>
      <c r="D7" s="9">
        <v>45991</v>
      </c>
      <c r="E7" s="9">
        <v>45991</v>
      </c>
      <c r="F7" s="9">
        <v>46081</v>
      </c>
      <c r="G7" s="9">
        <v>46173</v>
      </c>
      <c r="H7" s="9">
        <v>46265</v>
      </c>
      <c r="I7" s="1"/>
      <c r="J7" s="1"/>
    </row>
    <row r="8">
      <c r="B8" s="4" t="s">
        <v>11</v>
      </c>
      <c r="C8" s="4">
        <v>92</v>
      </c>
      <c r="D8" s="4">
        <v>91</v>
      </c>
      <c r="E8" s="4">
        <v>365</v>
      </c>
      <c r="F8" s="4">
        <v>90</v>
      </c>
      <c r="G8" s="4">
        <v>92</v>
      </c>
      <c r="H8" s="4">
        <v>92</v>
      </c>
      <c r="I8" s="1"/>
      <c r="J8" s="1"/>
    </row>
    <row r="9">
      <c r="B9" s="1"/>
      <c r="C9" s="3"/>
      <c r="D9" s="3"/>
      <c r="E9" s="3"/>
      <c r="F9" s="3"/>
      <c r="G9" s="3"/>
      <c r="H9" s="5"/>
      <c r="I9" s="1"/>
      <c r="J9" s="1"/>
    </row>
    <row r="10">
      <c r="B10" s="1" t="s">
        <v>189</v>
      </c>
      <c r="C10" s="3"/>
      <c r="D10" s="3"/>
      <c r="E10" s="11">
        <v>1594.559</v>
      </c>
      <c r="F10" s="3"/>
      <c r="G10" s="3"/>
      <c r="H10" s="5"/>
      <c r="I10" s="1"/>
      <c r="J10" s="1" t="s">
        <v>190</v>
      </c>
    </row>
    <row r="11">
      <c r="B11" s="1" t="s">
        <v>191</v>
      </c>
      <c r="C11" s="3"/>
      <c r="D11" s="3"/>
      <c r="E11" s="11">
        <v>1126.061</v>
      </c>
      <c r="F11" s="3"/>
      <c r="G11" s="3"/>
      <c r="H11" s="5"/>
      <c r="I11" s="1"/>
      <c r="J11" s="1"/>
    </row>
    <row r="12">
      <c r="B12" s="1" t="s">
        <v>192</v>
      </c>
      <c r="C12" s="3"/>
      <c r="D12" s="3"/>
      <c r="E12" s="11">
        <v>1051.7</v>
      </c>
      <c r="F12" s="3"/>
      <c r="G12" s="3"/>
      <c r="H12" s="5"/>
      <c r="I12" s="1"/>
      <c r="J12" s="1"/>
    </row>
    <row r="13">
      <c r="B13" s="1" t="s">
        <v>193</v>
      </c>
      <c r="C13" s="3"/>
      <c r="D13" s="3"/>
      <c r="E13" s="11">
        <v>356.49</v>
      </c>
      <c r="F13" s="3"/>
      <c r="G13" s="3"/>
      <c r="H13" s="5"/>
      <c r="I13" s="1"/>
      <c r="J13" s="1"/>
    </row>
    <row r="14">
      <c r="B14" s="1" t="s">
        <v>194</v>
      </c>
      <c r="C14" s="3"/>
      <c r="D14" s="3"/>
      <c r="E14" s="11">
        <v>334.293</v>
      </c>
      <c r="F14" s="3"/>
      <c r="G14" s="3"/>
      <c r="H14" s="5"/>
      <c r="I14" s="1"/>
      <c r="J14" s="1"/>
    </row>
    <row r="15">
      <c r="B15" s="1" t="s">
        <v>195</v>
      </c>
      <c r="C15" s="3"/>
      <c r="D15" s="3"/>
      <c r="E15" s="11">
        <v>302.085</v>
      </c>
      <c r="F15" s="3"/>
      <c r="G15" s="3"/>
      <c r="H15" s="5"/>
      <c r="I15" s="1"/>
      <c r="J15" s="1"/>
    </row>
    <row r="16">
      <c r="B16" s="1" t="s">
        <v>196</v>
      </c>
      <c r="C16" s="3"/>
      <c r="D16" s="3"/>
      <c r="E16" s="11">
        <v>5060.583</v>
      </c>
      <c r="F16" s="3"/>
      <c r="G16" s="3"/>
      <c r="H16" s="5"/>
      <c r="I16" s="1"/>
      <c r="J16" s="1"/>
    </row>
    <row r="17">
      <c r="B17" s="18" t="s">
        <v>197</v>
      </c>
      <c r="C17" s="6"/>
      <c r="D17" s="6"/>
      <c r="E17" s="6">
        <f>SUM(E10:E16)</f>
        <v>9825.771</v>
      </c>
      <c r="F17" s="6"/>
      <c r="G17" s="6"/>
      <c r="H17" s="7"/>
      <c r="I17" s="1"/>
      <c r="J17" s="1"/>
    </row>
    <row r="18">
      <c r="B18" s="18" t="s">
        <v>198</v>
      </c>
      <c r="C18" s="6"/>
      <c r="D18" s="6"/>
      <c r="E18" s="8">
        <f>'Revenue summary'!E76</f>
        <v>9825.771</v>
      </c>
      <c r="F18" s="6"/>
      <c r="G18" s="6"/>
      <c r="H18" s="7"/>
      <c r="I18" s="1"/>
      <c r="J18" s="1"/>
    </row>
    <row r="19">
      <c r="B19" s="18" t="s">
        <v>199</v>
      </c>
      <c r="C19" s="6"/>
      <c r="D19" s="6"/>
      <c r="E19" s="6">
        <f>E17-E18</f>
        <v>0</v>
      </c>
      <c r="F19" s="6"/>
      <c r="G19" s="6"/>
      <c r="H19" s="7"/>
      <c r="I19" s="1"/>
      <c r="J19" s="1"/>
    </row>
    <row r="20">
      <c r="B20" s="1"/>
      <c r="C20" s="3"/>
      <c r="D20" s="3"/>
      <c r="E20" s="3"/>
      <c r="F20" s="3"/>
      <c r="G20" s="3"/>
      <c r="H20" s="5"/>
      <c r="I20" s="1"/>
      <c r="J20" s="1"/>
    </row>
    <row r="21">
      <c r="B21" s="1" t="s">
        <v>200</v>
      </c>
      <c r="C21" s="3"/>
      <c r="D21" s="3"/>
      <c r="E21" s="3"/>
      <c r="F21" s="3"/>
      <c r="G21" s="3"/>
      <c r="H21" s="5"/>
      <c r="I21" s="1"/>
      <c r="J21" s="1"/>
    </row>
    <row r="22">
      <c r="B22" s="1"/>
      <c r="C22" s="3"/>
      <c r="D22" s="3"/>
      <c r="E22" s="3"/>
      <c r="F22" s="3"/>
      <c r="G22" s="3"/>
      <c r="H22" s="5"/>
      <c r="I22" s="1"/>
      <c r="J22" s="1"/>
    </row>
    <row r="23">
      <c r="B23" s="1"/>
      <c r="C23" s="3"/>
      <c r="D23" s="3"/>
      <c r="E23" s="3"/>
      <c r="F23" s="3"/>
      <c r="G23" s="3"/>
      <c r="H23" s="5"/>
      <c r="I23" s="1"/>
      <c r="J23" s="1"/>
    </row>
    <row r="24">
      <c r="B24" s="1"/>
      <c r="C24" s="3"/>
      <c r="D24" s="3"/>
      <c r="E24" s="3"/>
      <c r="F24" s="3"/>
      <c r="G24" s="3"/>
      <c r="H24" s="5"/>
      <c r="I24" s="1"/>
      <c r="J24" s="1"/>
    </row>
    <row r="25">
      <c r="B25" s="1"/>
      <c r="C25" s="3"/>
      <c r="D25" s="3"/>
      <c r="E25" s="3"/>
      <c r="F25" s="3"/>
      <c r="G25" s="3"/>
      <c r="H25" s="5"/>
      <c r="I25" s="1"/>
      <c r="J25" s="1"/>
    </row>
    <row r="26">
      <c r="B26" s="1"/>
      <c r="C26" s="3"/>
      <c r="D26" s="3"/>
      <c r="E26" s="3"/>
      <c r="F26" s="3"/>
      <c r="G26" s="3"/>
      <c r="H26" s="5"/>
      <c r="I26" s="1"/>
      <c r="J26" s="1"/>
    </row>
    <row r="27">
      <c r="B27" s="1"/>
      <c r="C27" s="3"/>
      <c r="D27" s="3"/>
      <c r="E27" s="3"/>
      <c r="F27" s="3"/>
      <c r="G27" s="3"/>
      <c r="H27" s="5"/>
      <c r="I27" s="1"/>
      <c r="J27" s="1"/>
    </row>
    <row r="28">
      <c r="B28" s="1"/>
      <c r="C28" s="3"/>
      <c r="D28" s="3"/>
      <c r="E28" s="3"/>
      <c r="F28" s="3"/>
      <c r="G28" s="3"/>
      <c r="H28" s="5"/>
      <c r="I28" s="1"/>
      <c r="J28" s="1"/>
    </row>
    <row r="29">
      <c r="B29" s="1"/>
      <c r="C29" s="3"/>
      <c r="D29" s="3"/>
      <c r="E29" s="3"/>
      <c r="F29" s="3"/>
      <c r="G29" s="3"/>
      <c r="H29" s="5"/>
      <c r="I29" s="1"/>
      <c r="J29" s="1"/>
    </row>
    <row r="30">
      <c r="B30" s="1"/>
      <c r="C30" s="3"/>
      <c r="D30" s="3"/>
      <c r="E30" s="3"/>
      <c r="F30" s="3"/>
      <c r="G30" s="3"/>
      <c r="H30" s="5"/>
      <c r="I30" s="1"/>
      <c r="J30" s="1"/>
    </row>
    <row r="31">
      <c r="B31" s="1"/>
      <c r="C31" s="3"/>
      <c r="D31" s="3"/>
      <c r="E31" s="3"/>
      <c r="F31" s="3"/>
      <c r="G31" s="3"/>
      <c r="H31" s="5"/>
      <c r="I31" s="1"/>
      <c r="J31" s="1"/>
    </row>
    <row r="32">
      <c r="B32" s="1"/>
      <c r="C32" s="3"/>
      <c r="D32" s="3"/>
      <c r="E32" s="3"/>
      <c r="F32" s="3"/>
      <c r="G32" s="3"/>
      <c r="H32" s="5"/>
      <c r="I32" s="1"/>
      <c r="J32" s="1"/>
    </row>
    <row r="33">
      <c r="B33" s="1"/>
      <c r="C33" s="3"/>
      <c r="D33" s="3"/>
      <c r="E33" s="3"/>
      <c r="F33" s="3"/>
      <c r="G33" s="3"/>
      <c r="H33" s="5"/>
      <c r="I33" s="1"/>
      <c r="J33" s="1"/>
    </row>
    <row r="34">
      <c r="B34" s="1"/>
      <c r="C34" s="3"/>
      <c r="D34" s="3"/>
      <c r="E34" s="3"/>
      <c r="F34" s="3"/>
      <c r="G34" s="3"/>
      <c r="H34" s="5"/>
      <c r="I34" s="1"/>
      <c r="J34" s="1"/>
    </row>
    <row r="35">
      <c r="B35" s="1"/>
      <c r="C35" s="3"/>
      <c r="D35" s="3"/>
      <c r="E35" s="3"/>
      <c r="F35" s="3"/>
      <c r="G35" s="3"/>
      <c r="H35" s="5"/>
      <c r="I35" s="1"/>
      <c r="J35" s="1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B2:J35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10" customWidth="1"/>
    <col min="2" max="2" width="36" customWidth="1"/>
    <col min="3" max="8" width="13" customWidth="1"/>
  </cols>
  <sheetData>
    <row r="2">
      <c r="B2" s="10" t="s">
        <v>0</v>
      </c>
      <c r="C2" s="2"/>
      <c r="D2" s="2"/>
      <c r="E2" s="2"/>
      <c r="F2" s="2"/>
      <c r="G2" s="2"/>
      <c r="H2" s="2"/>
      <c r="I2" s="1"/>
      <c r="J2" s="1"/>
    </row>
    <row r="3">
      <c r="B3" s="10" t="s">
        <v>201</v>
      </c>
      <c r="C3" s="2"/>
      <c r="D3" s="2"/>
      <c r="E3" s="2"/>
      <c r="F3" s="2"/>
      <c r="G3" s="2"/>
      <c r="H3" s="2"/>
      <c r="I3" s="1"/>
      <c r="J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B5" s="1"/>
      <c r="C5" s="1"/>
      <c r="D5" s="1"/>
      <c r="E5" s="1"/>
      <c r="F5" s="1"/>
      <c r="G5" s="1"/>
      <c r="H5" s="1"/>
      <c r="I5" s="1"/>
      <c r="J5" s="1"/>
    </row>
    <row r="6"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1"/>
      <c r="J6" s="1"/>
    </row>
    <row r="7">
      <c r="B7" s="4" t="s">
        <v>10</v>
      </c>
      <c r="C7" s="9">
        <v>45900</v>
      </c>
      <c r="D7" s="9">
        <v>45991</v>
      </c>
      <c r="E7" s="9">
        <v>45991</v>
      </c>
      <c r="F7" s="9">
        <v>46081</v>
      </c>
      <c r="G7" s="9">
        <v>46173</v>
      </c>
      <c r="H7" s="9">
        <v>46265</v>
      </c>
      <c r="I7" s="1"/>
      <c r="J7" s="1"/>
    </row>
    <row r="8">
      <c r="B8" s="4" t="s">
        <v>11</v>
      </c>
      <c r="C8" s="4">
        <v>92</v>
      </c>
      <c r="D8" s="4">
        <v>91</v>
      </c>
      <c r="E8" s="4">
        <v>365</v>
      </c>
      <c r="F8" s="4">
        <v>90</v>
      </c>
      <c r="G8" s="4">
        <v>92</v>
      </c>
      <c r="H8" s="4">
        <v>92</v>
      </c>
      <c r="I8" s="1"/>
      <c r="J8" s="1"/>
    </row>
    <row r="9">
      <c r="B9" s="1"/>
      <c r="C9" s="3"/>
      <c r="D9" s="3"/>
      <c r="E9" s="3"/>
      <c r="F9" s="3"/>
      <c r="G9" s="3"/>
      <c r="H9" s="5"/>
      <c r="I9" s="1"/>
      <c r="J9" s="1"/>
    </row>
    <row r="10">
      <c r="B10" s="18" t="s">
        <v>202</v>
      </c>
      <c r="C10" s="8">
        <f>'Income Statement'!C30</f>
        <v>62.598</v>
      </c>
      <c r="D10" s="8">
        <f>'Income Statement'!D30</f>
        <v>62.071</v>
      </c>
      <c r="E10" s="8">
        <f>'Income Statement'!E30</f>
        <v>63.012</v>
      </c>
      <c r="F10" s="8">
        <f>'Income Statement'!F30</f>
        <v>61.279</v>
      </c>
      <c r="G10" s="8">
        <f>'Income Statement'!G30</f>
        <v>60.85</v>
      </c>
      <c r="H10" s="22">
        <f>'Income Statement'!H30</f>
        <v>60.85</v>
      </c>
      <c r="I10" s="1"/>
      <c r="J10" s="1"/>
    </row>
    <row r="11">
      <c r="B11" s="18" t="s">
        <v>203</v>
      </c>
      <c r="C11" s="8">
        <f>'Income Statement'!C31</f>
        <v>62.702</v>
      </c>
      <c r="D11" s="8">
        <f>'Income Statement'!D31</f>
        <v>62.071</v>
      </c>
      <c r="E11" s="8">
        <f>'Income Statement'!E31</f>
        <v>63.012</v>
      </c>
      <c r="F11" s="8">
        <f>'Income Statement'!F31</f>
        <v>61.3</v>
      </c>
      <c r="G11" s="8">
        <f>'Income Statement'!G31</f>
        <v>60.862</v>
      </c>
      <c r="H11" s="22">
        <f>'Income Statement'!H31</f>
        <v>60.9</v>
      </c>
      <c r="I11" s="1"/>
      <c r="J11" s="1"/>
    </row>
    <row r="12">
      <c r="B12" s="1" t="s">
        <v>204</v>
      </c>
      <c r="C12" s="3">
        <f>C11-C10</f>
        <v>0.1039999999999992</v>
      </c>
      <c r="D12" s="3">
        <f>D11-D10</f>
        <v>0</v>
      </c>
      <c r="E12" s="3">
        <f>E11-E10</f>
        <v>0</v>
      </c>
      <c r="F12" s="3">
        <f>F11-F10</f>
        <v>0.02099999999999369</v>
      </c>
      <c r="G12" s="3">
        <f>G11-G10</f>
        <v>0.012000000000000455</v>
      </c>
      <c r="H12" s="5">
        <f>H11-H10</f>
        <v>0.04999999999999716</v>
      </c>
      <c r="I12" s="1"/>
      <c r="J12" s="1"/>
    </row>
    <row r="13">
      <c r="B13" s="1" t="s">
        <v>205</v>
      </c>
      <c r="C13" s="3"/>
      <c r="D13" s="3"/>
      <c r="E13" s="3"/>
      <c r="F13" s="3"/>
      <c r="G13" s="3"/>
      <c r="H13" s="5">
        <f>H11-C11</f>
        <v>-1.8019999999999996</v>
      </c>
      <c r="I13" s="1"/>
      <c r="J13" s="1"/>
    </row>
    <row r="14">
      <c r="B14" s="1" t="s">
        <v>206</v>
      </c>
      <c r="C14" s="3"/>
      <c r="D14" s="3"/>
      <c r="E14" s="3"/>
      <c r="F14" s="3"/>
      <c r="G14" s="3">
        <f>G11-F11</f>
        <v>-0.4379999999999953</v>
      </c>
      <c r="H14" s="5">
        <f>H11-G11</f>
        <v>0.0379999999999967</v>
      </c>
      <c r="I14" s="1"/>
      <c r="J14" s="1"/>
    </row>
    <row r="15">
      <c r="B15" s="1" t="s">
        <v>207</v>
      </c>
      <c r="C15" s="11">
        <v>69.12</v>
      </c>
      <c r="D15" s="11">
        <v>70.316</v>
      </c>
      <c r="E15" s="3">
        <f>D15</f>
        <v>70.316</v>
      </c>
      <c r="F15" s="11">
        <v>70.546</v>
      </c>
      <c r="G15" s="11">
        <v>70.591</v>
      </c>
      <c r="H15" s="5">
        <f>G15</f>
        <v>70.591</v>
      </c>
      <c r="I15" s="1"/>
      <c r="J15" s="1"/>
    </row>
    <row r="16">
      <c r="B16" s="1" t="s">
        <v>208</v>
      </c>
      <c r="C16" s="11">
        <v>62.209</v>
      </c>
      <c r="D16" s="11">
        <v>61.739</v>
      </c>
      <c r="E16" s="3">
        <f>D16</f>
        <v>61.739</v>
      </c>
      <c r="F16" s="11">
        <v>60.822</v>
      </c>
      <c r="G16" s="11">
        <v>60.863</v>
      </c>
      <c r="H16" s="5">
        <f>H21</f>
        <v>60.9</v>
      </c>
      <c r="I16" s="1"/>
      <c r="J16" s="1"/>
    </row>
    <row r="17">
      <c r="B17" s="1" t="s">
        <v>209</v>
      </c>
      <c r="C17" s="3">
        <f>C15-C16</f>
        <v>6.911000000000001</v>
      </c>
      <c r="D17" s="3">
        <f>D15-D16</f>
        <v>8.577000000000005</v>
      </c>
      <c r="E17" s="3">
        <f>E15-E16</f>
        <v>8.577000000000005</v>
      </c>
      <c r="F17" s="3">
        <f>F15-F16</f>
        <v>9.724000000000004</v>
      </c>
      <c r="G17" s="3">
        <f>G15-G16</f>
        <v>9.727999999999994</v>
      </c>
      <c r="H17" s="5">
        <f>H15-H16</f>
        <v>9.690999999999995</v>
      </c>
      <c r="I17" s="1"/>
      <c r="J17" s="1"/>
    </row>
    <row r="18">
      <c r="B18" s="1" t="s">
        <v>210</v>
      </c>
      <c r="C18" s="11">
        <v>41.6</v>
      </c>
      <c r="D18" s="11">
        <v>55.934</v>
      </c>
      <c r="E18" s="11">
        <v>168.708</v>
      </c>
      <c r="F18" s="11">
        <v>43.194</v>
      </c>
      <c r="G18" s="11">
        <v>0</v>
      </c>
      <c r="H18" s="24">
        <f>Inputs!$C$98</f>
        <v>0</v>
      </c>
      <c r="I18" s="1"/>
      <c r="J18" s="1"/>
    </row>
    <row r="19">
      <c r="B19" s="1" t="s">
        <v>211</v>
      </c>
      <c r="C19" s="3"/>
      <c r="D19" s="3"/>
      <c r="E19" s="3"/>
      <c r="F19" s="3"/>
      <c r="G19" s="3"/>
      <c r="H19" s="24">
        <f>Inputs!$C$98</f>
        <v>0</v>
      </c>
      <c r="I19" s="1"/>
      <c r="J19" s="1"/>
    </row>
    <row r="20">
      <c r="B20" s="1" t="s">
        <v>212</v>
      </c>
      <c r="C20" s="17">
        <f>'Income Statement'!C50/'Income Statement'!C49</f>
        <v>0.04867866245340616</v>
      </c>
      <c r="D20" s="17">
        <f>'Income Statement'!D50/'Income Statement'!D49</f>
        <v>0.0484508894004684</v>
      </c>
      <c r="E20" s="17">
        <f>'Income Statement'!E50/'Income Statement'!E49</f>
        <v>0.048985500618097505</v>
      </c>
      <c r="F20" s="17">
        <f>'Income Statement'!F50/'Income Statement'!F49</f>
        <v>0.04853289246762026</v>
      </c>
      <c r="G20" s="17">
        <f>'Income Statement'!G50/'Income Statement'!G49</f>
        <v>0.05044159696268562</v>
      </c>
      <c r="H20" s="37">
        <f>'Income Statement'!H73</f>
        <v>0.048</v>
      </c>
      <c r="I20" s="1"/>
      <c r="J20" s="1"/>
    </row>
    <row r="21">
      <c r="B21" s="18" t="s">
        <v>213</v>
      </c>
      <c r="C21" s="8">
        <f>'Income Statement'!C31</f>
        <v>62.702</v>
      </c>
      <c r="D21" s="8">
        <f>'Income Statement'!D31</f>
        <v>62.071</v>
      </c>
      <c r="E21" s="8">
        <f>'Income Statement'!E31</f>
        <v>63.012</v>
      </c>
      <c r="F21" s="8">
        <f>'Income Statement'!F31</f>
        <v>61.3</v>
      </c>
      <c r="G21" s="8">
        <f>'Income Statement'!G31</f>
        <v>60.862</v>
      </c>
      <c r="H21" s="22">
        <f>'Income Statement'!H31</f>
        <v>60.9</v>
      </c>
      <c r="I21" s="1"/>
      <c r="J21" s="1"/>
    </row>
    <row r="22">
      <c r="B22" s="18" t="s">
        <v>214</v>
      </c>
      <c r="C22" s="12">
        <f>'Income Statement'!C52</f>
        <v>2.78</v>
      </c>
      <c r="D22" s="12">
        <f>'Income Statement'!D52</f>
        <v>2.95</v>
      </c>
      <c r="E22" s="12">
        <f>'Income Statement'!E52</f>
        <v>11.22</v>
      </c>
      <c r="F22" s="12">
        <f>'Income Statement'!F52</f>
        <v>2.61</v>
      </c>
      <c r="G22" s="12">
        <f>'Income Statement'!G52</f>
        <v>2.63</v>
      </c>
      <c r="H22" s="36">
        <f>'Income Statement'!H52</f>
        <v>2.7024137931034473</v>
      </c>
      <c r="I22" s="1"/>
      <c r="J22" s="1"/>
    </row>
    <row r="23">
      <c r="B23" s="18" t="s">
        <v>215</v>
      </c>
      <c r="C23" s="8">
        <f>C22-'Income Statement'!C51/C21</f>
        <v>0</v>
      </c>
      <c r="D23" s="8">
        <f>D22-'Income Statement'!D51/D21</f>
        <v>0</v>
      </c>
      <c r="E23" s="8">
        <f>E22-'Income Statement'!E51/E21</f>
        <v>0</v>
      </c>
      <c r="F23" s="8">
        <f>F22-'Income Statement'!F51/F21</f>
        <v>0</v>
      </c>
      <c r="G23" s="8">
        <f>G22-'Income Statement'!G51/G21</f>
        <v>0</v>
      </c>
      <c r="H23" s="22">
        <f>H22-'Income Statement'!H51/H21</f>
        <v>0</v>
      </c>
      <c r="I23" s="1"/>
      <c r="J23" s="1"/>
    </row>
    <row r="24">
      <c r="B24" s="1"/>
      <c r="C24" s="3"/>
      <c r="D24" s="3"/>
      <c r="E24" s="3"/>
      <c r="F24" s="3"/>
      <c r="G24" s="3"/>
      <c r="H24" s="5"/>
      <c r="I24" s="1"/>
      <c r="J24" s="1"/>
    </row>
    <row r="25">
      <c r="B25" s="1"/>
      <c r="C25" s="3"/>
      <c r="D25" s="3"/>
      <c r="E25" s="3"/>
      <c r="F25" s="3"/>
      <c r="G25" s="3"/>
      <c r="H25" s="5"/>
      <c r="I25" s="1"/>
      <c r="J25" s="1"/>
    </row>
    <row r="26">
      <c r="B26" s="1"/>
      <c r="C26" s="3"/>
      <c r="D26" s="3"/>
      <c r="E26" s="3"/>
      <c r="F26" s="3"/>
      <c r="G26" s="3"/>
      <c r="H26" s="5"/>
      <c r="I26" s="1"/>
      <c r="J26" s="1"/>
    </row>
    <row r="27">
      <c r="B27" s="1"/>
      <c r="C27" s="3"/>
      <c r="D27" s="3"/>
      <c r="E27" s="3"/>
      <c r="F27" s="3"/>
      <c r="G27" s="3"/>
      <c r="H27" s="5"/>
      <c r="I27" s="1"/>
      <c r="J27" s="1"/>
    </row>
    <row r="28">
      <c r="B28" s="1"/>
      <c r="C28" s="3"/>
      <c r="D28" s="3"/>
      <c r="E28" s="3"/>
      <c r="F28" s="3"/>
      <c r="G28" s="3"/>
      <c r="H28" s="5"/>
      <c r="I28" s="1"/>
      <c r="J28" s="1"/>
    </row>
    <row r="29">
      <c r="B29" s="1"/>
      <c r="C29" s="3"/>
      <c r="D29" s="3"/>
      <c r="E29" s="3"/>
      <c r="F29" s="3"/>
      <c r="G29" s="3"/>
      <c r="H29" s="5"/>
      <c r="I29" s="1"/>
      <c r="J29" s="1"/>
    </row>
    <row r="30">
      <c r="B30" s="1"/>
      <c r="C30" s="3"/>
      <c r="D30" s="3"/>
      <c r="E30" s="3"/>
      <c r="F30" s="3"/>
      <c r="G30" s="3"/>
      <c r="H30" s="5"/>
      <c r="I30" s="1"/>
      <c r="J30" s="1"/>
    </row>
    <row r="31">
      <c r="B31" s="1"/>
      <c r="C31" s="3"/>
      <c r="D31" s="3"/>
      <c r="E31" s="3"/>
      <c r="F31" s="3"/>
      <c r="G31" s="3"/>
      <c r="H31" s="5"/>
      <c r="I31" s="1"/>
      <c r="J31" s="1"/>
    </row>
    <row r="32">
      <c r="B32" s="1"/>
      <c r="C32" s="3"/>
      <c r="D32" s="3"/>
      <c r="E32" s="3"/>
      <c r="F32" s="3"/>
      <c r="G32" s="3"/>
      <c r="H32" s="5"/>
      <c r="I32" s="1"/>
      <c r="J32" s="1"/>
    </row>
    <row r="33">
      <c r="B33" s="1"/>
      <c r="C33" s="3"/>
      <c r="D33" s="3"/>
      <c r="E33" s="3"/>
      <c r="F33" s="3"/>
      <c r="G33" s="3"/>
      <c r="H33" s="5"/>
      <c r="I33" s="1"/>
      <c r="J33" s="1"/>
    </row>
    <row r="34">
      <c r="B34" s="1"/>
      <c r="C34" s="3"/>
      <c r="D34" s="3"/>
      <c r="E34" s="3"/>
      <c r="F34" s="3"/>
      <c r="G34" s="3"/>
      <c r="H34" s="5"/>
      <c r="I34" s="1"/>
      <c r="J34" s="1"/>
    </row>
    <row r="35">
      <c r="B35" s="1"/>
      <c r="C35" s="3"/>
      <c r="D35" s="3"/>
      <c r="E35" s="3"/>
      <c r="F35" s="3"/>
      <c r="G35" s="3"/>
      <c r="H35" s="5"/>
      <c r="I35" s="1"/>
      <c r="J35" s="1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B2:J35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10" customWidth="1"/>
    <col min="2" max="2" width="36" customWidth="1"/>
    <col min="3" max="8" width="13" customWidth="1"/>
  </cols>
  <sheetData>
    <row r="2">
      <c r="B2" s="10" t="s">
        <v>0</v>
      </c>
      <c r="C2" s="2"/>
      <c r="D2" s="2"/>
      <c r="E2" s="2"/>
      <c r="F2" s="2"/>
      <c r="G2" s="2"/>
      <c r="H2" s="2"/>
      <c r="I2" s="1"/>
      <c r="J2" s="1"/>
    </row>
    <row r="3">
      <c r="B3" s="10" t="s">
        <v>216</v>
      </c>
      <c r="C3" s="2"/>
      <c r="D3" s="2"/>
      <c r="E3" s="2"/>
      <c r="F3" s="2"/>
      <c r="G3" s="2"/>
      <c r="H3" s="2"/>
      <c r="I3" s="1"/>
      <c r="J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B5" s="1"/>
      <c r="C5" s="1"/>
      <c r="D5" s="1"/>
      <c r="E5" s="1"/>
      <c r="F5" s="1"/>
      <c r="G5" s="1"/>
      <c r="H5" s="1"/>
      <c r="I5" s="1"/>
      <c r="J5" s="1"/>
    </row>
    <row r="6"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1"/>
      <c r="J6" s="1"/>
    </row>
    <row r="7">
      <c r="B7" s="4" t="s">
        <v>10</v>
      </c>
      <c r="C7" s="9">
        <v>45900</v>
      </c>
      <c r="D7" s="9">
        <v>45991</v>
      </c>
      <c r="E7" s="9">
        <v>45991</v>
      </c>
      <c r="F7" s="9">
        <v>46081</v>
      </c>
      <c r="G7" s="9">
        <v>46173</v>
      </c>
      <c r="H7" s="9">
        <v>46265</v>
      </c>
      <c r="I7" s="1"/>
      <c r="J7" s="1"/>
    </row>
    <row r="8">
      <c r="B8" s="4" t="s">
        <v>11</v>
      </c>
      <c r="C8" s="4">
        <v>92</v>
      </c>
      <c r="D8" s="4">
        <v>91</v>
      </c>
      <c r="E8" s="4">
        <v>365</v>
      </c>
      <c r="F8" s="4">
        <v>90</v>
      </c>
      <c r="G8" s="4">
        <v>92</v>
      </c>
      <c r="H8" s="4">
        <v>92</v>
      </c>
      <c r="I8" s="1"/>
      <c r="J8" s="1"/>
    </row>
    <row r="9">
      <c r="B9" s="1"/>
      <c r="C9" s="3"/>
      <c r="D9" s="3"/>
      <c r="E9" s="3"/>
      <c r="F9" s="3"/>
      <c r="G9" s="3"/>
      <c r="H9" s="5"/>
      <c r="I9" s="1"/>
      <c r="J9" s="1"/>
    </row>
    <row r="10">
      <c r="B10" s="1" t="s">
        <v>217</v>
      </c>
      <c r="C10" s="3" t="s">
        <v>218</v>
      </c>
      <c r="D10" s="3" t="s">
        <v>219</v>
      </c>
      <c r="E10" s="3" t="s">
        <v>220</v>
      </c>
      <c r="F10" s="3" t="s">
        <v>221</v>
      </c>
      <c r="G10" s="3" t="s">
        <v>222</v>
      </c>
      <c r="H10" s="5" t="s">
        <v>223</v>
      </c>
      <c r="I10" s="1" t="s">
        <v>224</v>
      </c>
      <c r="J10" s="1"/>
    </row>
    <row r="11">
      <c r="B11" s="18" t="s">
        <v>18</v>
      </c>
      <c r="C11" s="26">
        <v>46202</v>
      </c>
      <c r="D11" s="6" t="s">
        <v>225</v>
      </c>
      <c r="E11" s="19">
        <v>2465</v>
      </c>
      <c r="F11" s="19">
        <v>2490</v>
      </c>
      <c r="G11" s="6">
        <f>AVERAGE(E11:F11)</f>
        <v>2477.5</v>
      </c>
      <c r="H11" s="7"/>
      <c r="I11" s="1"/>
      <c r="J11" s="1"/>
    </row>
    <row r="12">
      <c r="B12" s="18" t="s">
        <v>226</v>
      </c>
      <c r="C12" s="26">
        <v>46202</v>
      </c>
      <c r="D12" s="6" t="s">
        <v>225</v>
      </c>
      <c r="E12" s="33">
        <v>2.65</v>
      </c>
      <c r="F12" s="33">
        <v>2.77</v>
      </c>
      <c r="G12" s="32">
        <f>AVERAGE(E12:F12)</f>
        <v>2.71</v>
      </c>
      <c r="H12" s="40"/>
      <c r="I12" s="29"/>
      <c r="J12" s="1"/>
    </row>
    <row r="13">
      <c r="B13" s="18" t="s">
        <v>113</v>
      </c>
      <c r="C13" s="26">
        <v>46202</v>
      </c>
      <c r="D13" s="6" t="s">
        <v>225</v>
      </c>
      <c r="E13" s="19">
        <v>295</v>
      </c>
      <c r="F13" s="19">
        <v>305</v>
      </c>
      <c r="G13" s="6">
        <f>AVERAGE(E13:F13)</f>
        <v>300</v>
      </c>
      <c r="H13" s="7"/>
      <c r="I13" s="1"/>
      <c r="J13" s="1"/>
    </row>
    <row r="14">
      <c r="B14" s="18" t="s">
        <v>77</v>
      </c>
      <c r="C14" s="26">
        <v>46202</v>
      </c>
      <c r="D14" s="6" t="s">
        <v>225</v>
      </c>
      <c r="E14" s="19">
        <v>121</v>
      </c>
      <c r="F14" s="19">
        <v>131</v>
      </c>
      <c r="G14" s="6">
        <f>AVERAGE(E14:F14)</f>
        <v>126</v>
      </c>
      <c r="H14" s="7"/>
      <c r="I14" s="1"/>
      <c r="J14" s="1"/>
    </row>
    <row r="15">
      <c r="B15" s="1" t="s">
        <v>227</v>
      </c>
      <c r="C15" s="23">
        <v>46202</v>
      </c>
      <c r="D15" s="3" t="s">
        <v>225</v>
      </c>
      <c r="E15" s="31">
        <v>-0.0075</v>
      </c>
      <c r="F15" s="31">
        <v>-0.0075</v>
      </c>
      <c r="G15" s="25">
        <f>AVERAGE(E15:F15)</f>
        <v>-0.0075</v>
      </c>
      <c r="H15" s="5"/>
      <c r="I15" s="1"/>
      <c r="J15" s="1"/>
    </row>
    <row r="16">
      <c r="B16" s="1" t="s">
        <v>228</v>
      </c>
      <c r="C16" s="23">
        <v>46202</v>
      </c>
      <c r="D16" s="3" t="s">
        <v>225</v>
      </c>
      <c r="E16" s="11">
        <v>65</v>
      </c>
      <c r="F16" s="11">
        <v>65</v>
      </c>
      <c r="G16" s="3">
        <f>AVERAGE(E16:F16)</f>
        <v>65</v>
      </c>
      <c r="H16" s="5"/>
      <c r="I16" s="1"/>
      <c r="J16" s="1"/>
    </row>
    <row r="17">
      <c r="B17" s="1" t="s">
        <v>229</v>
      </c>
      <c r="C17" s="23">
        <v>46202</v>
      </c>
      <c r="D17" s="3" t="s">
        <v>225</v>
      </c>
      <c r="E17" s="11">
        <v>60.9</v>
      </c>
      <c r="F17" s="11">
        <v>60.9</v>
      </c>
      <c r="G17" s="3">
        <f>AVERAGE(E17:F17)</f>
        <v>60.9</v>
      </c>
      <c r="H17" s="5"/>
      <c r="I17" s="1"/>
      <c r="J17" s="1"/>
    </row>
    <row r="18">
      <c r="B18" s="1" t="s">
        <v>230</v>
      </c>
      <c r="C18" s="23">
        <v>46202</v>
      </c>
      <c r="D18" s="3" t="s">
        <v>225</v>
      </c>
      <c r="E18" s="31">
        <v>0.048</v>
      </c>
      <c r="F18" s="31">
        <v>0.048</v>
      </c>
      <c r="G18" s="25">
        <f>AVERAGE(E18:F18)</f>
        <v>0.048</v>
      </c>
      <c r="H18" s="5"/>
      <c r="I18" s="1"/>
      <c r="J18" s="1"/>
    </row>
    <row r="19">
      <c r="B19" s="1" t="s">
        <v>231</v>
      </c>
      <c r="C19" s="23">
        <v>46202</v>
      </c>
      <c r="D19" s="3" t="s">
        <v>225</v>
      </c>
      <c r="E19" s="31">
        <v>0.25</v>
      </c>
      <c r="F19" s="31">
        <v>0.25</v>
      </c>
      <c r="G19" s="25">
        <f>AVERAGE(E19:F19)</f>
        <v>0.25</v>
      </c>
      <c r="H19" s="5"/>
      <c r="I19" s="1"/>
      <c r="J19" s="1"/>
    </row>
    <row r="20">
      <c r="B20" s="18" t="s">
        <v>18</v>
      </c>
      <c r="C20" s="26">
        <v>46202</v>
      </c>
      <c r="D20" s="6" t="s">
        <v>232</v>
      </c>
      <c r="E20" s="19">
        <v>9925</v>
      </c>
      <c r="F20" s="19">
        <v>10025</v>
      </c>
      <c r="G20" s="6">
        <f>AVERAGE(E20:F20)</f>
        <v>9975</v>
      </c>
      <c r="H20" s="7"/>
      <c r="I20" s="1"/>
      <c r="J20" s="1"/>
    </row>
    <row r="21">
      <c r="B21" s="18" t="s">
        <v>113</v>
      </c>
      <c r="C21" s="26">
        <v>46202</v>
      </c>
      <c r="D21" s="6" t="s">
        <v>232</v>
      </c>
      <c r="E21" s="19">
        <v>1200</v>
      </c>
      <c r="F21" s="19">
        <v>1230</v>
      </c>
      <c r="G21" s="6">
        <f>AVERAGE(E21:F21)</f>
        <v>1215</v>
      </c>
      <c r="H21" s="7"/>
      <c r="I21" s="1"/>
      <c r="J21" s="1"/>
    </row>
    <row r="22">
      <c r="B22" s="18" t="s">
        <v>233</v>
      </c>
      <c r="C22" s="26">
        <v>46202</v>
      </c>
      <c r="D22" s="6" t="s">
        <v>232</v>
      </c>
      <c r="E22" s="33">
        <v>10.83</v>
      </c>
      <c r="F22" s="33">
        <v>11.18</v>
      </c>
      <c r="G22" s="32">
        <f>AVERAGE(E22:F22)</f>
        <v>11.004999999999999</v>
      </c>
      <c r="H22" s="40"/>
      <c r="I22" s="29"/>
      <c r="J22" s="1"/>
    </row>
    <row r="23">
      <c r="B23" s="1" t="s">
        <v>234</v>
      </c>
      <c r="C23" s="23">
        <v>46202</v>
      </c>
      <c r="D23" s="3" t="s">
        <v>232</v>
      </c>
      <c r="E23" s="11">
        <v>630</v>
      </c>
      <c r="F23" s="11">
        <v>650</v>
      </c>
      <c r="G23" s="3">
        <f>AVERAGE(E23:F23)</f>
        <v>640</v>
      </c>
      <c r="H23" s="5"/>
      <c r="I23" s="1"/>
      <c r="J23" s="1"/>
    </row>
    <row r="24">
      <c r="B24" s="1" t="s">
        <v>18</v>
      </c>
      <c r="C24" s="23">
        <v>46105</v>
      </c>
      <c r="D24" s="3" t="s">
        <v>235</v>
      </c>
      <c r="E24" s="11">
        <v>2460</v>
      </c>
      <c r="F24" s="11">
        <v>2485</v>
      </c>
      <c r="G24" s="3">
        <f>AVERAGE(E24:F24)</f>
        <v>2472.5</v>
      </c>
      <c r="H24" s="24">
        <f>'Revenue summary'!G76</f>
        <v>2462.473</v>
      </c>
      <c r="I24" s="1">
        <f>H24-G24</f>
        <v>-10.027000000000044</v>
      </c>
      <c r="J24" s="1"/>
    </row>
    <row r="25">
      <c r="B25" s="1" t="s">
        <v>113</v>
      </c>
      <c r="C25" s="23">
        <v>46105</v>
      </c>
      <c r="D25" s="3" t="s">
        <v>235</v>
      </c>
      <c r="E25" s="11">
        <v>290</v>
      </c>
      <c r="F25" s="11">
        <v>300</v>
      </c>
      <c r="G25" s="3">
        <f>AVERAGE(E25:F25)</f>
        <v>295</v>
      </c>
      <c r="H25" s="24">
        <f>'Income Statement'!G54</f>
        <v>292.01399999999995</v>
      </c>
      <c r="I25" s="1">
        <f>H25-G25</f>
        <v>-2.986000000000047</v>
      </c>
      <c r="J25" s="1"/>
    </row>
    <row r="26">
      <c r="B26" s="1" t="s">
        <v>226</v>
      </c>
      <c r="C26" s="23">
        <v>46105</v>
      </c>
      <c r="D26" s="3" t="s">
        <v>235</v>
      </c>
      <c r="E26" s="35">
        <v>2.57</v>
      </c>
      <c r="F26" s="35">
        <v>2.69</v>
      </c>
      <c r="G26" s="29">
        <f>AVERAGE(E26:F26)</f>
        <v>2.63</v>
      </c>
      <c r="H26" s="39">
        <f>'Income Statement'!G52</f>
        <v>2.63</v>
      </c>
      <c r="I26" s="29">
        <f>H26-G26</f>
        <v>0</v>
      </c>
      <c r="J26" s="1"/>
    </row>
    <row r="27">
      <c r="B27" s="1" t="s">
        <v>18</v>
      </c>
      <c r="C27" s="23">
        <v>46035</v>
      </c>
      <c r="D27" s="3" t="s">
        <v>236</v>
      </c>
      <c r="E27" s="11">
        <v>2475</v>
      </c>
      <c r="F27" s="11">
        <v>2500</v>
      </c>
      <c r="G27" s="3">
        <f>AVERAGE(E27:F27)</f>
        <v>2487.5</v>
      </c>
      <c r="H27" s="24">
        <f>'Revenue summary'!F76</f>
        <v>2500.391</v>
      </c>
      <c r="I27" s="1">
        <f>H27-G27</f>
        <v>12.891000000000076</v>
      </c>
      <c r="J27" s="1"/>
    </row>
    <row r="28">
      <c r="B28" s="1"/>
      <c r="C28" s="3"/>
      <c r="D28" s="3"/>
      <c r="E28" s="3"/>
      <c r="F28" s="3"/>
      <c r="G28" s="3"/>
      <c r="H28" s="5"/>
      <c r="I28" s="1"/>
      <c r="J28" s="1"/>
    </row>
    <row r="29">
      <c r="B29" s="1"/>
      <c r="C29" s="3"/>
      <c r="D29" s="3"/>
      <c r="E29" s="3"/>
      <c r="F29" s="3"/>
      <c r="G29" s="3"/>
      <c r="H29" s="5"/>
      <c r="I29" s="1"/>
      <c r="J29" s="1"/>
    </row>
    <row r="30">
      <c r="B30" s="1"/>
      <c r="C30" s="3"/>
      <c r="D30" s="3"/>
      <c r="E30" s="3"/>
      <c r="F30" s="3"/>
      <c r="G30" s="3"/>
      <c r="H30" s="5"/>
      <c r="I30" s="1"/>
      <c r="J30" s="1"/>
    </row>
    <row r="31">
      <c r="B31" s="1"/>
      <c r="C31" s="3"/>
      <c r="D31" s="3"/>
      <c r="E31" s="3"/>
      <c r="F31" s="3"/>
      <c r="G31" s="3"/>
      <c r="H31" s="5"/>
      <c r="I31" s="1"/>
      <c r="J31" s="1"/>
    </row>
    <row r="32">
      <c r="B32" s="1"/>
      <c r="C32" s="3"/>
      <c r="D32" s="3"/>
      <c r="E32" s="3"/>
      <c r="F32" s="3"/>
      <c r="G32" s="3"/>
      <c r="H32" s="5"/>
      <c r="I32" s="1"/>
      <c r="J32" s="1"/>
    </row>
    <row r="33">
      <c r="B33" s="1"/>
      <c r="C33" s="3"/>
      <c r="D33" s="3"/>
      <c r="E33" s="3"/>
      <c r="F33" s="3"/>
      <c r="G33" s="3"/>
      <c r="H33" s="5"/>
      <c r="I33" s="1"/>
      <c r="J33" s="1"/>
    </row>
    <row r="34">
      <c r="B34" s="1"/>
      <c r="C34" s="3"/>
      <c r="D34" s="3"/>
      <c r="E34" s="3"/>
      <c r="F34" s="3"/>
      <c r="G34" s="3"/>
      <c r="H34" s="5"/>
      <c r="I34" s="1"/>
      <c r="J34" s="1"/>
    </row>
    <row r="35">
      <c r="B35" s="1"/>
      <c r="C35" s="3"/>
      <c r="D35" s="3"/>
      <c r="E35" s="3"/>
      <c r="F35" s="3"/>
      <c r="G35" s="3"/>
      <c r="H35" s="5"/>
      <c r="I35" s="1"/>
      <c r="J35" s="1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B2:J36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10" customWidth="1"/>
    <col min="2" max="2" width="36" customWidth="1"/>
    <col min="3" max="8" width="14" customWidth="1"/>
    <col min="10" max="10" width="92" customWidth="1"/>
  </cols>
  <sheetData>
    <row r="2">
      <c r="B2" s="10" t="s">
        <v>0</v>
      </c>
      <c r="C2" s="2"/>
      <c r="D2" s="2"/>
      <c r="E2" s="2"/>
      <c r="F2" s="2"/>
      <c r="G2" s="2"/>
      <c r="H2" s="2"/>
      <c r="I2" s="1"/>
      <c r="J2" s="1"/>
    </row>
    <row r="3">
      <c r="B3" s="10" t="s">
        <v>237</v>
      </c>
      <c r="C3" s="2"/>
      <c r="D3" s="2"/>
      <c r="E3" s="2"/>
      <c r="F3" s="2"/>
      <c r="G3" s="2"/>
      <c r="H3" s="2"/>
      <c r="I3" s="1"/>
      <c r="J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B5" s="1"/>
      <c r="C5" s="1"/>
      <c r="D5" s="1"/>
      <c r="E5" s="1"/>
      <c r="F5" s="1"/>
      <c r="G5" s="1"/>
      <c r="H5" s="1"/>
      <c r="I5" s="1"/>
      <c r="J5" s="1"/>
    </row>
    <row r="6"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1"/>
      <c r="J6" s="1"/>
    </row>
    <row r="7">
      <c r="B7" s="4" t="s">
        <v>10</v>
      </c>
      <c r="C7" s="9">
        <v>45900</v>
      </c>
      <c r="D7" s="9">
        <v>45991</v>
      </c>
      <c r="E7" s="9">
        <v>45991</v>
      </c>
      <c r="F7" s="9">
        <v>46081</v>
      </c>
      <c r="G7" s="9">
        <v>46173</v>
      </c>
      <c r="H7" s="9">
        <v>46265</v>
      </c>
      <c r="I7" s="1"/>
      <c r="J7" s="1"/>
    </row>
    <row r="8">
      <c r="B8" s="4" t="s">
        <v>11</v>
      </c>
      <c r="C8" s="4">
        <v>92</v>
      </c>
      <c r="D8" s="4">
        <v>91</v>
      </c>
      <c r="E8" s="4">
        <v>365</v>
      </c>
      <c r="F8" s="4">
        <v>90</v>
      </c>
      <c r="G8" s="4">
        <v>92</v>
      </c>
      <c r="H8" s="4">
        <v>92</v>
      </c>
      <c r="I8" s="1"/>
      <c r="J8" s="1"/>
    </row>
    <row r="9">
      <c r="B9" s="1"/>
      <c r="C9" s="3"/>
      <c r="D9" s="3"/>
      <c r="E9" s="3"/>
      <c r="F9" s="3"/>
      <c r="G9" s="3"/>
      <c r="H9" s="5"/>
      <c r="I9" s="1"/>
      <c r="J9" s="1"/>
    </row>
    <row r="10">
      <c r="B10" s="18" t="s">
        <v>238</v>
      </c>
      <c r="C10" s="6" t="s">
        <v>239</v>
      </c>
      <c r="D10" s="6" t="s">
        <v>240</v>
      </c>
      <c r="E10" s="6" t="s">
        <v>241</v>
      </c>
      <c r="F10" s="6" t="s">
        <v>242</v>
      </c>
      <c r="G10" s="6"/>
      <c r="H10" s="7"/>
      <c r="I10" s="1"/>
      <c r="J10" s="1"/>
    </row>
    <row r="11" ht="48.75">
      <c r="B11" s="13" t="s">
        <v>243</v>
      </c>
      <c r="C11" s="16">
        <v>46289</v>
      </c>
      <c r="D11" s="14" t="s">
        <v>244</v>
      </c>
      <c r="E11" s="14" t="s">
        <v>245</v>
      </c>
      <c r="F11" s="14" t="s">
        <v>246</v>
      </c>
      <c r="G11" s="3"/>
      <c r="H11" s="5"/>
      <c r="I11" s="1"/>
      <c r="J11" s="13" t="s">
        <v>247</v>
      </c>
    </row>
    <row r="12" ht="48.75">
      <c r="B12" s="13" t="s">
        <v>248</v>
      </c>
      <c r="C12" s="16" t="s">
        <v>249</v>
      </c>
      <c r="D12" s="14" t="s">
        <v>244</v>
      </c>
      <c r="E12" s="14" t="s">
        <v>250</v>
      </c>
      <c r="F12" s="14" t="s">
        <v>251</v>
      </c>
      <c r="G12" s="3"/>
      <c r="H12" s="5"/>
      <c r="I12" s="1"/>
      <c r="J12" s="13" t="s">
        <v>252</v>
      </c>
    </row>
    <row r="13" ht="48.75">
      <c r="B13" s="13" t="s">
        <v>253</v>
      </c>
      <c r="C13" s="16">
        <v>45925</v>
      </c>
      <c r="D13" s="14" t="s">
        <v>254</v>
      </c>
      <c r="E13" s="14" t="s">
        <v>255</v>
      </c>
      <c r="F13" s="14" t="s">
        <v>256</v>
      </c>
      <c r="G13" s="3"/>
      <c r="H13" s="5"/>
      <c r="I13" s="1"/>
      <c r="J13" s="13" t="s">
        <v>257</v>
      </c>
    </row>
    <row r="14" ht="48.75">
      <c r="B14" s="13" t="s">
        <v>258</v>
      </c>
      <c r="C14" s="16">
        <v>46035</v>
      </c>
      <c r="D14" s="14" t="s">
        <v>259</v>
      </c>
      <c r="E14" s="14" t="s">
        <v>260</v>
      </c>
      <c r="F14" s="14" t="s">
        <v>261</v>
      </c>
      <c r="G14" s="3"/>
      <c r="H14" s="5"/>
      <c r="I14" s="1"/>
      <c r="J14" s="13" t="s">
        <v>262</v>
      </c>
    </row>
    <row r="15" ht="48.75">
      <c r="B15" s="13" t="s">
        <v>263</v>
      </c>
      <c r="C15" s="16">
        <v>46105</v>
      </c>
      <c r="D15" s="14" t="s">
        <v>264</v>
      </c>
      <c r="E15" s="14" t="s">
        <v>265</v>
      </c>
      <c r="F15" s="14" t="s">
        <v>266</v>
      </c>
      <c r="G15" s="3"/>
      <c r="H15" s="5"/>
      <c r="I15" s="1"/>
      <c r="J15" s="13" t="s">
        <v>267</v>
      </c>
    </row>
    <row r="16" ht="48.75">
      <c r="B16" s="13" t="s">
        <v>268</v>
      </c>
      <c r="C16" s="16">
        <v>46202</v>
      </c>
      <c r="D16" s="14" t="s">
        <v>269</v>
      </c>
      <c r="E16" s="14" t="s">
        <v>270</v>
      </c>
      <c r="F16" s="14" t="s">
        <v>271</v>
      </c>
      <c r="G16" s="3"/>
      <c r="H16" s="5"/>
      <c r="I16" s="1"/>
      <c r="J16" s="13" t="s">
        <v>272</v>
      </c>
    </row>
    <row r="17" ht="48.75">
      <c r="B17" s="13" t="s">
        <v>273</v>
      </c>
      <c r="C17" s="16">
        <v>45933</v>
      </c>
      <c r="D17" s="14" t="s">
        <v>274</v>
      </c>
      <c r="E17" s="14" t="s">
        <v>275</v>
      </c>
      <c r="F17" s="14" t="s">
        <v>276</v>
      </c>
      <c r="G17" s="3"/>
      <c r="H17" s="5"/>
      <c r="I17" s="1"/>
      <c r="J17" s="13" t="s">
        <v>277</v>
      </c>
    </row>
    <row r="18" ht="48.75">
      <c r="B18" s="13" t="s">
        <v>278</v>
      </c>
      <c r="C18" s="16" t="s">
        <v>279</v>
      </c>
      <c r="D18" s="14" t="s">
        <v>280</v>
      </c>
      <c r="E18" s="14" t="s">
        <v>281</v>
      </c>
      <c r="F18" s="14" t="s">
        <v>282</v>
      </c>
      <c r="G18" s="3"/>
      <c r="H18" s="5"/>
      <c r="I18" s="1"/>
      <c r="J18" s="13" t="s">
        <v>283</v>
      </c>
    </row>
    <row r="19" ht="48.75">
      <c r="B19" s="13" t="s">
        <v>284</v>
      </c>
      <c r="C19" s="16">
        <v>46205</v>
      </c>
      <c r="D19" s="14" t="s">
        <v>285</v>
      </c>
      <c r="E19" s="14" t="s">
        <v>286</v>
      </c>
      <c r="F19" s="14" t="s">
        <v>287</v>
      </c>
      <c r="G19" s="3"/>
      <c r="H19" s="5"/>
      <c r="I19" s="1"/>
      <c r="J19" s="13" t="s">
        <v>288</v>
      </c>
    </row>
    <row r="20" ht="48.75">
      <c r="B20" s="13" t="s">
        <v>289</v>
      </c>
      <c r="C20" s="16">
        <v>46050</v>
      </c>
      <c r="D20" s="14" t="s">
        <v>290</v>
      </c>
      <c r="E20" s="14" t="s">
        <v>291</v>
      </c>
      <c r="F20" s="14" t="s">
        <v>292</v>
      </c>
      <c r="G20" s="3"/>
      <c r="H20" s="5"/>
      <c r="I20" s="1"/>
      <c r="J20" s="13" t="s">
        <v>293</v>
      </c>
    </row>
    <row r="21" ht="48.75">
      <c r="B21" s="13" t="s">
        <v>294</v>
      </c>
      <c r="C21" s="16">
        <v>46050</v>
      </c>
      <c r="D21" s="14" t="s">
        <v>295</v>
      </c>
      <c r="E21" s="14" t="s">
        <v>296</v>
      </c>
      <c r="F21" s="14" t="s">
        <v>297</v>
      </c>
      <c r="G21" s="3"/>
      <c r="H21" s="5"/>
      <c r="I21" s="1"/>
      <c r="J21" s="13" t="s">
        <v>298</v>
      </c>
    </row>
    <row r="22" ht="48.75">
      <c r="B22" s="13" t="s">
        <v>299</v>
      </c>
      <c r="C22" s="16">
        <v>46050</v>
      </c>
      <c r="D22" s="14" t="s">
        <v>300</v>
      </c>
      <c r="E22" s="14" t="s">
        <v>301</v>
      </c>
      <c r="F22" s="14" t="s">
        <v>302</v>
      </c>
      <c r="G22" s="3"/>
      <c r="H22" s="5"/>
      <c r="I22" s="1"/>
      <c r="J22" s="13" t="s">
        <v>303</v>
      </c>
    </row>
    <row r="23" ht="48.75">
      <c r="B23" s="13" t="s">
        <v>304</v>
      </c>
      <c r="C23" s="16">
        <v>46202</v>
      </c>
      <c r="D23" s="14" t="s">
        <v>305</v>
      </c>
      <c r="E23" s="14" t="s">
        <v>306</v>
      </c>
      <c r="F23" s="14" t="s">
        <v>307</v>
      </c>
      <c r="G23" s="3"/>
      <c r="H23" s="5"/>
      <c r="I23" s="1"/>
      <c r="J23" s="13" t="s">
        <v>308</v>
      </c>
    </row>
    <row r="24" ht="48.75">
      <c r="B24" s="13" t="s">
        <v>309</v>
      </c>
      <c r="C24" s="16">
        <v>46289</v>
      </c>
      <c r="D24" s="14" t="s">
        <v>310</v>
      </c>
      <c r="E24" s="14" t="s">
        <v>311</v>
      </c>
      <c r="F24" s="14" t="s">
        <v>312</v>
      </c>
      <c r="G24" s="3"/>
      <c r="H24" s="5"/>
      <c r="I24" s="1"/>
      <c r="J24" s="13" t="s">
        <v>313</v>
      </c>
    </row>
    <row r="25" ht="48.75">
      <c r="B25" s="13" t="s">
        <v>314</v>
      </c>
      <c r="C25" s="16">
        <v>46287</v>
      </c>
      <c r="D25" s="14" t="s">
        <v>315</v>
      </c>
      <c r="E25" s="14" t="s">
        <v>316</v>
      </c>
      <c r="F25" s="14" t="s">
        <v>317</v>
      </c>
      <c r="G25" s="3"/>
      <c r="H25" s="5"/>
      <c r="I25" s="1"/>
      <c r="J25" s="13" t="s">
        <v>318</v>
      </c>
    </row>
    <row r="26" ht="48.75">
      <c r="B26" s="13" t="s">
        <v>319</v>
      </c>
      <c r="C26" s="16">
        <v>46239</v>
      </c>
      <c r="D26" s="14" t="s">
        <v>320</v>
      </c>
      <c r="E26" s="14" t="s">
        <v>321</v>
      </c>
      <c r="F26" s="14" t="s">
        <v>322</v>
      </c>
      <c r="G26" s="3"/>
      <c r="H26" s="5"/>
      <c r="I26" s="1"/>
      <c r="J26" s="13" t="s">
        <v>323</v>
      </c>
    </row>
    <row r="27" ht="48.75">
      <c r="B27" s="13" t="s">
        <v>324</v>
      </c>
      <c r="C27" s="16">
        <v>46244</v>
      </c>
      <c r="D27" s="14" t="s">
        <v>325</v>
      </c>
      <c r="E27" s="14" t="s">
        <v>326</v>
      </c>
      <c r="F27" s="14" t="s">
        <v>327</v>
      </c>
      <c r="G27" s="3"/>
      <c r="H27" s="5"/>
      <c r="I27" s="1"/>
      <c r="J27" s="13" t="s">
        <v>328</v>
      </c>
    </row>
    <row r="28" ht="48.75">
      <c r="B28" s="13" t="s">
        <v>329</v>
      </c>
      <c r="C28" s="16">
        <v>46273</v>
      </c>
      <c r="D28" s="14" t="s">
        <v>330</v>
      </c>
      <c r="E28" s="14" t="s">
        <v>331</v>
      </c>
      <c r="F28" s="14" t="s">
        <v>332</v>
      </c>
      <c r="G28" s="3"/>
      <c r="H28" s="5"/>
      <c r="I28" s="1"/>
      <c r="J28" s="13" t="s">
        <v>333</v>
      </c>
    </row>
    <row r="29">
      <c r="B29" s="1"/>
      <c r="C29" s="3"/>
      <c r="D29" s="3"/>
      <c r="E29" s="3"/>
      <c r="F29" s="3"/>
      <c r="G29" s="3"/>
      <c r="H29" s="5"/>
      <c r="I29" s="1"/>
      <c r="J29" s="13"/>
    </row>
    <row r="30">
      <c r="B30" s="1"/>
      <c r="C30" s="3"/>
      <c r="D30" s="3"/>
      <c r="E30" s="3"/>
      <c r="F30" s="3"/>
      <c r="G30" s="3"/>
      <c r="H30" s="5"/>
      <c r="I30" s="1"/>
      <c r="J30" s="13"/>
    </row>
    <row r="31">
      <c r="B31" s="1" t="s">
        <v>334</v>
      </c>
      <c r="C31" s="3" t="s">
        <v>335</v>
      </c>
      <c r="D31" s="3"/>
      <c r="E31" s="3"/>
      <c r="F31" s="3"/>
      <c r="G31" s="3"/>
      <c r="H31" s="5"/>
      <c r="I31" s="1"/>
      <c r="J31" s="13"/>
    </row>
    <row r="32">
      <c r="B32" s="1" t="s">
        <v>336</v>
      </c>
      <c r="C32" s="3" t="s">
        <v>337</v>
      </c>
      <c r="D32" s="3"/>
      <c r="E32" s="3"/>
      <c r="F32" s="3"/>
      <c r="G32" s="3"/>
      <c r="H32" s="5"/>
      <c r="I32" s="1"/>
      <c r="J32" s="13"/>
    </row>
    <row r="33">
      <c r="B33" s="1" t="s">
        <v>338</v>
      </c>
      <c r="C33" s="11">
        <v>46289</v>
      </c>
      <c r="D33" s="3"/>
      <c r="E33" s="3"/>
      <c r="F33" s="3"/>
      <c r="G33" s="3"/>
      <c r="H33" s="5"/>
      <c r="I33" s="1"/>
      <c r="J33" s="13"/>
    </row>
    <row r="34">
      <c r="B34" s="1" t="s">
        <v>35</v>
      </c>
      <c r="C34" s="3" t="s">
        <v>339</v>
      </c>
      <c r="D34" s="3"/>
      <c r="E34" s="3"/>
      <c r="F34" s="3"/>
      <c r="G34" s="3"/>
      <c r="H34" s="5"/>
      <c r="I34" s="1"/>
      <c r="J34" s="13"/>
    </row>
    <row r="35" ht="41.25">
      <c r="B35" s="1" t="s">
        <v>340</v>
      </c>
      <c r="C35" s="3" t="s">
        <v>341</v>
      </c>
      <c r="D35" s="3"/>
      <c r="E35" s="3"/>
      <c r="F35" s="3"/>
      <c r="G35" s="3"/>
      <c r="H35" s="5"/>
      <c r="I35" s="1"/>
      <c r="J35" s="13" t="s">
        <v>342</v>
      </c>
    </row>
    <row r="36" ht="41.25">
      <c r="B36" s="1" t="s">
        <v>343</v>
      </c>
      <c r="C36" s="3" t="s">
        <v>344</v>
      </c>
      <c r="D36" s="3"/>
      <c r="E36" s="3"/>
      <c r="F36" s="3"/>
      <c r="G36" s="3"/>
      <c r="H36" s="5"/>
      <c r="I36" s="1"/>
      <c r="J36" s="13" t="s">
        <v>345</v>
      </c>
    </row>
  </sheetData>
  <hyperlinks>
    <hyperlink ref="E13" r:id="rId1" display="Open source 3"/>
    <hyperlink ref="E14" r:id="rId2" display="Open source 4"/>
    <hyperlink ref="E15" r:id="rId3" display="Open source 5"/>
    <hyperlink ref="E16" r:id="rId4" display="Open source 6"/>
    <hyperlink ref="E17" r:id="rId5" display="Open source 7"/>
    <hyperlink ref="E18" r:id="rId6" display="Open source 8"/>
    <hyperlink ref="E19" r:id="rId7" display="Open source 9"/>
    <hyperlink ref="E20" r:id="rId8" display="Open source 10"/>
    <hyperlink ref="E21" r:id="rId9" display="Open source 11"/>
    <hyperlink ref="E22" r:id="rId10" display="Open source 12"/>
    <hyperlink ref="E23" r:id="rId11" display="Open source 13"/>
    <hyperlink ref="E24" r:id="rId12" display="Open source 14"/>
    <hyperlink ref="E25" r:id="rId13" display="Open source 15"/>
    <hyperlink ref="E26" r:id="rId14" display="Open source 16"/>
    <hyperlink ref="E27" r:id="rId15" display="Open source 17"/>
    <hyperlink ref="E28" r:id="rId16" display="Open source 18"/>
  </hyperlinks>
</worksheet>
</file>

<file path=xl/worksheets/sheet10.xml><?xml version="1.0" encoding="utf-8"?>
<worksheet xmlns="http://schemas.openxmlformats.org/spreadsheetml/2006/main" xmlns:r="http://schemas.openxmlformats.org/officeDocument/2006/relationships">
  <dimension ref="B2:J116"/>
  <sheetViews>
    <sheetView showGridLines="0" workbookViewId="0">
      <pane xSplit="2" ySplit="8" topLeftCell="C9" activePane="bottomRight" state="frozen"/>
    </sheetView>
  </sheetViews>
  <sheetFormatPr defaultColWidth="8.42578125" defaultRowHeight="15"/>
  <cols>
    <col min="1" max="1" width="10" customWidth="1"/>
    <col min="2" max="2" width="36" customWidth="1"/>
    <col min="3" max="8" width="13" customWidth="1"/>
  </cols>
  <sheetData>
    <row r="2">
      <c r="B2" s="10" t="s">
        <v>0</v>
      </c>
      <c r="C2" s="2"/>
      <c r="D2" s="2"/>
      <c r="E2" s="2"/>
      <c r="F2" s="2"/>
      <c r="G2" s="2"/>
      <c r="H2" s="2"/>
      <c r="I2" s="1"/>
      <c r="J2" s="1"/>
    </row>
    <row r="3">
      <c r="B3" s="10" t="s">
        <v>346</v>
      </c>
      <c r="C3" s="2"/>
      <c r="D3" s="2"/>
      <c r="E3" s="2"/>
      <c r="F3" s="2"/>
      <c r="G3" s="2"/>
      <c r="H3" s="2"/>
      <c r="I3" s="1"/>
      <c r="J3" s="1"/>
    </row>
    <row r="4">
      <c r="B4" s="1" t="s">
        <v>2</v>
      </c>
      <c r="C4" s="1"/>
      <c r="D4" s="1"/>
      <c r="E4" s="1"/>
      <c r="F4" s="1"/>
      <c r="G4" s="1"/>
      <c r="H4" s="1"/>
      <c r="I4" s="1"/>
      <c r="J4" s="1"/>
    </row>
    <row r="5">
      <c r="B5" s="1"/>
      <c r="C5" s="1"/>
      <c r="D5" s="1"/>
      <c r="E5" s="1"/>
      <c r="F5" s="1"/>
      <c r="G5" s="1"/>
      <c r="H5" s="1"/>
      <c r="I5" s="1"/>
      <c r="J5" s="1"/>
    </row>
    <row r="6"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1"/>
      <c r="J6" s="1"/>
    </row>
    <row r="7">
      <c r="B7" s="4" t="s">
        <v>10</v>
      </c>
      <c r="C7" s="9">
        <v>45900</v>
      </c>
      <c r="D7" s="9">
        <v>45991</v>
      </c>
      <c r="E7" s="9">
        <v>45991</v>
      </c>
      <c r="F7" s="9">
        <v>46081</v>
      </c>
      <c r="G7" s="9">
        <v>46173</v>
      </c>
      <c r="H7" s="9">
        <v>46265</v>
      </c>
      <c r="I7" s="1"/>
      <c r="J7" s="1"/>
    </row>
    <row r="8">
      <c r="B8" s="4" t="s">
        <v>11</v>
      </c>
      <c r="C8" s="4">
        <v>92</v>
      </c>
      <c r="D8" s="4">
        <v>91</v>
      </c>
      <c r="E8" s="4">
        <v>365</v>
      </c>
      <c r="F8" s="4">
        <v>90</v>
      </c>
      <c r="G8" s="4">
        <v>92</v>
      </c>
      <c r="H8" s="4">
        <v>92</v>
      </c>
      <c r="I8" s="1"/>
      <c r="J8" s="1"/>
    </row>
    <row r="9">
      <c r="B9" s="1"/>
      <c r="C9" s="3"/>
      <c r="D9" s="3"/>
      <c r="E9" s="3"/>
      <c r="F9" s="3"/>
      <c r="G9" s="3"/>
      <c r="H9" s="5"/>
      <c r="I9" s="1"/>
      <c r="J9" s="1"/>
    </row>
    <row r="10">
      <c r="B10" s="1"/>
      <c r="C10" s="3"/>
      <c r="D10" s="3"/>
      <c r="E10" s="3"/>
      <c r="F10" s="3"/>
      <c r="G10" s="3"/>
      <c r="H10" s="5"/>
      <c r="I10" s="1"/>
      <c r="J10" s="1"/>
    </row>
    <row r="11">
      <c r="B11" s="18" t="s">
        <v>347</v>
      </c>
      <c r="C11" s="6" t="s">
        <v>348</v>
      </c>
      <c r="D11" s="6" t="s">
        <v>349</v>
      </c>
      <c r="E11" s="6" t="s">
        <v>350</v>
      </c>
      <c r="F11" s="6" t="s">
        <v>351</v>
      </c>
      <c r="G11" s="6" t="s">
        <v>352</v>
      </c>
      <c r="H11" s="7" t="s">
        <v>353</v>
      </c>
      <c r="I11" s="1" t="s">
        <v>354</v>
      </c>
      <c r="J11" s="1" t="s">
        <v>355</v>
      </c>
    </row>
    <row r="12">
      <c r="B12" s="1"/>
      <c r="C12" s="23">
        <v>45716</v>
      </c>
      <c r="D12" s="59">
        <v>2.59</v>
      </c>
      <c r="E12" s="59">
        <v>2.79</v>
      </c>
      <c r="F12" s="59">
        <v>0.76</v>
      </c>
      <c r="G12" s="59">
        <v>1.04</v>
      </c>
      <c r="H12" s="62">
        <v>2365.27</v>
      </c>
      <c r="I12" s="59">
        <v>2372.22</v>
      </c>
      <c r="J12" s="23">
        <v>45742</v>
      </c>
    </row>
    <row r="13">
      <c r="B13" s="1"/>
      <c r="C13" s="23">
        <v>45808</v>
      </c>
      <c r="D13" s="59">
        <v>2.75</v>
      </c>
      <c r="E13" s="59">
        <v>2.7</v>
      </c>
      <c r="F13" s="59">
        <v>1.02</v>
      </c>
      <c r="G13" s="59">
        <v>0.63</v>
      </c>
      <c r="H13" s="62">
        <v>2381.71</v>
      </c>
      <c r="I13" s="59">
        <v>2417.37</v>
      </c>
      <c r="J13" s="23">
        <v>45834</v>
      </c>
    </row>
    <row r="14">
      <c r="B14" s="1"/>
      <c r="C14" s="23">
        <v>45900</v>
      </c>
      <c r="D14" s="59">
        <v>2.87</v>
      </c>
      <c r="E14" s="59">
        <v>2.78</v>
      </c>
      <c r="F14" s="59">
        <v>0.95</v>
      </c>
      <c r="G14" s="59">
        <v>1.34</v>
      </c>
      <c r="H14" s="62">
        <v>2460.85</v>
      </c>
      <c r="I14" s="59">
        <v>2483.25</v>
      </c>
      <c r="J14" s="23">
        <v>45925</v>
      </c>
    </row>
    <row r="15">
      <c r="B15" s="1"/>
      <c r="C15" s="23">
        <v>45991</v>
      </c>
      <c r="D15" s="59">
        <v>2.91</v>
      </c>
      <c r="E15" s="59">
        <v>2.95</v>
      </c>
      <c r="F15" s="59">
        <v>1.2</v>
      </c>
      <c r="G15" s="59">
        <v>-23.85</v>
      </c>
      <c r="H15" s="62">
        <v>2539.16</v>
      </c>
      <c r="I15" s="59">
        <v>2552.93</v>
      </c>
      <c r="J15" s="23">
        <v>46035</v>
      </c>
    </row>
    <row r="16">
      <c r="B16" s="1"/>
      <c r="C16" s="23">
        <v>46081</v>
      </c>
      <c r="D16" s="59">
        <v>2.65</v>
      </c>
      <c r="E16" s="59">
        <v>2.61</v>
      </c>
      <c r="F16" s="59">
        <v>0.89</v>
      </c>
      <c r="G16" s="59">
        <v>0.33</v>
      </c>
      <c r="H16" s="62">
        <v>2490.56</v>
      </c>
      <c r="I16" s="59">
        <v>2500.39</v>
      </c>
      <c r="J16" s="23">
        <v>46105</v>
      </c>
    </row>
    <row r="17">
      <c r="B17" s="1"/>
      <c r="C17" s="23">
        <v>46173</v>
      </c>
      <c r="D17" s="59">
        <v>2.64</v>
      </c>
      <c r="E17" s="59">
        <v>2.63</v>
      </c>
      <c r="F17" s="59">
        <v>0.71</v>
      </c>
      <c r="G17" s="59">
        <v>0.86</v>
      </c>
      <c r="H17" s="62">
        <v>2473.43</v>
      </c>
      <c r="I17" s="59">
        <v>2462.47</v>
      </c>
      <c r="J17" s="23">
        <v>46202</v>
      </c>
    </row>
    <row r="18">
      <c r="B18" s="1"/>
      <c r="C18" s="60"/>
      <c r="D18" s="3"/>
      <c r="E18" s="3"/>
      <c r="F18" s="3"/>
      <c r="G18" s="3"/>
      <c r="H18" s="5"/>
      <c r="I18" s="1"/>
      <c r="J18" s="1"/>
    </row>
    <row r="19">
      <c r="B19" s="1"/>
      <c r="C19" s="60"/>
      <c r="D19" s="3"/>
      <c r="E19" s="3"/>
      <c r="F19" s="3"/>
      <c r="G19" s="3"/>
      <c r="H19" s="5"/>
      <c r="I19" s="1"/>
      <c r="J19" s="1"/>
    </row>
    <row r="20">
      <c r="B20" s="1" t="s">
        <v>356</v>
      </c>
      <c r="C20" s="23">
        <v>46289</v>
      </c>
      <c r="D20" s="3"/>
      <c r="E20" s="3"/>
      <c r="F20" s="3"/>
      <c r="G20" s="3"/>
      <c r="H20" s="5"/>
      <c r="I20" s="1"/>
      <c r="J20" s="1"/>
    </row>
    <row r="21">
      <c r="B21" s="1" t="s">
        <v>357</v>
      </c>
      <c r="C21" s="3" t="s">
        <v>335</v>
      </c>
      <c r="D21" s="3"/>
      <c r="E21" s="3"/>
      <c r="F21" s="3"/>
      <c r="G21" s="3"/>
      <c r="H21" s="5"/>
      <c r="I21" s="1"/>
      <c r="J21" s="1"/>
    </row>
    <row r="22">
      <c r="B22" s="1" t="s">
        <v>358</v>
      </c>
      <c r="C22" s="3" t="s">
        <v>337</v>
      </c>
      <c r="D22" s="3"/>
      <c r="E22" s="3"/>
      <c r="F22" s="3"/>
      <c r="G22" s="3"/>
      <c r="H22" s="5"/>
      <c r="I22" s="1"/>
      <c r="J22" s="1"/>
    </row>
    <row r="23">
      <c r="B23" s="1" t="s">
        <v>359</v>
      </c>
      <c r="C23" s="3" t="s">
        <v>360</v>
      </c>
      <c r="D23" s="3"/>
      <c r="E23" s="3"/>
      <c r="F23" s="3"/>
      <c r="G23" s="3"/>
      <c r="H23" s="5"/>
      <c r="I23" s="1"/>
      <c r="J23" s="1"/>
    </row>
    <row r="24">
      <c r="B24" s="1" t="s">
        <v>361</v>
      </c>
      <c r="C24" s="3" t="s">
        <v>362</v>
      </c>
      <c r="D24" s="3"/>
      <c r="E24" s="3"/>
      <c r="F24" s="3"/>
      <c r="G24" s="3"/>
      <c r="H24" s="5"/>
      <c r="I24" s="1"/>
      <c r="J24" s="1"/>
    </row>
    <row r="25">
      <c r="B25" s="1"/>
      <c r="C25" s="3"/>
      <c r="D25" s="3"/>
      <c r="E25" s="3"/>
      <c r="F25" s="3"/>
      <c r="G25" s="3"/>
      <c r="H25" s="5"/>
      <c r="I25" s="1"/>
      <c r="J25" s="1"/>
    </row>
    <row r="26">
      <c r="B26" s="1"/>
      <c r="C26" s="3"/>
      <c r="D26" s="3"/>
      <c r="E26" s="3"/>
      <c r="F26" s="3"/>
      <c r="G26" s="3"/>
      <c r="H26" s="5"/>
      <c r="I26" s="1"/>
      <c r="J26" s="1"/>
    </row>
    <row r="27">
      <c r="B27" s="18" t="s">
        <v>363</v>
      </c>
      <c r="C27" s="61" t="s">
        <v>364</v>
      </c>
      <c r="D27" s="6"/>
      <c r="E27" s="6"/>
      <c r="F27" s="6"/>
      <c r="G27" s="6"/>
      <c r="H27" s="7"/>
      <c r="I27" s="1"/>
      <c r="J27" s="1"/>
    </row>
    <row r="28">
      <c r="B28" s="1" t="s">
        <v>365</v>
      </c>
      <c r="C28" s="64" t="s">
        <v>0</v>
      </c>
      <c r="D28" s="3"/>
      <c r="E28" s="3"/>
      <c r="F28" s="3"/>
      <c r="G28" s="3"/>
      <c r="H28" s="5"/>
      <c r="I28" s="1"/>
      <c r="J28" s="1"/>
    </row>
    <row r="29">
      <c r="B29" s="1" t="s">
        <v>366</v>
      </c>
      <c r="C29" s="64" t="s">
        <v>367</v>
      </c>
      <c r="D29" s="3"/>
      <c r="E29" s="3"/>
      <c r="F29" s="3"/>
      <c r="G29" s="3"/>
      <c r="H29" s="5"/>
      <c r="I29" s="1"/>
      <c r="J29" s="1"/>
    </row>
    <row r="30">
      <c r="B30" s="1" t="s">
        <v>368</v>
      </c>
      <c r="C30" s="59">
        <v>9068477</v>
      </c>
      <c r="D30" s="3"/>
      <c r="E30" s="3"/>
      <c r="F30" s="3"/>
      <c r="G30" s="3"/>
      <c r="H30" s="5"/>
      <c r="I30" s="1"/>
      <c r="J30" s="1"/>
    </row>
    <row r="31">
      <c r="B31" s="1" t="s">
        <v>369</v>
      </c>
      <c r="C31" s="59">
        <v>4</v>
      </c>
      <c r="D31" s="3"/>
      <c r="E31" s="3"/>
      <c r="F31" s="3"/>
      <c r="G31" s="3"/>
      <c r="H31" s="5"/>
      <c r="I31" s="1"/>
      <c r="J31" s="1"/>
    </row>
    <row r="32">
      <c r="B32" s="1" t="s">
        <v>370</v>
      </c>
      <c r="C32" s="64" t="s">
        <v>371</v>
      </c>
      <c r="D32" s="3"/>
      <c r="E32" s="3"/>
      <c r="F32" s="3"/>
      <c r="G32" s="3"/>
      <c r="H32" s="5"/>
      <c r="I32" s="1"/>
      <c r="J32" s="1"/>
    </row>
    <row r="33">
      <c r="B33" s="1" t="s">
        <v>372</v>
      </c>
      <c r="C33" s="64" t="s">
        <v>360</v>
      </c>
      <c r="D33" s="3"/>
      <c r="E33" s="3"/>
      <c r="F33" s="3"/>
      <c r="G33" s="3"/>
      <c r="H33" s="5"/>
      <c r="I33" s="1"/>
      <c r="J33" s="1"/>
    </row>
    <row r="34">
      <c r="B34" s="1" t="s">
        <v>348</v>
      </c>
      <c r="C34" s="59" t="s">
        <v>373</v>
      </c>
      <c r="D34" s="3"/>
      <c r="E34" s="3"/>
      <c r="F34" s="3"/>
      <c r="G34" s="3"/>
      <c r="H34" s="5"/>
      <c r="I34" s="1"/>
      <c r="J34" s="1"/>
    </row>
    <row r="35">
      <c r="B35" s="1" t="s">
        <v>374</v>
      </c>
      <c r="C35" s="59" t="s">
        <v>375</v>
      </c>
      <c r="D35" s="3"/>
      <c r="E35" s="3"/>
      <c r="F35" s="3"/>
      <c r="G35" s="3"/>
      <c r="H35" s="5"/>
      <c r="I35" s="1"/>
      <c r="J35" s="1"/>
    </row>
    <row r="36">
      <c r="B36" s="1" t="s">
        <v>376</v>
      </c>
      <c r="C36" s="59">
        <v>2.81</v>
      </c>
      <c r="D36" s="3"/>
      <c r="E36" s="3"/>
      <c r="F36" s="3"/>
      <c r="G36" s="3"/>
      <c r="H36" s="5"/>
      <c r="I36" s="1"/>
      <c r="J36" s="1"/>
    </row>
    <row r="37">
      <c r="B37" s="1" t="s">
        <v>377</v>
      </c>
      <c r="C37" s="59">
        <v>2.71</v>
      </c>
      <c r="D37" s="3"/>
      <c r="E37" s="3"/>
      <c r="F37" s="3"/>
      <c r="G37" s="3"/>
      <c r="H37" s="5"/>
      <c r="I37" s="1"/>
      <c r="J37" s="1"/>
    </row>
    <row r="38">
      <c r="B38" s="1" t="s">
        <v>378</v>
      </c>
      <c r="C38" s="59">
        <v>3.15</v>
      </c>
      <c r="D38" s="3"/>
      <c r="E38" s="3"/>
      <c r="F38" s="3"/>
      <c r="G38" s="3"/>
      <c r="H38" s="5"/>
      <c r="I38" s="1"/>
      <c r="J38" s="1"/>
    </row>
    <row r="39">
      <c r="B39" s="1" t="s">
        <v>379</v>
      </c>
      <c r="C39" s="59">
        <v>2.68</v>
      </c>
      <c r="D39" s="3"/>
      <c r="E39" s="3"/>
      <c r="F39" s="3"/>
      <c r="G39" s="3"/>
      <c r="H39" s="5"/>
      <c r="I39" s="1"/>
      <c r="J39" s="1"/>
    </row>
    <row r="40">
      <c r="B40" s="1" t="s">
        <v>380</v>
      </c>
      <c r="C40" s="59">
        <v>0.2</v>
      </c>
      <c r="D40" s="3"/>
      <c r="E40" s="3"/>
      <c r="F40" s="3"/>
      <c r="G40" s="3"/>
      <c r="H40" s="5"/>
      <c r="I40" s="1"/>
      <c r="J40" s="1"/>
    </row>
    <row r="41">
      <c r="B41" s="1" t="s">
        <v>381</v>
      </c>
      <c r="C41" s="59">
        <v>4</v>
      </c>
      <c r="D41" s="3"/>
      <c r="E41" s="3"/>
      <c r="F41" s="3"/>
      <c r="G41" s="3"/>
      <c r="H41" s="5"/>
      <c r="I41" s="1"/>
      <c r="J41" s="1"/>
    </row>
    <row r="42">
      <c r="B42" s="1" t="s">
        <v>382</v>
      </c>
      <c r="C42" s="64"/>
      <c r="D42" s="3"/>
      <c r="E42" s="3"/>
      <c r="F42" s="3"/>
      <c r="G42" s="3"/>
      <c r="H42" s="5"/>
      <c r="I42" s="1"/>
      <c r="J42" s="1"/>
    </row>
    <row r="43">
      <c r="B43" s="1" t="s">
        <v>383</v>
      </c>
      <c r="C43" s="59">
        <v>2.65</v>
      </c>
      <c r="D43" s="3"/>
      <c r="E43" s="3"/>
      <c r="F43" s="3"/>
      <c r="G43" s="3"/>
      <c r="H43" s="5"/>
      <c r="I43" s="1"/>
      <c r="J43" s="1"/>
    </row>
    <row r="44">
      <c r="B44" s="1" t="s">
        <v>384</v>
      </c>
      <c r="C44" s="59">
        <v>2.77</v>
      </c>
      <c r="D44" s="3"/>
      <c r="E44" s="3"/>
      <c r="F44" s="3"/>
      <c r="G44" s="3"/>
      <c r="H44" s="5"/>
      <c r="I44" s="1"/>
      <c r="J44" s="1"/>
    </row>
    <row r="45">
      <c r="B45" s="1" t="s">
        <v>385</v>
      </c>
      <c r="C45" s="59">
        <v>0.81</v>
      </c>
      <c r="D45" s="3"/>
      <c r="E45" s="3"/>
      <c r="F45" s="3"/>
      <c r="G45" s="3"/>
      <c r="H45" s="5"/>
      <c r="I45" s="1"/>
      <c r="J45" s="1"/>
    </row>
    <row r="46">
      <c r="B46" s="1" t="s">
        <v>386</v>
      </c>
      <c r="C46" s="59">
        <v>0.81</v>
      </c>
      <c r="D46" s="3"/>
      <c r="E46" s="3"/>
      <c r="F46" s="3"/>
      <c r="G46" s="3"/>
      <c r="H46" s="5"/>
      <c r="I46" s="1"/>
      <c r="J46" s="1"/>
    </row>
    <row r="47">
      <c r="B47" s="1" t="s">
        <v>387</v>
      </c>
      <c r="C47" s="59">
        <v>1</v>
      </c>
      <c r="D47" s="3"/>
      <c r="E47" s="3"/>
      <c r="F47" s="3"/>
      <c r="G47" s="3"/>
      <c r="H47" s="5"/>
      <c r="I47" s="1"/>
      <c r="J47" s="1"/>
    </row>
    <row r="48">
      <c r="B48" s="1" t="s">
        <v>388</v>
      </c>
      <c r="C48" s="59">
        <v>0.61</v>
      </c>
      <c r="D48" s="3"/>
      <c r="E48" s="3"/>
      <c r="F48" s="3"/>
      <c r="G48" s="3"/>
      <c r="H48" s="5"/>
      <c r="I48" s="1"/>
      <c r="J48" s="1"/>
    </row>
    <row r="49">
      <c r="B49" s="1" t="s">
        <v>389</v>
      </c>
      <c r="C49" s="59">
        <v>0.2</v>
      </c>
      <c r="D49" s="3"/>
      <c r="E49" s="3"/>
      <c r="F49" s="3"/>
      <c r="G49" s="3"/>
      <c r="H49" s="5"/>
      <c r="I49" s="1"/>
      <c r="J49" s="1"/>
    </row>
    <row r="50">
      <c r="B50" s="1" t="s">
        <v>390</v>
      </c>
      <c r="C50" s="59">
        <v>2</v>
      </c>
      <c r="D50" s="3"/>
      <c r="E50" s="3"/>
      <c r="F50" s="3"/>
      <c r="G50" s="3"/>
      <c r="H50" s="5"/>
      <c r="I50" s="1"/>
      <c r="J50" s="1"/>
    </row>
    <row r="51">
      <c r="B51" s="1" t="s">
        <v>391</v>
      </c>
      <c r="C51" s="64"/>
      <c r="D51" s="3"/>
      <c r="E51" s="3"/>
      <c r="F51" s="3"/>
      <c r="G51" s="3"/>
      <c r="H51" s="5"/>
      <c r="I51" s="1"/>
      <c r="J51" s="1"/>
    </row>
    <row r="52">
      <c r="B52" s="1" t="s">
        <v>392</v>
      </c>
      <c r="C52" s="64"/>
      <c r="D52" s="3"/>
      <c r="E52" s="3"/>
      <c r="F52" s="3"/>
      <c r="G52" s="3"/>
      <c r="H52" s="5"/>
      <c r="I52" s="1"/>
      <c r="J52" s="1"/>
    </row>
    <row r="53">
      <c r="B53" s="1" t="s">
        <v>393</v>
      </c>
      <c r="C53" s="59">
        <v>2477.44</v>
      </c>
      <c r="D53" s="3"/>
      <c r="E53" s="3"/>
      <c r="F53" s="3"/>
      <c r="G53" s="3"/>
      <c r="H53" s="5"/>
      <c r="I53" s="1"/>
      <c r="J53" s="1"/>
    </row>
    <row r="54">
      <c r="B54" s="1" t="s">
        <v>394</v>
      </c>
      <c r="C54" s="59">
        <v>2477.25</v>
      </c>
      <c r="D54" s="3"/>
      <c r="E54" s="3"/>
      <c r="F54" s="3"/>
      <c r="G54" s="3"/>
      <c r="H54" s="5"/>
      <c r="I54" s="1"/>
      <c r="J54" s="1"/>
    </row>
    <row r="55">
      <c r="B55" s="1" t="s">
        <v>395</v>
      </c>
      <c r="C55" s="59">
        <v>2478.06</v>
      </c>
      <c r="D55" s="3"/>
      <c r="E55" s="3"/>
      <c r="F55" s="3"/>
      <c r="G55" s="3"/>
      <c r="H55" s="5"/>
      <c r="I55" s="1"/>
      <c r="J55" s="1"/>
    </row>
    <row r="56">
      <c r="B56" s="1" t="s">
        <v>396</v>
      </c>
      <c r="C56" s="59">
        <v>2477</v>
      </c>
      <c r="D56" s="3"/>
      <c r="E56" s="3"/>
      <c r="F56" s="3"/>
      <c r="G56" s="3"/>
      <c r="H56" s="5"/>
      <c r="I56" s="1"/>
      <c r="J56" s="1"/>
    </row>
    <row r="57">
      <c r="B57" s="1" t="s">
        <v>397</v>
      </c>
      <c r="C57" s="59">
        <v>0.45</v>
      </c>
      <c r="D57" s="3"/>
      <c r="E57" s="3"/>
      <c r="F57" s="3"/>
      <c r="G57" s="3"/>
      <c r="H57" s="5"/>
      <c r="I57" s="1"/>
      <c r="J57" s="1"/>
    </row>
    <row r="58">
      <c r="B58" s="1" t="s">
        <v>398</v>
      </c>
      <c r="C58" s="59">
        <v>3</v>
      </c>
      <c r="D58" s="3"/>
      <c r="E58" s="3"/>
      <c r="F58" s="3"/>
      <c r="G58" s="3"/>
      <c r="H58" s="5"/>
      <c r="I58" s="1"/>
      <c r="J58" s="1"/>
    </row>
    <row r="59">
      <c r="B59" s="1" t="s">
        <v>399</v>
      </c>
      <c r="C59" s="59">
        <v>2465</v>
      </c>
      <c r="D59" s="3"/>
      <c r="E59" s="3"/>
      <c r="F59" s="3"/>
      <c r="G59" s="3"/>
      <c r="H59" s="5"/>
      <c r="I59" s="1"/>
      <c r="J59" s="1"/>
    </row>
    <row r="60">
      <c r="B60" s="1" t="s">
        <v>400</v>
      </c>
      <c r="C60" s="59">
        <v>2490</v>
      </c>
      <c r="D60" s="3"/>
      <c r="E60" s="3"/>
      <c r="F60" s="3"/>
      <c r="G60" s="3"/>
      <c r="H60" s="5"/>
      <c r="I60" s="1"/>
      <c r="J60" s="1"/>
    </row>
    <row r="61">
      <c r="B61" s="1" t="s">
        <v>401</v>
      </c>
      <c r="C61" s="59">
        <v>357.49</v>
      </c>
      <c r="D61" s="3"/>
      <c r="E61" s="3"/>
      <c r="F61" s="3"/>
      <c r="G61" s="3"/>
      <c r="H61" s="5"/>
      <c r="I61" s="1"/>
      <c r="J61" s="1"/>
    </row>
    <row r="62">
      <c r="B62" s="1" t="s">
        <v>402</v>
      </c>
      <c r="C62" s="59">
        <v>300.56</v>
      </c>
      <c r="D62" s="3"/>
      <c r="E62" s="3"/>
      <c r="F62" s="3"/>
      <c r="G62" s="3"/>
      <c r="H62" s="5"/>
      <c r="I62" s="1"/>
      <c r="J62" s="1"/>
    </row>
    <row r="63">
      <c r="B63" s="1" t="s">
        <v>403</v>
      </c>
      <c r="C63" s="59">
        <v>164.65</v>
      </c>
      <c r="D63" s="3"/>
      <c r="E63" s="3"/>
      <c r="F63" s="3"/>
      <c r="G63" s="3"/>
      <c r="H63" s="5"/>
      <c r="I63" s="1"/>
      <c r="J63" s="1"/>
    </row>
    <row r="64">
      <c r="B64" s="1" t="s">
        <v>404</v>
      </c>
      <c r="C64" s="59">
        <v>50.15</v>
      </c>
      <c r="D64" s="3"/>
      <c r="E64" s="3"/>
      <c r="F64" s="3"/>
      <c r="G64" s="3"/>
      <c r="H64" s="5"/>
      <c r="I64" s="1"/>
      <c r="J64" s="1"/>
    </row>
    <row r="65">
      <c r="B65" s="1" t="s">
        <v>405</v>
      </c>
      <c r="C65" s="59">
        <v>33.65</v>
      </c>
      <c r="D65" s="3"/>
      <c r="E65" s="3"/>
      <c r="F65" s="3"/>
      <c r="G65" s="3"/>
      <c r="H65" s="5"/>
      <c r="I65" s="1"/>
      <c r="J65" s="1"/>
    </row>
    <row r="66">
      <c r="B66" s="1" t="s">
        <v>406</v>
      </c>
      <c r="C66" s="59">
        <v>26.1</v>
      </c>
      <c r="D66" s="3"/>
      <c r="E66" s="3"/>
      <c r="F66" s="3"/>
      <c r="G66" s="3"/>
      <c r="H66" s="5"/>
      <c r="I66" s="1"/>
      <c r="J66" s="1"/>
    </row>
    <row r="67">
      <c r="B67" s="1" t="s">
        <v>407</v>
      </c>
      <c r="C67" s="64"/>
      <c r="D67" s="3"/>
      <c r="E67" s="3"/>
      <c r="F67" s="3"/>
      <c r="G67" s="3"/>
      <c r="H67" s="5"/>
      <c r="I67" s="1"/>
      <c r="J67" s="1"/>
    </row>
    <row r="68">
      <c r="B68" s="1" t="s">
        <v>408</v>
      </c>
      <c r="C68" s="64"/>
      <c r="D68" s="3"/>
      <c r="E68" s="3"/>
      <c r="F68" s="3"/>
      <c r="G68" s="3"/>
      <c r="H68" s="5"/>
      <c r="I68" s="1"/>
      <c r="J68" s="1"/>
    </row>
    <row r="69">
      <c r="B69" s="1" t="s">
        <v>409</v>
      </c>
      <c r="C69" s="64"/>
      <c r="D69" s="3"/>
      <c r="E69" s="3"/>
      <c r="F69" s="3"/>
      <c r="G69" s="3"/>
      <c r="H69" s="5"/>
      <c r="I69" s="1"/>
      <c r="J69" s="1"/>
    </row>
    <row r="70">
      <c r="B70" s="1" t="s">
        <v>410</v>
      </c>
      <c r="C70" s="59">
        <v>52</v>
      </c>
      <c r="D70" s="3"/>
      <c r="E70" s="3"/>
      <c r="F70" s="3"/>
      <c r="G70" s="3"/>
      <c r="H70" s="5"/>
      <c r="I70" s="1"/>
      <c r="J70" s="1"/>
    </row>
    <row r="71">
      <c r="B71" s="1" t="s">
        <v>411</v>
      </c>
      <c r="C71" s="59">
        <v>36.25</v>
      </c>
      <c r="D71" s="3"/>
      <c r="E71" s="3"/>
      <c r="F71" s="3"/>
      <c r="G71" s="3"/>
      <c r="H71" s="5"/>
      <c r="I71" s="1"/>
      <c r="J71" s="1"/>
    </row>
    <row r="72">
      <c r="B72" s="1" t="s">
        <v>412</v>
      </c>
      <c r="C72" s="59">
        <v>35</v>
      </c>
      <c r="D72" s="3"/>
      <c r="E72" s="3"/>
      <c r="F72" s="3"/>
      <c r="G72" s="3"/>
      <c r="H72" s="5"/>
      <c r="I72" s="1"/>
      <c r="J72" s="1"/>
    </row>
    <row r="73">
      <c r="B73" s="1" t="s">
        <v>413</v>
      </c>
      <c r="C73" s="59">
        <v>45</v>
      </c>
      <c r="D73" s="3"/>
      <c r="E73" s="3"/>
      <c r="F73" s="3"/>
      <c r="G73" s="3"/>
      <c r="H73" s="5"/>
      <c r="I73" s="1"/>
      <c r="J73" s="1"/>
    </row>
    <row r="74">
      <c r="B74" s="1" t="s">
        <v>414</v>
      </c>
      <c r="C74" s="59">
        <v>30</v>
      </c>
      <c r="D74" s="3"/>
      <c r="E74" s="3"/>
      <c r="F74" s="3"/>
      <c r="G74" s="3"/>
      <c r="H74" s="5"/>
      <c r="I74" s="1"/>
      <c r="J74" s="1"/>
    </row>
    <row r="75">
      <c r="B75" s="1" t="s">
        <v>415</v>
      </c>
      <c r="C75" s="59">
        <v>6.5</v>
      </c>
      <c r="D75" s="3"/>
      <c r="E75" s="3"/>
      <c r="F75" s="3"/>
      <c r="G75" s="3"/>
      <c r="H75" s="5"/>
      <c r="I75" s="1"/>
      <c r="J75" s="1"/>
    </row>
    <row r="76">
      <c r="B76" s="1" t="s">
        <v>416</v>
      </c>
      <c r="C76" s="59">
        <v>4</v>
      </c>
      <c r="D76" s="3"/>
      <c r="E76" s="3"/>
      <c r="F76" s="3"/>
      <c r="G76" s="3"/>
      <c r="H76" s="5"/>
      <c r="I76" s="1"/>
      <c r="J76" s="1"/>
    </row>
    <row r="77">
      <c r="B77" s="1" t="s">
        <v>417</v>
      </c>
      <c r="C77" s="64" t="s">
        <v>418</v>
      </c>
      <c r="D77" s="3"/>
      <c r="E77" s="3"/>
      <c r="F77" s="3"/>
      <c r="G77" s="3"/>
      <c r="H77" s="5"/>
      <c r="I77" s="1"/>
      <c r="J77" s="1"/>
    </row>
    <row r="78">
      <c r="B78" s="1" t="s">
        <v>419</v>
      </c>
      <c r="C78" s="59">
        <v>1.75</v>
      </c>
      <c r="D78" s="3"/>
      <c r="E78" s="3"/>
      <c r="F78" s="3"/>
      <c r="G78" s="3"/>
      <c r="H78" s="5"/>
      <c r="I78" s="1"/>
      <c r="J78" s="1"/>
    </row>
    <row r="79">
      <c r="B79" s="1" t="s">
        <v>420</v>
      </c>
      <c r="C79" s="59">
        <v>29.39</v>
      </c>
      <c r="D79" s="3"/>
      <c r="E79" s="3"/>
      <c r="F79" s="3"/>
      <c r="G79" s="3"/>
      <c r="H79" s="5"/>
      <c r="I79" s="1"/>
      <c r="J79" s="1"/>
    </row>
    <row r="80">
      <c r="B80" s="1" t="s">
        <v>421</v>
      </c>
      <c r="C80" s="64" t="s">
        <v>422</v>
      </c>
      <c r="D80" s="3"/>
      <c r="E80" s="3"/>
      <c r="F80" s="3"/>
      <c r="G80" s="3"/>
      <c r="H80" s="5"/>
      <c r="I80" s="1"/>
      <c r="J80" s="1"/>
    </row>
    <row r="81">
      <c r="B81" s="1"/>
      <c r="C81" s="3"/>
      <c r="D81" s="3"/>
      <c r="E81" s="3"/>
      <c r="F81" s="3"/>
      <c r="G81" s="3"/>
      <c r="H81" s="5"/>
      <c r="I81" s="1"/>
      <c r="J81" s="1"/>
    </row>
    <row r="82">
      <c r="B82" s="1"/>
      <c r="C82" s="3"/>
      <c r="D82" s="3"/>
      <c r="E82" s="3"/>
      <c r="F82" s="3"/>
      <c r="G82" s="3"/>
      <c r="H82" s="5"/>
      <c r="I82" s="1"/>
      <c r="J82" s="1"/>
    </row>
    <row r="83">
      <c r="B83" s="1"/>
      <c r="C83" s="3"/>
      <c r="D83" s="3"/>
      <c r="E83" s="3"/>
      <c r="F83" s="3"/>
      <c r="G83" s="3"/>
      <c r="H83" s="5"/>
      <c r="I83" s="1"/>
      <c r="J83" s="1"/>
    </row>
    <row r="84">
      <c r="B84" s="1"/>
      <c r="C84" s="3"/>
      <c r="D84" s="3"/>
      <c r="E84" s="3"/>
      <c r="F84" s="3"/>
      <c r="G84" s="3"/>
      <c r="H84" s="5"/>
      <c r="I84" s="1"/>
      <c r="J84" s="1"/>
    </row>
    <row r="85">
      <c r="B85" s="1"/>
      <c r="C85" s="3"/>
      <c r="D85" s="3"/>
      <c r="E85" s="3"/>
      <c r="F85" s="3"/>
      <c r="G85" s="3"/>
      <c r="H85" s="5"/>
      <c r="I85" s="1"/>
      <c r="J85" s="1"/>
    </row>
    <row r="86">
      <c r="B86" s="1"/>
      <c r="C86" s="3"/>
      <c r="D86" s="3"/>
      <c r="E86" s="3"/>
      <c r="F86" s="3"/>
      <c r="G86" s="3"/>
      <c r="H86" s="5"/>
      <c r="I86" s="1"/>
      <c r="J86" s="1"/>
    </row>
    <row r="87">
      <c r="B87" s="1"/>
      <c r="C87" s="3"/>
      <c r="D87" s="3"/>
      <c r="E87" s="3"/>
      <c r="F87" s="3"/>
      <c r="G87" s="3"/>
      <c r="H87" s="5"/>
      <c r="I87" s="1"/>
      <c r="J87" s="1"/>
    </row>
    <row r="88">
      <c r="B88" s="1"/>
      <c r="C88" s="3"/>
      <c r="D88" s="3"/>
      <c r="E88" s="3"/>
      <c r="F88" s="3"/>
      <c r="G88" s="3"/>
      <c r="H88" s="5"/>
      <c r="I88" s="1"/>
      <c r="J88" s="1"/>
    </row>
    <row r="89">
      <c r="B89" s="1"/>
      <c r="C89" s="3"/>
      <c r="D89" s="3"/>
      <c r="E89" s="3"/>
      <c r="F89" s="3"/>
      <c r="G89" s="3"/>
      <c r="H89" s="5"/>
      <c r="I89" s="1"/>
      <c r="J89" s="1"/>
    </row>
    <row r="90">
      <c r="B90" s="1" t="s">
        <v>423</v>
      </c>
      <c r="C90" s="11">
        <v>664.829</v>
      </c>
      <c r="D90" s="11">
        <v>685.841</v>
      </c>
      <c r="E90" s="11">
        <v>2674.04</v>
      </c>
      <c r="F90" s="11">
        <v>657.692</v>
      </c>
      <c r="G90" s="11">
        <v>662.719</v>
      </c>
      <c r="H90" s="5"/>
      <c r="I90" s="1"/>
      <c r="J90" s="1"/>
    </row>
    <row r="91">
      <c r="B91" s="1" t="s">
        <v>424</v>
      </c>
      <c r="C91" s="11">
        <v>593.736</v>
      </c>
      <c r="D91" s="11">
        <v>616.337</v>
      </c>
      <c r="E91" s="11">
        <v>2361.866</v>
      </c>
      <c r="F91" s="11">
        <v>583.898</v>
      </c>
      <c r="G91" s="11">
        <v>583.782</v>
      </c>
      <c r="H91" s="5"/>
      <c r="I91" s="1"/>
      <c r="J91" s="1"/>
    </row>
    <row r="92">
      <c r="B92" s="1" t="s">
        <v>425</v>
      </c>
      <c r="C92" s="11">
        <v>380.508</v>
      </c>
      <c r="D92" s="11">
        <v>385.996</v>
      </c>
      <c r="E92" s="11">
        <v>1527.922</v>
      </c>
      <c r="F92" s="11">
        <v>371</v>
      </c>
      <c r="G92" s="11">
        <v>392.963</v>
      </c>
      <c r="H92" s="5"/>
      <c r="I92" s="1"/>
      <c r="J92" s="1"/>
    </row>
    <row r="93">
      <c r="B93" s="1" t="s">
        <v>426</v>
      </c>
      <c r="C93" s="11">
        <v>352.471</v>
      </c>
      <c r="D93" s="11">
        <v>360.025</v>
      </c>
      <c r="E93" s="11">
        <v>1455.641</v>
      </c>
      <c r="F93" s="11">
        <v>365.193</v>
      </c>
      <c r="G93" s="11">
        <v>384.015</v>
      </c>
      <c r="H93" s="5"/>
      <c r="I93" s="1"/>
      <c r="J93" s="1"/>
    </row>
    <row r="94">
      <c r="B94" s="1" t="s">
        <v>57</v>
      </c>
      <c r="C94" s="11">
        <v>172.4</v>
      </c>
      <c r="D94" s="11">
        <v>187.227</v>
      </c>
      <c r="E94" s="11">
        <v>727.389</v>
      </c>
      <c r="F94" s="11">
        <v>189.805</v>
      </c>
      <c r="G94" s="11">
        <v>176.386</v>
      </c>
      <c r="H94" s="5"/>
      <c r="I94" s="1"/>
      <c r="J94" s="1"/>
    </row>
    <row r="95">
      <c r="B95" s="1" t="s">
        <v>58</v>
      </c>
      <c r="C95" s="11">
        <v>223.468</v>
      </c>
      <c r="D95" s="11">
        <v>212.598</v>
      </c>
      <c r="E95" s="11">
        <v>872.042</v>
      </c>
      <c r="F95" s="11">
        <v>204.634</v>
      </c>
      <c r="G95" s="11">
        <v>217.506</v>
      </c>
      <c r="H95" s="5"/>
      <c r="I95" s="1"/>
      <c r="J95" s="1"/>
    </row>
    <row r="96">
      <c r="B96" s="1"/>
      <c r="C96" s="3"/>
      <c r="D96" s="3"/>
      <c r="E96" s="3"/>
      <c r="F96" s="3"/>
      <c r="G96" s="3"/>
      <c r="H96" s="5"/>
      <c r="I96" s="1"/>
      <c r="J96" s="1"/>
    </row>
    <row r="97">
      <c r="B97" s="1"/>
      <c r="C97" s="3"/>
      <c r="D97" s="3"/>
      <c r="E97" s="3"/>
      <c r="F97" s="3"/>
      <c r="G97" s="3"/>
      <c r="H97" s="5"/>
      <c r="I97" s="1"/>
      <c r="J97" s="1"/>
    </row>
    <row r="98">
      <c r="B98" s="1" t="s">
        <v>427</v>
      </c>
      <c r="C98" s="11">
        <v>0</v>
      </c>
      <c r="D98" s="3"/>
      <c r="E98" s="3"/>
      <c r="F98" s="3"/>
      <c r="G98" s="3"/>
      <c r="H98" s="5"/>
      <c r="I98" s="1"/>
      <c r="J98" s="1"/>
    </row>
    <row r="99">
      <c r="B99" s="1" t="s">
        <v>428</v>
      </c>
      <c r="C99" s="11">
        <v>-20.36</v>
      </c>
      <c r="D99" s="3"/>
      <c r="E99" s="3"/>
      <c r="F99" s="3"/>
      <c r="G99" s="3"/>
      <c r="H99" s="5"/>
      <c r="I99" s="1"/>
      <c r="J99" s="1"/>
    </row>
    <row r="100">
      <c r="B100" s="1" t="s">
        <v>429</v>
      </c>
      <c r="C100" s="11">
        <v>11.22</v>
      </c>
      <c r="D100" s="3"/>
      <c r="E100" s="3"/>
      <c r="F100" s="3"/>
      <c r="G100" s="3"/>
      <c r="H100" s="5"/>
      <c r="I100" s="1"/>
      <c r="J100" s="1"/>
    </row>
    <row r="101">
      <c r="B101" s="1"/>
      <c r="C101" s="3"/>
      <c r="D101" s="3"/>
      <c r="E101" s="3"/>
      <c r="F101" s="3"/>
      <c r="G101" s="3"/>
      <c r="H101" s="5"/>
      <c r="I101" s="1"/>
      <c r="J101" s="1"/>
    </row>
    <row r="102">
      <c r="B102" s="1"/>
      <c r="C102" s="3"/>
      <c r="D102" s="3"/>
      <c r="E102" s="3"/>
      <c r="F102" s="3"/>
      <c r="G102" s="3"/>
      <c r="H102" s="5"/>
      <c r="I102" s="1"/>
      <c r="J102" s="1"/>
    </row>
    <row r="103">
      <c r="B103" s="1"/>
      <c r="C103" s="3"/>
      <c r="D103" s="3"/>
      <c r="E103" s="3"/>
      <c r="F103" s="3"/>
      <c r="G103" s="3"/>
      <c r="H103" s="5"/>
      <c r="I103" s="1"/>
      <c r="J103" s="1"/>
    </row>
    <row r="104">
      <c r="B104" s="1" t="s">
        <v>430</v>
      </c>
      <c r="C104" s="3"/>
      <c r="D104" s="3"/>
      <c r="E104" s="3"/>
      <c r="F104" s="3"/>
      <c r="G104" s="3"/>
      <c r="H104" s="5"/>
      <c r="I104" s="1"/>
      <c r="J104" s="1"/>
    </row>
    <row r="105">
      <c r="B105" s="1" t="s">
        <v>431</v>
      </c>
      <c r="C105" s="11">
        <v>462.747</v>
      </c>
      <c r="D105" s="11">
        <v>806.967</v>
      </c>
      <c r="E105" s="11">
        <v>806.967</v>
      </c>
      <c r="F105" s="11">
        <v>-83.22</v>
      </c>
      <c r="G105" s="11">
        <v>174.671</v>
      </c>
      <c r="H105" s="5"/>
      <c r="I105" s="63">
        <v>237.944</v>
      </c>
      <c r="J105" s="1"/>
    </row>
    <row r="106">
      <c r="B106" s="1" t="s">
        <v>432</v>
      </c>
      <c r="C106" s="11">
        <v>-172.127</v>
      </c>
      <c r="D106" s="11">
        <v>-250.383</v>
      </c>
      <c r="E106" s="11">
        <v>-250.383</v>
      </c>
      <c r="F106" s="11">
        <v>-50.746</v>
      </c>
      <c r="G106" s="11">
        <v>-81.904</v>
      </c>
      <c r="H106" s="5"/>
      <c r="I106" s="63">
        <v>-107.073</v>
      </c>
      <c r="J106" s="1"/>
    </row>
    <row r="107">
      <c r="B107" s="1" t="s">
        <v>433</v>
      </c>
      <c r="C107" s="11">
        <v>-211.444</v>
      </c>
      <c r="D107" s="11">
        <v>-491.443</v>
      </c>
      <c r="E107" s="11">
        <v>-491.443</v>
      </c>
      <c r="F107" s="11">
        <v>18.503</v>
      </c>
      <c r="G107" s="11">
        <v>-175.365</v>
      </c>
      <c r="H107" s="5"/>
      <c r="I107" s="63">
        <v>-46.6</v>
      </c>
      <c r="J107" s="1"/>
    </row>
    <row r="108">
      <c r="B108" s="1" t="s">
        <v>434</v>
      </c>
      <c r="C108" s="11">
        <v>29.706</v>
      </c>
      <c r="D108" s="11">
        <v>26.382</v>
      </c>
      <c r="E108" s="11">
        <v>26.382</v>
      </c>
      <c r="F108" s="11">
        <v>9.848</v>
      </c>
      <c r="G108" s="11">
        <v>2.956</v>
      </c>
      <c r="H108" s="5"/>
      <c r="I108" s="63">
        <v>21.257</v>
      </c>
      <c r="J108" s="1"/>
    </row>
    <row r="109">
      <c r="B109" s="1" t="s">
        <v>435</v>
      </c>
      <c r="C109" s="11">
        <v>-171.464</v>
      </c>
      <c r="D109" s="11">
        <v>-234.496</v>
      </c>
      <c r="E109" s="11">
        <v>-234.496</v>
      </c>
      <c r="F109" s="11">
        <v>-53.902</v>
      </c>
      <c r="G109" s="11">
        <v>-102.076</v>
      </c>
      <c r="H109" s="5"/>
      <c r="I109" s="63">
        <v>-106.41</v>
      </c>
      <c r="J109" s="1"/>
    </row>
    <row r="110">
      <c r="B110" s="1"/>
      <c r="C110" s="3"/>
      <c r="D110" s="3"/>
      <c r="E110" s="3"/>
      <c r="F110" s="3"/>
      <c r="G110" s="3"/>
      <c r="H110" s="5"/>
      <c r="I110" s="1"/>
      <c r="J110" s="1"/>
    </row>
    <row r="111">
      <c r="B111" s="1"/>
      <c r="C111" s="3"/>
      <c r="D111" s="3"/>
      <c r="E111" s="3"/>
      <c r="F111" s="3"/>
      <c r="G111" s="3"/>
      <c r="H111" s="5"/>
      <c r="I111" s="1"/>
      <c r="J111" s="1"/>
    </row>
    <row r="112">
      <c r="B112" s="1" t="s">
        <v>436</v>
      </c>
      <c r="C112" s="11">
        <v>168.026</v>
      </c>
      <c r="D112" s="11">
        <v>226.101</v>
      </c>
      <c r="E112" s="3"/>
      <c r="F112" s="3"/>
      <c r="G112" s="11">
        <v>113.975</v>
      </c>
      <c r="H112" s="5"/>
      <c r="I112" s="63">
        <v>111.248</v>
      </c>
      <c r="J112" s="1"/>
    </row>
    <row r="116">
      <c r="B116" s="1" t="s">
        <v>437</v>
      </c>
      <c r="C116" s="11">
        <v>12410.099</v>
      </c>
      <c r="D116" s="11">
        <v>10761.086</v>
      </c>
      <c r="E116" s="3">
        <f>D116</f>
        <v>10761.086</v>
      </c>
      <c r="F116" s="11">
        <v>10674.622</v>
      </c>
      <c r="G116" s="11">
        <v>10512.847</v>
      </c>
      <c r="H116" s="1"/>
      <c r="I116" s="1"/>
      <c r="J116" s="1"/>
    </row>
  </sheetData>
</worksheet>
</file>