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mericas" sheetId="3" r:id="rId4"/>
    <sheet name="Segment - EMEA" sheetId="4" r:id="rId5"/>
    <sheet name="Segment - Asia Pacific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16" authorId="0">
      <text>
        <t>The headline EPS comparator is FactSet adjusted / Capital IQ normalized diluted USD per common share. GAAP diluted EPS is displayed separately on row 17.</t>
      </text>
    </comment>
  </commentList>
</comments>
</file>

<file path=xl/sharedStrings.xml><?xml version="1.0" encoding="utf-8"?>
<sst xmlns="http://schemas.openxmlformats.org/spreadsheetml/2006/main" count="1261" uniqueCount="885">
  <si>
    <t>FactSet Research Systems Inc.</t>
  </si>
  <si>
    <t>Company Model — built by Shortcut</t>
  </si>
  <si>
    <t>$ millions, except per share</t>
  </si>
  <si>
    <t>FY25A</t>
  </si>
  <si>
    <t>4Q25A</t>
  </si>
  <si>
    <t>1Q26A</t>
  </si>
  <si>
    <t>2Q26A</t>
  </si>
  <si>
    <t>3Q26A</t>
  </si>
  <si>
    <t>4Q26E</t>
  </si>
  <si>
    <t>NYSE:FDS | fiscal year ended August 31 | USD / common share</t>
  </si>
  <si>
    <t>Cutoff: 2026-09-26 18:44 UTC | expected report: 2026-09-30</t>
  </si>
  <si>
    <t>Metric</t>
  </si>
  <si>
    <t>Our estimate</t>
  </si>
  <si>
    <t>CapIQ 24-Sep</t>
  </si>
  <si>
    <t>Variance</t>
  </si>
  <si>
    <t>FY26 guide mid</t>
  </si>
  <si>
    <t>Implied 4Q mid</t>
  </si>
  <si>
    <t>Revenue ($m)</t>
  </si>
  <si>
    <t>GAAP net income ($m)</t>
  </si>
  <si>
    <t>Not guided</t>
  </si>
  <si>
    <t>Normalized net income ($m)</t>
  </si>
  <si>
    <t>Normalized diluted EPS</t>
  </si>
  <si>
    <t>GAAP diluted EPS</t>
  </si>
  <si>
    <t>Overall model checks</t>
  </si>
  <si>
    <t>P(beat consensus EPS)</t>
  </si>
  <si>
    <t>Confidence</t>
  </si>
  <si>
    <t>Cover revenue to statement — CHECK</t>
  </si>
  <si>
    <t>Cover GAAP NI to statement — CHECK</t>
  </si>
  <si>
    <t>Cover normalized NI to statement — CHECK</t>
  </si>
  <si>
    <t>Cover EPS to statement — CHECK</t>
  </si>
  <si>
    <t>Revenue summary</t>
  </si>
  <si>
    <t>Total revenue</t>
  </si>
  <si>
    <t xml:space="preserve">  Organic Y/Y</t>
  </si>
  <si>
    <t xml:space="preserve">  M&amp;A / scope Y/Y</t>
  </si>
  <si>
    <t xml:space="preserve">  FX impact Y/Y</t>
  </si>
  <si>
    <t xml:space="preserve">  Total Y/Y</t>
  </si>
  <si>
    <t xml:space="preserve">  Sequential growth</t>
  </si>
  <si>
    <t>Americas revenue</t>
  </si>
  <si>
    <t xml:space="preserve">  % of consolidated revenue</t>
  </si>
  <si>
    <t>EMEA revenue</t>
  </si>
  <si>
    <t>Asia Pacific revenue</t>
  </si>
  <si>
    <t>Segment revenue less total — CHECK</t>
  </si>
  <si>
    <t>Global annual subscription value</t>
  </si>
  <si>
    <t xml:space="preserve">  Y/Y growth</t>
  </si>
  <si>
    <t xml:space="preserve">  Sequential change</t>
  </si>
  <si>
    <t>Clients — ending</t>
  </si>
  <si>
    <t>Client additions, net</t>
  </si>
  <si>
    <t xml:space="preserve">  Gross client additions — unavailable</t>
  </si>
  <si>
    <t>Gross new-client adds and churn counts are not disclosed in FY26 10-Q; do not infer them from net additions.</t>
  </si>
  <si>
    <t xml:space="preserve">  Client churn — unavailable</t>
  </si>
  <si>
    <t xml:space="preserve">  Client retention % (annual)</t>
  </si>
  <si>
    <t xml:space="preserve">  Client retention change (bps)</t>
  </si>
  <si>
    <t>Users — ending</t>
  </si>
  <si>
    <t>Revenue per average client ($m)</t>
  </si>
  <si>
    <t>Annualized ASV per closing client ($m)</t>
  </si>
  <si>
    <t>Issuer organic ASV (where reported)</t>
  </si>
  <si>
    <t>Firm-type revenue amounts — unavailable</t>
  </si>
  <si>
    <t>Segment - Americas</t>
  </si>
  <si>
    <t>Opening annual subscription value</t>
  </si>
  <si>
    <t>Gross ASV additions — unavailable</t>
  </si>
  <si>
    <t>Gross adds, churn and client counts by geographic segment not disclosed in FY26 Q3 10-Q; net ASV additions are forecast assumptions.</t>
  </si>
  <si>
    <t>Terminations / churn — unavailable</t>
  </si>
  <si>
    <t>Net ASV additions</t>
  </si>
  <si>
    <t>Closing annual subscription value</t>
  </si>
  <si>
    <t xml:space="preserve">  Y/Y change, closing ASV</t>
  </si>
  <si>
    <t xml:space="preserve">  Sequential change, closing ASV</t>
  </si>
  <si>
    <t>Average annual subscription value</t>
  </si>
  <si>
    <t>Quarterly realization factor</t>
  </si>
  <si>
    <t>Analyst-calibrated realization factor targets a 415m regional revenue forecast using independently sourced ASV balances and estimated net ASV adds; not a published issuer conversion metric. September 25 Zacks regional preview available in Sources!E20.</t>
  </si>
  <si>
    <t>Subscription and related revenue</t>
  </si>
  <si>
    <t>Other product revenue — undisclosed</t>
  </si>
  <si>
    <t>Segment revenue</t>
  </si>
  <si>
    <t xml:space="preserve">  Share of total revenue</t>
  </si>
  <si>
    <t>Forecast operating-margin assumption</t>
  </si>
  <si>
    <t>Forecast segment margin is an analyst assumption informed by FY25 Q4 and FY26 Q3 geographic-segment results; no company Q4 margin is published.</t>
  </si>
  <si>
    <t>Reported segment operating profit</t>
  </si>
  <si>
    <t xml:space="preserve">  Operating profit margin</t>
  </si>
  <si>
    <t xml:space="preserve">  Margin change (bps)</t>
  </si>
  <si>
    <t>Client opening balance — regional unavailable</t>
  </si>
  <si>
    <t>Gross client additions — regional unavailable</t>
  </si>
  <si>
    <t>Client terminations — regional unavailable</t>
  </si>
  <si>
    <t>Client closing balance — regional unavailable</t>
  </si>
  <si>
    <t>User count — regional unavailable</t>
  </si>
  <si>
    <t>Client retention — regional unavailable</t>
  </si>
  <si>
    <t>ASV retained — regional unavailable</t>
  </si>
  <si>
    <t>Opening ASV growth Y/Y</t>
  </si>
  <si>
    <t xml:space="preserve">  Opening ASV sequential change</t>
  </si>
  <si>
    <t xml:space="preserve">  Net ASV additions Y/Y change</t>
  </si>
  <si>
    <t xml:space="preserve">  Net ASV adds sequential change</t>
  </si>
  <si>
    <t xml:space="preserve">  Average ASV sequential change</t>
  </si>
  <si>
    <t xml:space="preserve">  Realization factor change (bps)</t>
  </si>
  <si>
    <t xml:space="preserve">  Opening ASV Y/Y absolute change</t>
  </si>
  <si>
    <t xml:space="preserve">  Average ASV Y/Y growth</t>
  </si>
  <si>
    <t xml:space="preserve">  Segment operating margin change (bps)</t>
  </si>
  <si>
    <t>ASV and profitability driver ladder</t>
  </si>
  <si>
    <t>Linked detail: every figure refers to the segment driver above; regional gross adds and churn are not reported and remain unavailable.</t>
  </si>
  <si>
    <t xml:space="preserve">  Y/Y change</t>
  </si>
  <si>
    <t xml:space="preserve">  Sequential change ($m)</t>
  </si>
  <si>
    <t>Gross additions — unavailable</t>
  </si>
  <si>
    <t>Terminations — unavailable</t>
  </si>
  <si>
    <t>Net annual subscription additions</t>
  </si>
  <si>
    <t>Quarterly ASV realization factor</t>
  </si>
  <si>
    <t xml:space="preserve">  Change (basis points)</t>
  </si>
  <si>
    <t xml:space="preserve">  Sequential absolute change</t>
  </si>
  <si>
    <t>Subscription / segment revenue</t>
  </si>
  <si>
    <t xml:space="preserve">  Sequential change in revenue ($m)</t>
  </si>
  <si>
    <t>Segment - EMEA</t>
  </si>
  <si>
    <t>Analyst-calibrated realization factor targets a 149m regional revenue forecast using independently sourced ASV balances and estimated net ASV adds; not a published issuer conversion metric. September 25 Zacks regional preview available in Sources!E20.</t>
  </si>
  <si>
    <t>Segment - Asia Pacific</t>
  </si>
  <si>
    <t>Analyst-calibrated realization factor targets a 63.5m regional revenue forecast using independently sourced ASV balances and estimated net ASV adds; not a published issuer conversion metric. September 25 Zacks regional preview available in Sources!E20.</t>
  </si>
  <si>
    <t>Income Statement</t>
  </si>
  <si>
    <t>Revenue</t>
  </si>
  <si>
    <t>Cost of services</t>
  </si>
  <si>
    <t>Gross profit</t>
  </si>
  <si>
    <t xml:space="preserve">  Gross margin</t>
  </si>
  <si>
    <t>Selling, general &amp; administrative</t>
  </si>
  <si>
    <t>Total operating expenses</t>
  </si>
  <si>
    <t>GAAP operating income</t>
  </si>
  <si>
    <t xml:space="preserve">  GAAP operating margin</t>
  </si>
  <si>
    <t>Interest income</t>
  </si>
  <si>
    <t>Interest expense</t>
  </si>
  <si>
    <t>Other income / expense</t>
  </si>
  <si>
    <t>Pretax income</t>
  </si>
  <si>
    <t>Tax expense</t>
  </si>
  <si>
    <t xml:space="preserve">  Effective tax rate</t>
  </si>
  <si>
    <t>GAAP net income</t>
  </si>
  <si>
    <t xml:space="preserve">  Net margin</t>
  </si>
  <si>
    <t>Weighted basic shares (m)</t>
  </si>
  <si>
    <t>Weighted diluted shares (m)</t>
  </si>
  <si>
    <t>GAAP basic EPS</t>
  </si>
  <si>
    <t>GAAP EPS recomputation — CHECK</t>
  </si>
  <si>
    <t>GAAP to normalized: after-tax adjustments</t>
  </si>
  <si>
    <t>Intangible amortization</t>
  </si>
  <si>
    <t>Restructuring / severance</t>
  </si>
  <si>
    <t>CEO compensation</t>
  </si>
  <si>
    <t>Business disposition / acquisitions</t>
  </si>
  <si>
    <t>Impairment in other assets</t>
  </si>
  <si>
    <t>Client bankruptcy charges</t>
  </si>
  <si>
    <t>India Labor Codes Reform</t>
  </si>
  <si>
    <t>Asset impairment</t>
  </si>
  <si>
    <t>Sales tax dispute</t>
  </si>
  <si>
    <t>Gain on business disposal (excl.)</t>
  </si>
  <si>
    <t>Non-operating disposition gain (excl.)</t>
  </si>
  <si>
    <t>Income tax adjustments</t>
  </si>
  <si>
    <t>Executive search costs</t>
  </si>
  <si>
    <t>Investment gains (excl.)</t>
  </si>
  <si>
    <t>Adjusted net income</t>
  </si>
  <si>
    <t>Adjusted NI bridge residual — CHECK</t>
  </si>
  <si>
    <t xml:space="preserve">  Normalized EPS Y/Y</t>
  </si>
  <si>
    <t xml:space="preserve">  Revenue Y/Y</t>
  </si>
  <si>
    <t xml:space="preserve">  GAAP net income Y/Y</t>
  </si>
  <si>
    <t xml:space="preserve">  GAAP EPS Y/Y</t>
  </si>
  <si>
    <t>Adjusted operating margin (est.)</t>
  </si>
  <si>
    <t>Intangible amortization, pretax</t>
  </si>
  <si>
    <t>Restructuring / severance, pretax</t>
  </si>
  <si>
    <t>Other excluded costs, pretax</t>
  </si>
  <si>
    <t>Sum of segment operating profit - GAAP — CHECK</t>
  </si>
  <si>
    <t>Balance Sheet</t>
  </si>
  <si>
    <t>Cash and cash equivalents</t>
  </si>
  <si>
    <t>Short-term investments</t>
  </si>
  <si>
    <t>Accounts receivable</t>
  </si>
  <si>
    <t>Prepaid income taxes</t>
  </si>
  <si>
    <t>Other prepaid / current assets</t>
  </si>
  <si>
    <t>Total current assets</t>
  </si>
  <si>
    <t>Property and equipment, net</t>
  </si>
  <si>
    <t>Goodwill</t>
  </si>
  <si>
    <t>Intangible assets, net</t>
  </si>
  <si>
    <t>Deferred tax assets</t>
  </si>
  <si>
    <t>Operating lease ROU assets</t>
  </si>
  <si>
    <t>Other assets / forecast residual</t>
  </si>
  <si>
    <t>Other assets carried forward unchanged from the May 2026 10-Q; no forecast balancing plug. PPE, intangibles, ROU and working capital roll from explicit cash-flow drivers.</t>
  </si>
  <si>
    <t>TOTAL ASSETS</t>
  </si>
  <si>
    <t>Payables / accrued expenses</t>
  </si>
  <si>
    <t>Current portion of debt</t>
  </si>
  <si>
    <t>Current lease liabilities</t>
  </si>
  <si>
    <t>Accrued compensation</t>
  </si>
  <si>
    <t>Deferred / unearned revenue</t>
  </si>
  <si>
    <t>Current taxes payable</t>
  </si>
  <si>
    <t>Dividends payable</t>
  </si>
  <si>
    <t>Total current liabilities</t>
  </si>
  <si>
    <t>Long-term debt</t>
  </si>
  <si>
    <t>Deferred tax liabilities</t>
  </si>
  <si>
    <t>Non-current tax payable</t>
  </si>
  <si>
    <t>Long-term lease liabilities</t>
  </si>
  <si>
    <t>Other liabilities</t>
  </si>
  <si>
    <t>TOTAL LIABILITIES</t>
  </si>
  <si>
    <t>Stockholders' equity</t>
  </si>
  <si>
    <t>Assets - liabilities - equity — CHECK</t>
  </si>
  <si>
    <t>Cash flow versus BS cash — CHECK</t>
  </si>
  <si>
    <t>Year-end ending balance basis</t>
  </si>
  <si>
    <t>Cash Flow Statement</t>
  </si>
  <si>
    <t>Net income</t>
  </si>
  <si>
    <t>Depreciation and amortization</t>
  </si>
  <si>
    <t>ROU asset amortization</t>
  </si>
  <si>
    <t>Stock compensation</t>
  </si>
  <si>
    <t>Deferred income taxes</t>
  </si>
  <si>
    <t>Other noncash items</t>
  </si>
  <si>
    <t>Change in accounts receivable</t>
  </si>
  <si>
    <t>Change in prepaid / other assets</t>
  </si>
  <si>
    <t>Change in payables and accrued items</t>
  </si>
  <si>
    <t>Change in accrued compensation</t>
  </si>
  <si>
    <t>Change in deferred revenues</t>
  </si>
  <si>
    <t>Changes in tax payables</t>
  </si>
  <si>
    <t>Change in lease liabilities</t>
  </si>
  <si>
    <t>NET CASH FROM OPERATIONS</t>
  </si>
  <si>
    <t>Capital expenditure / software</t>
  </si>
  <si>
    <t>Acquisition of businesses</t>
  </si>
  <si>
    <t>Purchases of investments</t>
  </si>
  <si>
    <t>Maturities / sale of investments</t>
  </si>
  <si>
    <t>NET CASH FROM INVESTING</t>
  </si>
  <si>
    <t>Debt proceeds</t>
  </si>
  <si>
    <t>Debt repayments</t>
  </si>
  <si>
    <t>Dividends paid</t>
  </si>
  <si>
    <t>Employee equity proceeds</t>
  </si>
  <si>
    <t>Repurchase of common stock</t>
  </si>
  <si>
    <t>Deferred acquisition consideration</t>
  </si>
  <si>
    <t>Other financing activities</t>
  </si>
  <si>
    <t>NET CASH FROM FINANCING</t>
  </si>
  <si>
    <t>FX effect on cash</t>
  </si>
  <si>
    <t>Net change in cash + restricted cash</t>
  </si>
  <si>
    <t>Cash and restricted cash, opening</t>
  </si>
  <si>
    <t>FY25 opening $423.0m per 2025 Q4 release; FY25 Q4 opening $370.4m from FY26 Q3 10-Q FY25 nine-month comparative.</t>
  </si>
  <si>
    <t>Cash and restricted cash, closing</t>
  </si>
  <si>
    <t>Restricted cash — current assets</t>
  </si>
  <si>
    <t>Restricted cash — other assets</t>
  </si>
  <si>
    <t>Reconciliation: cash incl. restricted</t>
  </si>
  <si>
    <t>Cash and cash equivalents, closing</t>
  </si>
  <si>
    <t>Cash flow / BS cash — CHECK</t>
  </si>
  <si>
    <t>Quarterly FCF (CFO + Capex)</t>
  </si>
  <si>
    <t>Geo</t>
  </si>
  <si>
    <t>Americas — reported revenue</t>
  </si>
  <si>
    <t>The issuer reports geography as its three operating segments by location of origination, not an independent country-of-client split.</t>
  </si>
  <si>
    <t xml:space="preserve">  Share of reported revenue</t>
  </si>
  <si>
    <t xml:space="preserve">  Annual subscription value</t>
  </si>
  <si>
    <t xml:space="preserve">  Revenue per ASV dollar</t>
  </si>
  <si>
    <t xml:space="preserve">  Segment operating profit</t>
  </si>
  <si>
    <t xml:space="preserve">  Segment operating margin</t>
  </si>
  <si>
    <t>EMEA — reported revenue</t>
  </si>
  <si>
    <t>Asia Pacific — reported revenue</t>
  </si>
  <si>
    <t>Geo revenue less consolidated — CHECK</t>
  </si>
  <si>
    <t>Geographic growth contribution analysis</t>
  </si>
  <si>
    <t>Americas absolute revenue change ($m)</t>
  </si>
  <si>
    <t>EMEA absolute revenue change ($m)</t>
  </si>
  <si>
    <t>Asia Pacific absolute revenue change ($m)</t>
  </si>
  <si>
    <t>Consolidated absolute revenue change</t>
  </si>
  <si>
    <t xml:space="preserve">  Americas share of total change</t>
  </si>
  <si>
    <t xml:space="preserve">  EMEA share of total change</t>
  </si>
  <si>
    <t xml:space="preserve">  Asia Pacific share of total change</t>
  </si>
  <si>
    <t>Regional margin spread vs group (bps)</t>
  </si>
  <si>
    <t xml:space="preserve">  Americas spread</t>
  </si>
  <si>
    <t xml:space="preserve">  EMEA spread</t>
  </si>
  <si>
    <t xml:space="preserve">  Asia Pacific spread</t>
  </si>
  <si>
    <t>Annual ASV shares by region</t>
  </si>
  <si>
    <t xml:space="preserve">  Americas % of group ASV</t>
  </si>
  <si>
    <t xml:space="preserve">  EMEA % of group ASV</t>
  </si>
  <si>
    <t xml:space="preserve">  Asia Pacific % of group ASV</t>
  </si>
  <si>
    <t xml:space="preserve">  ASV geographic mix total — CHECK</t>
  </si>
  <si>
    <t>Share Count</t>
  </si>
  <si>
    <t>Opening shares outstanding (millions)</t>
  </si>
  <si>
    <t>Employee plan issuance (millions)</t>
  </si>
  <si>
    <t>Shares repurchased (millions)</t>
  </si>
  <si>
    <t>Forecast buybacks are an assumption; Q3 purchases 926,370 shares for $203.1m, per FY26 Q3 10-Q.</t>
  </si>
  <si>
    <t>Closing shares outstanding (millions)</t>
  </si>
  <si>
    <t>Weighted average basic shares</t>
  </si>
  <si>
    <t>Incremental dilutive instruments</t>
  </si>
  <si>
    <t>Weighted average diluted shares</t>
  </si>
  <si>
    <t>Basic share Y/Y growth</t>
  </si>
  <si>
    <t>Diluted shares Y/Y growth</t>
  </si>
  <si>
    <t>Share repurchase spend ($m)</t>
  </si>
  <si>
    <t>Implied share repurchase price ($)</t>
  </si>
  <si>
    <t>EPS share basis check</t>
  </si>
  <si>
    <t>Guidance</t>
  </si>
  <si>
    <t>Guidance date</t>
  </si>
  <si>
    <t>Period</t>
  </si>
  <si>
    <t>Low</t>
  </si>
  <si>
    <t>High</t>
  </si>
  <si>
    <t>Midpoint</t>
  </si>
  <si>
    <t>Reported / model</t>
  </si>
  <si>
    <t>Beat / (miss)</t>
  </si>
  <si>
    <t>FY26</t>
  </si>
  <si>
    <t>Organic ASV growth ($m)</t>
  </si>
  <si>
    <t>GAAP revenue ($m)</t>
  </si>
  <si>
    <t>GAAP operating margin</t>
  </si>
  <si>
    <t>Adjusted operating margin</t>
  </si>
  <si>
    <t>Effective tax rate</t>
  </si>
  <si>
    <t>Adjusted diluted EPS</t>
  </si>
  <si>
    <t>FY2026 guidance reaffirmed July 2026; annual results in column H are model forecasts.</t>
  </si>
  <si>
    <t>Implied 4Q revenue at FY mid</t>
  </si>
  <si>
    <t>Implied 4Q adjusted EPS at FY mid</t>
  </si>
  <si>
    <t>Implied 4Q at top-end revenue</t>
  </si>
  <si>
    <t>Implied 4Q at top-end adjusted EPS</t>
  </si>
  <si>
    <t>Sources</t>
  </si>
  <si>
    <t>ID</t>
  </si>
  <si>
    <t>Publication</t>
  </si>
  <si>
    <t>Publisher</t>
  </si>
  <si>
    <t>URL / local input</t>
  </si>
  <si>
    <t>Model fields supported</t>
  </si>
  <si>
    <t>S01</t>
  </si>
  <si>
    <t>FactSet (SEC 8-K)</t>
  </si>
  <si>
    <t>Open SEC filing</t>
  </si>
  <si>
    <t>4Q25 / FY25 statements; adjusted net income</t>
  </si>
  <si>
    <t>S02</t>
  </si>
  <si>
    <t>FactSet (SEC 10-K)</t>
  </si>
  <si>
    <t>FY25 segment revenue, profit, ASV</t>
  </si>
  <si>
    <t>S03</t>
  </si>
  <si>
    <t>FactSet (SEC 10-Q)</t>
  </si>
  <si>
    <t>1Q26 segments, IS, BS, CF, client counts</t>
  </si>
  <si>
    <t>S04</t>
  </si>
  <si>
    <t>2Q26 segments, IS, BS, CF, ASV</t>
  </si>
  <si>
    <t>S05</t>
  </si>
  <si>
    <t>3Q26 issuer history; FY25 nine-month comparatives</t>
  </si>
  <si>
    <t>S06</t>
  </si>
  <si>
    <t>FY26 revenue / normalized EPS guidance, client retention</t>
  </si>
  <si>
    <t>S07</t>
  </si>
  <si>
    <t>Motley Fool, earnings call</t>
  </si>
  <si>
    <t>Open call / peer</t>
  </si>
  <si>
    <t>Management commentary on ASV momentum, margin spending</t>
  </si>
  <si>
    <t>S08</t>
  </si>
  <si>
    <t>MSCI investor relations</t>
  </si>
  <si>
    <t>Peer recurring subscription growth +9.0%; retention 95.3%</t>
  </si>
  <si>
    <t>S09</t>
  </si>
  <si>
    <t>LSEG investor relations</t>
  </si>
  <si>
    <t>Open research preview</t>
  </si>
  <si>
    <t>Peer ASV growth +6.1%, FX and spend</t>
  </si>
  <si>
    <t>S10</t>
  </si>
  <si>
    <t>Zacks / Yahoo Finance</t>
  </si>
  <si>
    <t>Negative earnings ESP -2.21%; geographic expectations</t>
  </si>
  <si>
    <t>S11</t>
  </si>
  <si>
    <t>Street EPS $4.32; regional consensus US $412m; ASV $2.56bn</t>
  </si>
  <si>
    <t>S12</t>
  </si>
  <si>
    <t>AlphaStreet</t>
  </si>
  <si>
    <t>Independent Q4 normalized EPS $4.35; revenue $629.7m</t>
  </si>
  <si>
    <t>C01</t>
  </si>
  <si>
    <t>2026-09-24 date only</t>
  </si>
  <si>
    <t>S&amp;P Capital IQ</t>
  </si>
  <si>
    <t>FDS_consensus.json</t>
  </si>
  <si>
    <t>Headline mean EPSn $4.35 (16 contributors), GAAP $3.91 (9), revenue $629.85 (15)</t>
  </si>
  <si>
    <t>C02</t>
  </si>
  <si>
    <t>prior releases</t>
  </si>
  <si>
    <t>FDS_history.csv</t>
  </si>
  <si>
    <t>Historical reported vs consensus revenue and both EPS bases</t>
  </si>
  <si>
    <t>Input</t>
  </si>
  <si>
    <t>SHA256</t>
  </si>
  <si>
    <t>Capture</t>
  </si>
  <si>
    <t>Status</t>
  </si>
  <si>
    <t>e368eaee12e683e92b11bf8336d5720720cc29220831a7025506f44aec2a03a0</t>
  </si>
  <si>
    <t>historical</t>
  </si>
  <si>
    <t>embedded Inputs!A10:H16</t>
  </si>
  <si>
    <t>277bbd9c0e6eb39bc399b9cd83bb03c982dcf7059fdf51c2128b1d20461e8f53</t>
  </si>
  <si>
    <t>embedded Inputs!A20:B73</t>
  </si>
  <si>
    <t>FY26 filing cutoff</t>
  </si>
  <si>
    <t>2026-09-26T18:44:22.240587+00:00</t>
  </si>
  <si>
    <t>No target-period reported results used</t>
  </si>
  <si>
    <t>Issuer splits not disclosed</t>
  </si>
  <si>
    <t>FY26 Q3 10-Q reports geographic segments but does not quantify firm-type revenue, customer gross additions or churn; do not invent missing disclosures.</t>
  </si>
  <si>
    <t>Inputs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</si>
  <si>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</si>
  <si>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</si>
  <si>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</si>
  <si>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</si>
  <si>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</si>
  <si>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</si>
  <si>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</si>
  <si>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</si>
  <si>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S&amp;P data capture</t>
  </si>
  <si>
    <t>2026-09-24 (date only)</t>
  </si>
  <si>
    <t>History SHA256</t>
  </si>
  <si>
    <t>Consensus SHA256</t>
  </si>
  <si>
    <t>EPS primary analysts</t>
  </si>
  <si>
    <t>ticker</t>
  </si>
  <si>
    <t>FDS</t>
  </si>
  <si>
    <t>company</t>
  </si>
  <si>
    <t>exchange_ticker</t>
  </si>
  <si>
    <t>NYSE:FDS</t>
  </si>
  <si>
    <t>capiq_company_id</t>
  </si>
  <si>
    <t>analyst_count</t>
  </si>
  <si>
    <t>fiscal_year_end</t>
  </si>
  <si>
    <t>Aug-31</t>
  </si>
  <si>
    <t>forward_quarter_label</t>
  </si>
  <si>
    <t>FQ4 2026 -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</si>
  <si>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</si>
  <si>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</si>
  <si>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</si>
  <si>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</si>
  <si>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</si>
  <si>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</si>
  <si>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</si>
  <si>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</si>
  <si>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</si>
  <si>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</si>
  <si>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</si>
  <si>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</si>
  <si>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</si>
  <si>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</si>
  <si>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</si>
  <si>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</si>
  <si>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</si>
  <si>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</si>
  <si>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</si>
  <si>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</si>
  <si>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</si>
  <si>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</si>
  <si>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</si>
  <si>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</si>
  <si>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</si>
  <si>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</si>
  <si>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</si>
  <si>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</si>
  <si>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</si>
  <si>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</si>
  <si>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</si>
  <si>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</si>
  <si>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</si>
  <si>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</si>
  <si>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</si>
  <si>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</si>
  <si>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</si>
  <si>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</si>
  <si>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</si>
  <si>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</si>
  <si>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</si>
  <si>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</si>
  <si>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</si>
  <si>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</si>
  <si>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</si>
  <si>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</si>
  <si>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notes</t>
  </si>
  <si>
    <t>Results Sep 30, call 9 a.m. 52wk range 320.48/185.00. FY guidance for EPSn 17.25/17.75.</t>
  </si>
  <si>
    <t>Forecast confidence</t>
  </si>
  <si>
    <t>medium</t>
  </si>
  <si>
    <t>P(beat CapIQ normalized EPS)</t>
  </si>
  <si>
    <t>Quarters per fiscal year</t>
  </si>
  <si>
    <t>Basis points per unit</t>
  </si>
  <si>
    <t>FY25</t>
  </si>
  <si>
    <t>4Q25</t>
  </si>
  <si>
    <t>1Q26</t>
  </si>
  <si>
    <t>2Q26</t>
  </si>
  <si>
    <t>3Q26</t>
  </si>
  <si>
    <t>accrued_comp</t>
  </si>
  <si>
    <t>r4:247</t>
  </si>
  <si>
    <t>q1:169</t>
  </si>
  <si>
    <t>q2:172</t>
  </si>
  <si>
    <t>q3:175</t>
  </si>
  <si>
    <t>adj_acquisition</t>
  </si>
  <si>
    <t>q1:1421</t>
  </si>
  <si>
    <t>q2:1544</t>
  </si>
  <si>
    <t>q3:1534</t>
  </si>
  <si>
    <t>adj_amort</t>
  </si>
  <si>
    <t>r4:346</t>
  </si>
  <si>
    <t>q1:1419</t>
  </si>
  <si>
    <t>q2:1540</t>
  </si>
  <si>
    <t>q3:1531</t>
  </si>
  <si>
    <t>adj_asset</t>
  </si>
  <si>
    <t>r4:352</t>
  </si>
  <si>
    <t>q2:1545</t>
  </si>
  <si>
    <t>q3:1538</t>
  </si>
  <si>
    <t>adj_bankruptcy</t>
  </si>
  <si>
    <t>q3:1536</t>
  </si>
  <si>
    <t>adj_ceo</t>
  </si>
  <si>
    <t>q1:1420</t>
  </si>
  <si>
    <t>q2:1542</t>
  </si>
  <si>
    <t>q3:1533</t>
  </si>
  <si>
    <t>adj_divest_gain</t>
  </si>
  <si>
    <t>r4:347</t>
  </si>
  <si>
    <t>adj_exec</t>
  </si>
  <si>
    <t>r4:350</t>
  </si>
  <si>
    <t>adj_impair</t>
  </si>
  <si>
    <t>q2:1541</t>
  </si>
  <si>
    <t>q3:1535</t>
  </si>
  <si>
    <t>adj_invest_gain</t>
  </si>
  <si>
    <t>q1:1422</t>
  </si>
  <si>
    <t>q2:1547</t>
  </si>
  <si>
    <t>adj_labor</t>
  </si>
  <si>
    <t>q2:1543</t>
  </si>
  <si>
    <t>q3:1537</t>
  </si>
  <si>
    <t>adj_nonop_divest</t>
  </si>
  <si>
    <t>q1:1424</t>
  </si>
  <si>
    <t>q2:1549</t>
  </si>
  <si>
    <t>q3:1541</t>
  </si>
  <si>
    <t>adj_restruct</t>
  </si>
  <si>
    <t>r4:351</t>
  </si>
  <si>
    <t>q1:1423</t>
  </si>
  <si>
    <t>q2:1548</t>
  </si>
  <si>
    <t>q3:1532</t>
  </si>
  <si>
    <t>adj_sales</t>
  </si>
  <si>
    <t>r4:349</t>
  </si>
  <si>
    <t>q1:1425</t>
  </si>
  <si>
    <t>q2:1546</t>
  </si>
  <si>
    <t>q3:1539</t>
  </si>
  <si>
    <t>adj_tax</t>
  </si>
  <si>
    <t>r4:353</t>
  </si>
  <si>
    <t>q1:1426</t>
  </si>
  <si>
    <t>q2:1550</t>
  </si>
  <si>
    <t>q3:1542</t>
  </si>
  <si>
    <t>americas</t>
  </si>
  <si>
    <t>fy:818</t>
  </si>
  <si>
    <t>FY25 minus Q3FY26 2025 comparable:818</t>
  </si>
  <si>
    <t>q1:407</t>
  </si>
  <si>
    <t>q2:430</t>
  </si>
  <si>
    <t>q3:431</t>
  </si>
  <si>
    <t>ap</t>
  </si>
  <si>
    <t>r4:244</t>
  </si>
  <si>
    <t>q1:167</t>
  </si>
  <si>
    <t>q2:170</t>
  </si>
  <si>
    <t>q3:172</t>
  </si>
  <si>
    <t>apac</t>
  </si>
  <si>
    <t>fy:822</t>
  </si>
  <si>
    <t>FY25 minus Q3FY26 2025 comparable:822</t>
  </si>
  <si>
    <t>q1:409</t>
  </si>
  <si>
    <t>q2:432</t>
  </si>
  <si>
    <t>q3:433</t>
  </si>
  <si>
    <t>ar</t>
  </si>
  <si>
    <t>r4:232</t>
  </si>
  <si>
    <t>q1:155</t>
  </si>
  <si>
    <t>q2:158</t>
  </si>
  <si>
    <t>q3:160</t>
  </si>
  <si>
    <t>asv</t>
  </si>
  <si>
    <t>r4:90</t>
  </si>
  <si>
    <t>q3:1215</t>
  </si>
  <si>
    <t>asv_americas</t>
  </si>
  <si>
    <t>asv_apac</t>
  </si>
  <si>
    <t>asv_emea</t>
  </si>
  <si>
    <t>basic_shares</t>
  </si>
  <si>
    <t>r4:219</t>
  </si>
  <si>
    <t>q1:126</t>
  </si>
  <si>
    <t>q2:124</t>
  </si>
  <si>
    <t>q3:126</t>
  </si>
  <si>
    <t>cash</t>
  </si>
  <si>
    <t>r4:230</t>
  </si>
  <si>
    <t>q1:153</t>
  </si>
  <si>
    <t>q2:156</t>
  </si>
  <si>
    <t>q3:158</t>
  </si>
  <si>
    <t>cf_acquisitions</t>
  </si>
  <si>
    <t>r4:288</t>
  </si>
  <si>
    <t>r4 minus q3 FY25 comparative:288</t>
  </si>
  <si>
    <t>q1:216</t>
  </si>
  <si>
    <t>q2:219</t>
  </si>
  <si>
    <t>q3:222</t>
  </si>
  <si>
    <t>cf_buy_invest</t>
  </si>
  <si>
    <t>r4:289</t>
  </si>
  <si>
    <t>r4 minus q3 FY25 comparative:289</t>
  </si>
  <si>
    <t>q1:217</t>
  </si>
  <si>
    <t>q2:220</t>
  </si>
  <si>
    <t>q3:223</t>
  </si>
  <si>
    <t>cf_buyback</t>
  </si>
  <si>
    <t>r4:297</t>
  </si>
  <si>
    <t>r4 minus q3 FY25 comparative:297</t>
  </si>
  <si>
    <t>q1:225</t>
  </si>
  <si>
    <t>q2:228</t>
  </si>
  <si>
    <t>q3:231</t>
  </si>
  <si>
    <t>cf_capex</t>
  </si>
  <si>
    <t>r4:287</t>
  </si>
  <si>
    <t>r4 minus q3 FY25 comparative:287</t>
  </si>
  <si>
    <t>q1:215</t>
  </si>
  <si>
    <t>q2:218</t>
  </si>
  <si>
    <t>q3:221</t>
  </si>
  <si>
    <t>cf_d_ap</t>
  </si>
  <si>
    <t>r4:280</t>
  </si>
  <si>
    <t>r4 minus q3 FY25 comparative:280</t>
  </si>
  <si>
    <t>q1:208</t>
  </si>
  <si>
    <t>q2:211</t>
  </si>
  <si>
    <t>q3:214</t>
  </si>
  <si>
    <t>cf_d_ar</t>
  </si>
  <si>
    <t>r4:278</t>
  </si>
  <si>
    <t>r4 minus q3 FY25 comparative:278</t>
  </si>
  <si>
    <t>q1:206</t>
  </si>
  <si>
    <t>q2:209</t>
  </si>
  <si>
    <t>q3:212</t>
  </si>
  <si>
    <t>cf_d_comp</t>
  </si>
  <si>
    <t>r4:281</t>
  </si>
  <si>
    <t>r4 minus q3 FY25 comparative:281</t>
  </si>
  <si>
    <t>q1:209</t>
  </si>
  <si>
    <t>q2:212</t>
  </si>
  <si>
    <t>q3:215</t>
  </si>
  <si>
    <t>cf_d_defrev</t>
  </si>
  <si>
    <t>r4:282</t>
  </si>
  <si>
    <t>r4 minus q3 FY25 comparative:282</t>
  </si>
  <si>
    <t>q1:210</t>
  </si>
  <si>
    <t>q2:213</t>
  </si>
  <si>
    <t>q3:216</t>
  </si>
  <si>
    <t>cf_d_lease</t>
  </si>
  <si>
    <t>r4:284</t>
  </si>
  <si>
    <t>r4 minus q3 FY25 comparative:284</t>
  </si>
  <si>
    <t>q1:212</t>
  </si>
  <si>
    <t>q2:215</t>
  </si>
  <si>
    <t>q3:218</t>
  </si>
  <si>
    <t>cf_d_prepaid</t>
  </si>
  <si>
    <t>r4:279</t>
  </si>
  <si>
    <t>r4 minus q3 FY25 comparative:279</t>
  </si>
  <si>
    <t>q1:207</t>
  </si>
  <si>
    <t>q2:210</t>
  </si>
  <si>
    <t>q3:213</t>
  </si>
  <si>
    <t>cf_d_tax</t>
  </si>
  <si>
    <t>r4:283</t>
  </si>
  <si>
    <t>r4 minus q3 FY25 comparative:283</t>
  </si>
  <si>
    <t>q1:211</t>
  </si>
  <si>
    <t>q2:214</t>
  </si>
  <si>
    <t>q3:217</t>
  </si>
  <si>
    <t>cf_da</t>
  </si>
  <si>
    <t>r4:271</t>
  </si>
  <si>
    <t>r4 minus q3 FY25 comparative:271</t>
  </si>
  <si>
    <t>q1:200</t>
  </si>
  <si>
    <t>q2:203</t>
  </si>
  <si>
    <t>q3:206</t>
  </si>
  <si>
    <t>cf_debt_proceeds</t>
  </si>
  <si>
    <t>r4:293</t>
  </si>
  <si>
    <t>r4 minus q3 FY25 comparative:293</t>
  </si>
  <si>
    <t>q1:221</t>
  </si>
  <si>
    <t>q2:224</t>
  </si>
  <si>
    <t>q3:227</t>
  </si>
  <si>
    <t>cf_debt_repay</t>
  </si>
  <si>
    <t>r4:294</t>
  </si>
  <si>
    <t>r4 minus q3 FY25 comparative:294</t>
  </si>
  <si>
    <t>q1:222</t>
  </si>
  <si>
    <t>q2:225</t>
  </si>
  <si>
    <t>q3:228</t>
  </si>
  <si>
    <t>cf_deferred_acq</t>
  </si>
  <si>
    <t>q1:226</t>
  </si>
  <si>
    <t>q2:229</t>
  </si>
  <si>
    <t>q3:232</t>
  </si>
  <si>
    <t>cf_deferred_tax</t>
  </si>
  <si>
    <t>r4:274</t>
  </si>
  <si>
    <t>r4 minus q3 FY25 comparative:274</t>
  </si>
  <si>
    <t>q1:203</t>
  </si>
  <si>
    <t>q2:206</t>
  </si>
  <si>
    <t>q3:209</t>
  </si>
  <si>
    <t>cf_dividends</t>
  </si>
  <si>
    <t>r4:295</t>
  </si>
  <si>
    <t>r4 minus q3 FY25 comparative:295</t>
  </si>
  <si>
    <t>q1:223</t>
  </si>
  <si>
    <t>q2:226</t>
  </si>
  <si>
    <t>q3:229</t>
  </si>
  <si>
    <t>cf_fx_cash</t>
  </si>
  <si>
    <t>r4:300</t>
  </si>
  <si>
    <t>r4 minus q3 FY25 comparative:300</t>
  </si>
  <si>
    <t>q1:229</t>
  </si>
  <si>
    <t>q2:232</t>
  </si>
  <si>
    <t>q3:235</t>
  </si>
  <si>
    <t>cf_other_cfo</t>
  </si>
  <si>
    <t>r4:276</t>
  </si>
  <si>
    <t>r4 minus q3 FY25 comparative:276</t>
  </si>
  <si>
    <t>q1:204</t>
  </si>
  <si>
    <t>q2:207</t>
  </si>
  <si>
    <t>q3:210</t>
  </si>
  <si>
    <t>cf_other_fin</t>
  </si>
  <si>
    <t>r4:298</t>
  </si>
  <si>
    <t>r4 minus q3 FY25 comparative:298</t>
  </si>
  <si>
    <t>q1:227</t>
  </si>
  <si>
    <t>q2:230</t>
  </si>
  <si>
    <t>q3:233</t>
  </si>
  <si>
    <t>cf_restricted_current</t>
  </si>
  <si>
    <t>r4:306</t>
  </si>
  <si>
    <t>r4 minus q3 FY25 comparative:306</t>
  </si>
  <si>
    <t>q1:235</t>
  </si>
  <si>
    <t>q2:238</t>
  </si>
  <si>
    <t>q3:241</t>
  </si>
  <si>
    <t>cf_restricted_other</t>
  </si>
  <si>
    <t>r4:307</t>
  </si>
  <si>
    <t>r4 minus q3 FY25 comparative:307</t>
  </si>
  <si>
    <t>q1:236</t>
  </si>
  <si>
    <t>q2:239</t>
  </si>
  <si>
    <t>q3:242</t>
  </si>
  <si>
    <t>cf_rou_amort</t>
  </si>
  <si>
    <t>r4:272</t>
  </si>
  <si>
    <t>r4 minus q3 FY25 comparative:272</t>
  </si>
  <si>
    <t>q1:201</t>
  </si>
  <si>
    <t>q2:204</t>
  </si>
  <si>
    <t>q3:207</t>
  </si>
  <si>
    <t>cf_sale_invest</t>
  </si>
  <si>
    <t>q1:218</t>
  </si>
  <si>
    <t>q2:221</t>
  </si>
  <si>
    <t>q3:224</t>
  </si>
  <si>
    <t>cf_sbc</t>
  </si>
  <si>
    <t>r4:273</t>
  </si>
  <si>
    <t>r4 minus q3 FY25 comparative:273</t>
  </si>
  <si>
    <t>q1:202</t>
  </si>
  <si>
    <t>q2:205</t>
  </si>
  <si>
    <t>q3:208</t>
  </si>
  <si>
    <t>cf_stock_proceeds</t>
  </si>
  <si>
    <t>r4:296</t>
  </si>
  <si>
    <t>r4 minus q3 FY25 comparative:296</t>
  </si>
  <si>
    <t>q1:224</t>
  </si>
  <si>
    <t>q2:227</t>
  </si>
  <si>
    <t>q3:230</t>
  </si>
  <si>
    <t>clients</t>
  </si>
  <si>
    <t>fy:750</t>
  </si>
  <si>
    <t>q1:1185</t>
  </si>
  <si>
    <t>q2:1232</t>
  </si>
  <si>
    <t>q3:1228</t>
  </si>
  <si>
    <t>cost</t>
  </si>
  <si>
    <t>r4:205</t>
  </si>
  <si>
    <t>q1:112</t>
  </si>
  <si>
    <t>q2:110</t>
  </si>
  <si>
    <t>q3:112</t>
  </si>
  <si>
    <t>current_debt</t>
  </si>
  <si>
    <t>r4:245</t>
  </si>
  <si>
    <t>q1:150</t>
  </si>
  <si>
    <t>q2:151</t>
  </si>
  <si>
    <t>q3:173</t>
  </si>
  <si>
    <t>current_lease</t>
  </si>
  <si>
    <t>r4:246</t>
  </si>
  <si>
    <t>q1:168</t>
  </si>
  <si>
    <t>q2:171</t>
  </si>
  <si>
    <t>q3:174</t>
  </si>
  <si>
    <t>current_tax</t>
  </si>
  <si>
    <t>r4:249</t>
  </si>
  <si>
    <t>q1:171</t>
  </si>
  <si>
    <t>q2:174</t>
  </si>
  <si>
    <t>q3:177</t>
  </si>
  <si>
    <t>deferred_revenue</t>
  </si>
  <si>
    <t>r4:248</t>
  </si>
  <si>
    <t>q1:170</t>
  </si>
  <si>
    <t>q2:173</t>
  </si>
  <si>
    <t>q3:176</t>
  </si>
  <si>
    <t>diluted_shares</t>
  </si>
  <si>
    <t>r4:220</t>
  </si>
  <si>
    <t>q1:127</t>
  </si>
  <si>
    <t>q2:125</t>
  </si>
  <si>
    <t>q3:127</t>
  </si>
  <si>
    <t>dividend_payable</t>
  </si>
  <si>
    <t>r4:250</t>
  </si>
  <si>
    <t>q1:172</t>
  </si>
  <si>
    <t>q2:175</t>
  </si>
  <si>
    <t>q3:178</t>
  </si>
  <si>
    <t>dta</t>
  </si>
  <si>
    <t>r4:239</t>
  </si>
  <si>
    <t>q1:162</t>
  </si>
  <si>
    <t>q2:165</t>
  </si>
  <si>
    <t>q3:167</t>
  </si>
  <si>
    <t>dtl</t>
  </si>
  <si>
    <t>r4:253</t>
  </si>
  <si>
    <t>q1:175</t>
  </si>
  <si>
    <t>q2:178</t>
  </si>
  <si>
    <t>q3:181</t>
  </si>
  <si>
    <t>emea</t>
  </si>
  <si>
    <t>fy:820</t>
  </si>
  <si>
    <t>FY25 minus Q3FY26 2025 comparable:820</t>
  </si>
  <si>
    <t>q1:408</t>
  </si>
  <si>
    <t>q2:431</t>
  </si>
  <si>
    <t>q3:432</t>
  </si>
  <si>
    <t>equity</t>
  </si>
  <si>
    <t>r4:260</t>
  </si>
  <si>
    <t>q1:188</t>
  </si>
  <si>
    <t>q2:191</t>
  </si>
  <si>
    <t>q3:194</t>
  </si>
  <si>
    <t>goodwill</t>
  </si>
  <si>
    <t>r4:237</t>
  </si>
  <si>
    <t>q1:160</t>
  </si>
  <si>
    <t>q2:163</t>
  </si>
  <si>
    <t>q3:165</t>
  </si>
  <si>
    <t>intangibles</t>
  </si>
  <si>
    <t>r4:238</t>
  </si>
  <si>
    <t>q1:161</t>
  </si>
  <si>
    <t>q2:164</t>
  </si>
  <si>
    <t>q3:166</t>
  </si>
  <si>
    <t>interest_expense</t>
  </si>
  <si>
    <t>r4:211</t>
  </si>
  <si>
    <t>q1:118</t>
  </si>
  <si>
    <t>q2:116</t>
  </si>
  <si>
    <t>q3:118</t>
  </si>
  <si>
    <t>interest_income</t>
  </si>
  <si>
    <t>r4:210</t>
  </si>
  <si>
    <t>q1:117</t>
  </si>
  <si>
    <t>q2:115</t>
  </si>
  <si>
    <t>q3:117</t>
  </si>
  <si>
    <t>investments</t>
  </si>
  <si>
    <t>r4:231</t>
  </si>
  <si>
    <t>q1:154</t>
  </si>
  <si>
    <t>q2:157</t>
  </si>
  <si>
    <t>q3:159</t>
  </si>
  <si>
    <t>long_debt</t>
  </si>
  <si>
    <t>r4:252</t>
  </si>
  <si>
    <t>q1:174</t>
  </si>
  <si>
    <t>q2:177</t>
  </si>
  <si>
    <t>q3:180</t>
  </si>
  <si>
    <t>long_lease</t>
  </si>
  <si>
    <t>r4:256</t>
  </si>
  <si>
    <t>q1:177</t>
  </si>
  <si>
    <t>q2:180</t>
  </si>
  <si>
    <t>q3:183</t>
  </si>
  <si>
    <t>long_tax</t>
  </si>
  <si>
    <t>r4:255</t>
  </si>
  <si>
    <t>q1:176</t>
  </si>
  <si>
    <t>q2:179</t>
  </si>
  <si>
    <t>q3:182</t>
  </si>
  <si>
    <t>organic_asv</t>
  </si>
  <si>
    <t>other_assets</t>
  </si>
  <si>
    <t>r4:241</t>
  </si>
  <si>
    <t>q1:164</t>
  </si>
  <si>
    <t>q2:167</t>
  </si>
  <si>
    <t>q3:169</t>
  </si>
  <si>
    <t>other_income</t>
  </si>
  <si>
    <t>r4:212</t>
  </si>
  <si>
    <t>q1:119</t>
  </si>
  <si>
    <t>q2:117</t>
  </si>
  <si>
    <t>q3:119</t>
  </si>
  <si>
    <t>other_liab</t>
  </si>
  <si>
    <t>r4:257</t>
  </si>
  <si>
    <t>q1:178</t>
  </si>
  <si>
    <t>q2:181</t>
  </si>
  <si>
    <t>q3:184</t>
  </si>
  <si>
    <t>ppe</t>
  </si>
  <si>
    <t>r4:236</t>
  </si>
  <si>
    <t>q1:159</t>
  </si>
  <si>
    <t>q2:162</t>
  </si>
  <si>
    <t>q3:164</t>
  </si>
  <si>
    <t>prepaid_other</t>
  </si>
  <si>
    <t>r4:234</t>
  </si>
  <si>
    <t>q1:157</t>
  </si>
  <si>
    <t>q2:160</t>
  </si>
  <si>
    <t>q3:162</t>
  </si>
  <si>
    <t>prepaid_tax</t>
  </si>
  <si>
    <t>r4:233</t>
  </si>
  <si>
    <t>q1:156</t>
  </si>
  <si>
    <t>q2:159</t>
  </si>
  <si>
    <t>q3:161</t>
  </si>
  <si>
    <t>profit_americas</t>
  </si>
  <si>
    <t>fy:892</t>
  </si>
  <si>
    <t>fy minus 2025 9-month q3:892</t>
  </si>
  <si>
    <t>q1:1324</t>
  </si>
  <si>
    <t>q2:1423</t>
  </si>
  <si>
    <t>q3:1409</t>
  </si>
  <si>
    <t>profit_apac</t>
  </si>
  <si>
    <t>fy:894</t>
  </si>
  <si>
    <t>fy minus 2025 9-month q3:894</t>
  </si>
  <si>
    <t>q1:1326</t>
  </si>
  <si>
    <t>q2:1425</t>
  </si>
  <si>
    <t>q3:1411</t>
  </si>
  <si>
    <t>profit_emea</t>
  </si>
  <si>
    <t>fy:893</t>
  </si>
  <si>
    <t>fy minus 2025 9-month q3:893</t>
  </si>
  <si>
    <t>q1:1325</t>
  </si>
  <si>
    <t>q2:1424</t>
  </si>
  <si>
    <t>q3:1410</t>
  </si>
  <si>
    <t>revenue</t>
  </si>
  <si>
    <t>r4:203</t>
  </si>
  <si>
    <t>q1:110</t>
  </si>
  <si>
    <t>q2:108</t>
  </si>
  <si>
    <t>q3:110</t>
  </si>
  <si>
    <t>rou</t>
  </si>
  <si>
    <t>r4:240</t>
  </si>
  <si>
    <t>q1:163</t>
  </si>
  <si>
    <t>q2:166</t>
  </si>
  <si>
    <t>q3:168</t>
  </si>
  <si>
    <t>sga</t>
  </si>
  <si>
    <t>r4:206</t>
  </si>
  <si>
    <t>q1:113</t>
  </si>
  <si>
    <t>q2:111</t>
  </si>
  <si>
    <t>q3:113</t>
  </si>
  <si>
    <t>tax</t>
  </si>
  <si>
    <t>r4:215</t>
  </si>
  <si>
    <t>q1:122</t>
  </si>
  <si>
    <t>q2:120</t>
  </si>
  <si>
    <t>q3:122</t>
  </si>
  <si>
    <t>users</t>
  </si>
  <si>
    <t>q1:1186</t>
  </si>
  <si>
    <t>q2:1233</t>
  </si>
  <si>
    <t>q3:1229</t>
  </si>
  <si>
    <t>adjusted_operating_income</t>
  </si>
  <si>
    <t>client_retention</t>
  </si>
  <si>
    <t>shares_outstanding_m</t>
  </si>
  <si>
    <t>quarterly_repurchases_m</t>
  </si>
  <si>
    <t>quarterly_employee_issuance_m</t>
  </si>
  <si>
    <t>prior_americas</t>
  </si>
  <si>
    <t>prior_emea</t>
  </si>
  <si>
    <t>prior_apac</t>
  </si>
  <si>
    <t>prior_consolidated</t>
  </si>
  <si>
    <t>organic_revenue_current</t>
  </si>
  <si>
    <t>organic_revenue_prior</t>
  </si>
  <si>
    <t>reported_fx_adjustment_m</t>
  </si>
  <si>
    <t>organic_growth_americas</t>
  </si>
  <si>
    <t>organic_growth_emea</t>
  </si>
  <si>
    <t>organic_growth_apac</t>
  </si>
  <si>
    <t>Forecast closing client count</t>
  </si>
  <si>
    <t>Forecast closing user count</t>
  </si>
  <si>
    <t>FY25Q3_ASV_Americas</t>
  </si>
  <si>
    <t>FY25Q3_ASV_EMEA</t>
  </si>
  <si>
    <t>FY25Q3_ASV_APAC</t>
  </si>
  <si>
    <t>prior_ASV_Americas</t>
  </si>
  <si>
    <t>FY25 Q4 issuer release; FY26 Q1/Q2/Q3 10-Q include matching year-ago regional ASV and operating profit comparatives.</t>
  </si>
  <si>
    <t>prior_ASV_EMEA</t>
  </si>
  <si>
    <t>prior_ASV_APAC</t>
  </si>
  <si>
    <t>prior_profit_Americas</t>
  </si>
  <si>
    <t>prior_profit_EMEA</t>
  </si>
  <si>
    <t>prior_profit_APAC</t>
  </si>
</sst>
</file>

<file path=xl/styles.xml><?xml version="1.0" encoding="utf-8"?>
<styleSheet xmlns="http://schemas.openxmlformats.org/spreadsheetml/2006/main">
  <numFmts count="7">
    <numFmt numFmtId="164" formatCode="#,##0.0_);(#,##0.0);–_)"/>
    <numFmt numFmtId="165" formatCode="yyyy-mm-dd"/>
    <numFmt numFmtId="166" formatCode="$0.00"/>
    <numFmt numFmtId="167" formatCode="0.0%_);(0.0%);–_)"/>
    <numFmt numFmtId="168" formatCode="0.0&quot;x&quot;"/>
    <numFmt numFmtId="169" formatCode="0.0%"/>
    <numFmt numFmtId="170" formatCode="d-mmm-yyyy"/>
  </numFmts>
  <fonts count="12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1"/>
      <color rgb="FF006100"/>
      <name val="Arial"/>
    </font>
    <font>
      <b val="0"/>
      <i/>
      <strike val="0"/>
      <sz val="11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F5FA"/>
      </patternFill>
    </fill>
    <fill>
      <patternFill patternType="solid">
        <fgColor rgb="FFEDEFF1"/>
      </patternFill>
    </fill>
  </fills>
  <borders count="3">
    <border>
      <left/>
      <right/>
      <top/>
      <bottom/>
      <diagonal/>
    </border>
    <border>
      <top style="thin">
        <color rgb="FFAEB5BC"/>
      </top>
    </border>
    <border>
      <top style="thin">
        <color rgb="FFAEB5BC"/>
      </top>
      <bottom style="thin">
        <color rgb="FFAEB5BC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2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2" fillId="2" borderId="1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4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0" fontId="2" fillId="3" borderId="2" xfId="0" applyFont="1" applyFill="1" applyBorder="1" applyAlignment="1" applyProtection="1">
      <alignment horizontal="general" vertical="bottom"/>
      <protection locked="1" hidden="0"/>
    </xf>
    <xf numFmtId="166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167" fontId="5" fillId="2" borderId="0" xfId="0" applyNumberFormat="1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7" fontId="6" fillId="0" borderId="0" xfId="0" applyNumberFormat="1" applyFont="1" applyFill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164" fontId="7" fillId="2" borderId="0" xfId="0" applyNumberFormat="1" applyFont="1" applyFill="1" applyAlignment="1" applyProtection="1">
      <alignment horizontal="general" vertical="bottom"/>
      <protection locked="1" hidden="0"/>
    </xf>
    <xf numFmtId="167" fontId="6" fillId="2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9" fontId="3" fillId="0" borderId="0" xfId="0" applyNumberFormat="1" applyFont="1" applyFill="1" applyAlignment="1" applyProtection="1">
      <alignment horizontal="general" vertical="bottom"/>
      <protection locked="1" hidden="0"/>
    </xf>
    <xf numFmtId="167" fontId="9" fillId="2" borderId="0" xfId="0" applyNumberFormat="1" applyFont="1" applyFill="1" applyAlignment="1" applyProtection="1">
      <alignment horizontal="general" vertical="bottom"/>
      <protection locked="1" hidden="0"/>
    </xf>
    <xf numFmtId="168" fontId="6" fillId="0" borderId="0" xfId="0" applyNumberFormat="1" applyFont="1" applyFill="1" applyAlignment="1" applyProtection="1">
      <alignment horizontal="general" vertical="bottom"/>
      <protection locked="1" hidden="0"/>
    </xf>
    <xf numFmtId="166" fontId="2" fillId="0" borderId="1" xfId="0" applyNumberFormat="1" applyFont="1" applyFill="1" applyBorder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167" fontId="10" fillId="0" borderId="0" xfId="0" applyNumberFormat="1" applyFont="1" applyFill="1" applyAlignment="1" applyProtection="1">
      <alignment horizontal="general" vertical="bottom"/>
      <protection locked="1" hidden="0"/>
    </xf>
    <xf numFmtId="164" fontId="7" fillId="0" borderId="0" xfId="0" applyNumberFormat="1" applyFont="1" applyFill="1" applyAlignment="1" applyProtection="1">
      <alignment horizontal="general" vertical="bottom"/>
      <protection locked="1" hidden="0"/>
    </xf>
    <xf numFmtId="164" fontId="4" fillId="2" borderId="1" xfId="0" applyNumberFormat="1" applyFont="1" applyFill="1" applyBorder="1" applyAlignment="1" applyProtection="1">
      <alignment horizontal="general" vertical="bottom"/>
      <protection locked="1" hidden="0"/>
    </xf>
    <xf numFmtId="167" fontId="11" fillId="0" borderId="0" xfId="0" applyNumberFormat="1" applyFont="1" applyFill="1" applyAlignment="1" applyProtection="1">
      <alignment horizontal="general" vertical="bottom"/>
      <protection locked="1" hidden="0"/>
    </xf>
    <xf numFmtId="167" fontId="10" fillId="2" borderId="0" xfId="0" applyNumberFormat="1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8" fontId="10" fillId="2" borderId="0" xfId="0" applyNumberFormat="1" applyFont="1" applyFill="1" applyAlignment="1" applyProtection="1">
      <alignment horizontal="general" vertical="bottom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general" vertical="bottom"/>
      <protection locked="1" hidden="0"/>
    </xf>
    <xf numFmtId="166" fontId="2" fillId="2" borderId="1" xfId="0" applyNumberFormat="1" applyFont="1" applyFill="1" applyBorder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general" vertical="bottom"/>
      <protection locked="1" hidden="0"/>
    </xf>
    <xf numFmtId="165" fontId="7" fillId="0" borderId="0" xfId="0" applyNumberFormat="1" applyFont="1" applyFill="1" applyAlignment="1" applyProtection="1">
      <alignment horizontal="general" vertical="bottom"/>
      <protection locked="1" hidden="0"/>
    </xf>
    <xf numFmtId="166" fontId="3" fillId="2" borderId="0" xfId="0" applyNumberFormat="1" applyFont="1" applyFill="1" applyAlignment="1" applyProtection="1">
      <alignment horizontal="general" vertical="bottom"/>
      <protection locked="1" hidden="0"/>
    </xf>
    <xf numFmtId="170" fontId="1" fillId="0" borderId="0" xfId="0" applyNumberFormat="1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ec.gov/Archives/edgar/data/1013237/000101323725000084/fdsq42025earningsrelease.htm" TargetMode="External"/><Relationship Id="rId2" Type="http://schemas.openxmlformats.org/officeDocument/2006/relationships/hyperlink" Target="https://www.sec.gov/Archives/edgar/data/1013237/000162828025045769/fds-20250831.htm" TargetMode="External"/><Relationship Id="rId3" Type="http://schemas.openxmlformats.org/officeDocument/2006/relationships/hyperlink" Target="https://www.sec.gov/Archives/edgar/data/1013237/000162828026000223/fds-20251130.htm" TargetMode="External"/><Relationship Id="rId4" Type="http://schemas.openxmlformats.org/officeDocument/2006/relationships/hyperlink" Target="https://www.sec.gov/Archives/edgar/data/1013237/000162828026022873/fds-20260228.htm" TargetMode="External"/><Relationship Id="rId5" Type="http://schemas.openxmlformats.org/officeDocument/2006/relationships/hyperlink" Target="https://www.sec.gov/Archives/edgar/data/1013237/000162828026046549/fds-20260531.htm" TargetMode="External"/><Relationship Id="rId6" Type="http://schemas.openxmlformats.org/officeDocument/2006/relationships/hyperlink" Target="https://www.sec.gov/Archives/edgar/data/1013237/000162828026046338/fdsq32026earningsrelease.htm" TargetMode="External"/><Relationship Id="rId7" Type="http://schemas.openxmlformats.org/officeDocument/2006/relationships/hyperlink" Target="https://www.fool.com/earnings/call-transcripts/2026/07/01/factset-fds-q3-2026-earnings-call-transcript/" TargetMode="External"/><Relationship Id="rId8" Type="http://schemas.openxmlformats.org/officeDocument/2006/relationships/hyperlink" Target="https://ir.msci.com/news-releases/news-release-details/msci-reports-financial-results-second-quarter-and-six-months-10" TargetMode="External"/><Relationship Id="rId9" Type="http://schemas.openxmlformats.org/officeDocument/2006/relationships/hyperlink" Target="https://www.lseg.com/en/media-centre/press-releases/2026/london-stock-exchange-group-plc-h1-2026-interim-results" TargetMode="External"/><Relationship Id="rId10" Type="http://schemas.openxmlformats.org/officeDocument/2006/relationships/hyperlink" Target="https://finance.yahoo.com/markets/stocks/articles/factset-report-q4-earnings-whats-134400712.html" TargetMode="External"/><Relationship Id="rId11" Type="http://schemas.openxmlformats.org/officeDocument/2006/relationships/hyperlink" Target="https://finance.yahoo.com/markets/stocks/articles/ahead-factset-fds-q4-earnings-121513578.html" TargetMode="External"/><Relationship Id="rId12" Type="http://schemas.openxmlformats.org/officeDocument/2006/relationships/hyperlink" Target="https://news.alphastreet.com/factset-research-systems-fds-q4-2026-preview-eps-est-4-35-reports-september-30/am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/>
      <c r="C2" s="6"/>
      <c r="D2" s="6" t="s">
        <v>0</v>
      </c>
      <c r="E2" s="6"/>
      <c r="F2" s="6"/>
      <c r="G2" s="6"/>
      <c r="H2" s="6"/>
      <c r="I2" s="1"/>
      <c r="J2" s="1"/>
    </row>
    <row r="3">
      <c r="A3" s="1"/>
      <c r="B3" s="6" t="s">
        <v>1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 t="s">
        <v>9</v>
      </c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10</v>
      </c>
      <c r="C10" s="2"/>
      <c r="D10" s="2"/>
      <c r="E10" s="2"/>
      <c r="F10" s="2"/>
      <c r="G10" s="2"/>
      <c r="H10" s="9"/>
      <c r="I10" s="1"/>
      <c r="J10" s="1"/>
    </row>
    <row r="11">
      <c r="A11" s="1"/>
      <c r="B11" s="1"/>
      <c r="C11" s="2"/>
      <c r="D11" s="2"/>
      <c r="E11" s="2"/>
      <c r="F11" s="2"/>
      <c r="G11" s="2"/>
      <c r="H11" s="9"/>
      <c r="I11" s="1"/>
      <c r="J11" s="1"/>
    </row>
    <row r="12">
      <c r="A12" s="1"/>
      <c r="B12" s="12" t="s">
        <v>11</v>
      </c>
      <c r="C12" s="11" t="s">
        <v>12</v>
      </c>
      <c r="D12" s="11" t="s">
        <v>13</v>
      </c>
      <c r="E12" s="11" t="s">
        <v>14</v>
      </c>
      <c r="F12" s="11" t="s">
        <v>15</v>
      </c>
      <c r="G12" s="11" t="s">
        <v>16</v>
      </c>
      <c r="H12" s="9"/>
      <c r="I12" s="1"/>
      <c r="J12" s="1"/>
    </row>
    <row r="13">
      <c r="A13" s="1"/>
      <c r="B13" s="8" t="s">
        <v>17</v>
      </c>
      <c r="C13" s="10">
        <f>'Income Statement'!H10</f>
        <v>627.5000000000001</v>
      </c>
      <c r="D13" s="10">
        <f>Inputs!B46</f>
        <v>629.85</v>
      </c>
      <c r="E13" s="3">
        <f>C13-D13</f>
        <v>-2.349999999999909</v>
      </c>
      <c r="F13" s="10">
        <f>Guidance!G12</f>
        <v>2460</v>
      </c>
      <c r="G13" s="10">
        <f>Guidance!G20</f>
        <v>618.442</v>
      </c>
      <c r="H13" s="4"/>
      <c r="I13" s="1"/>
      <c r="J13" s="1"/>
    </row>
    <row r="14">
      <c r="A14" s="1"/>
      <c r="B14" s="8" t="s">
        <v>18</v>
      </c>
      <c r="C14" s="10">
        <f>'Income Statement'!H26</f>
        <v>135.7382500000001</v>
      </c>
      <c r="D14" s="10">
        <f>Inputs!B57</f>
        <v>138.98</v>
      </c>
      <c r="E14" s="3">
        <f>C14-D14</f>
        <v>-3.2417499999998824</v>
      </c>
      <c r="F14" s="3" t="s">
        <v>19</v>
      </c>
      <c r="G14" s="3" t="s">
        <v>19</v>
      </c>
      <c r="H14" s="4"/>
      <c r="I14" s="1"/>
      <c r="J14" s="1"/>
    </row>
    <row r="15">
      <c r="A15" s="1"/>
      <c r="B15" s="8" t="s">
        <v>20</v>
      </c>
      <c r="C15" s="10">
        <f>'Income Statement'!H49</f>
        <v>151.7382500000001</v>
      </c>
      <c r="D15" s="10">
        <f>Inputs!B56</f>
        <v>154.84</v>
      </c>
      <c r="E15" s="3">
        <f>C15-D15</f>
        <v>-3.101749999999896</v>
      </c>
      <c r="F15" s="3" t="s">
        <v>19</v>
      </c>
      <c r="G15" s="3" t="s">
        <v>19</v>
      </c>
      <c r="H15" s="4"/>
      <c r="I15" s="1"/>
      <c r="J15" s="1"/>
    </row>
    <row r="16">
      <c r="A16" s="1"/>
      <c r="B16" s="8" t="s">
        <v>21</v>
      </c>
      <c r="C16" s="13">
        <f>'Income Statement'!H50</f>
        <v>4.244135360446459</v>
      </c>
      <c r="D16" s="13">
        <f>Inputs!B29</f>
        <v>4.35</v>
      </c>
      <c r="E16" s="24">
        <f>C16-D16</f>
        <v>-0.10586463955354031</v>
      </c>
      <c r="F16" s="13">
        <f>Guidance!G17</f>
        <v>17.5</v>
      </c>
      <c r="G16" s="13">
        <f>Guidance!G21</f>
        <v>4.00760974598677</v>
      </c>
      <c r="H16" s="4"/>
      <c r="I16" s="1"/>
      <c r="J16" s="1"/>
    </row>
    <row r="17">
      <c r="A17" s="1"/>
      <c r="B17" s="8" t="s">
        <v>22</v>
      </c>
      <c r="C17" s="13">
        <f>'Income Statement'!H31</f>
        <v>3.796613619770372</v>
      </c>
      <c r="D17" s="13">
        <f>Inputs!B38</f>
        <v>3.91</v>
      </c>
      <c r="E17" s="24">
        <f>C17-D17</f>
        <v>-0.11338638022962799</v>
      </c>
      <c r="F17" s="13">
        <f>Guidance!G16</f>
        <v>15.1</v>
      </c>
      <c r="G17" s="13">
        <f>Guidance!G16-SUM('Income Statement'!E31:G31)</f>
        <v>3.9522763489394706</v>
      </c>
      <c r="H17" s="4"/>
      <c r="I17" s="1"/>
      <c r="J17" s="1"/>
    </row>
    <row r="18">
      <c r="A18" s="1"/>
      <c r="B18" s="8" t="s">
        <v>23</v>
      </c>
      <c r="C18" s="10" t="str">
        <f>IF(AND(ABS('Revenue summary'!H38)&lt;Inputs!$H$86,ABS('Balance Sheet'!H43)&lt;Inputs!$H$86,ABS('Cash Flow Statement'!H50)&lt;Inputs!$H$86,ABS(Geo!H31)&lt;Inputs!$H$86,ABS('Income Statement'!H32)&lt;Inputs!$H$86,ABS('Income Statement'!H60)&lt;Inputs!$H$86,ABS(C22)&lt;Inputs!$H$86,ABS(C23)&lt;Inputs!$H$86,ABS(C24)&lt;Inputs!$H$86,ABS(C25)&lt;Inputs!$H$86),"PASS","FAIL")</f>
        <v>PASS</v>
      </c>
      <c r="D18" s="3"/>
      <c r="E18" s="3"/>
      <c r="F18" s="3"/>
      <c r="G18" s="3"/>
      <c r="H18" s="9"/>
      <c r="I18" s="1"/>
      <c r="J18" s="1"/>
    </row>
    <row r="19">
      <c r="A19" s="1"/>
      <c r="B19" s="1" t="s">
        <v>24</v>
      </c>
      <c r="C19" s="21">
        <f>Inputs!H83</f>
        <v>0.34</v>
      </c>
      <c r="D19" s="2"/>
      <c r="E19" s="2"/>
      <c r="F19" s="2"/>
      <c r="G19" s="2"/>
      <c r="H19" s="9"/>
      <c r="I19" s="1"/>
      <c r="J19" s="1"/>
    </row>
    <row r="20">
      <c r="A20" s="1"/>
      <c r="B20" s="1" t="s">
        <v>25</v>
      </c>
      <c r="C20" s="5" t="str">
        <f>Inputs!H82</f>
        <v>medium</v>
      </c>
      <c r="D20" s="2"/>
      <c r="E20" s="2"/>
      <c r="F20" s="2"/>
      <c r="G20" s="2"/>
      <c r="H20" s="9"/>
      <c r="I20" s="1"/>
      <c r="J20" s="1"/>
    </row>
    <row r="21">
      <c r="A21" s="1"/>
      <c r="B21" s="1"/>
      <c r="C21" s="2"/>
      <c r="D21" s="2"/>
      <c r="E21" s="2"/>
      <c r="F21" s="2"/>
      <c r="G21" s="2"/>
      <c r="H21" s="9"/>
      <c r="I21" s="1"/>
      <c r="J21" s="1"/>
    </row>
    <row r="22">
      <c r="A22" s="1"/>
      <c r="B22" s="1" t="s">
        <v>26</v>
      </c>
      <c r="C22" s="5">
        <f>C13-'Income Statement'!H10</f>
        <v>0</v>
      </c>
      <c r="D22" s="2"/>
      <c r="E22" s="2"/>
      <c r="F22" s="2"/>
      <c r="G22" s="2"/>
      <c r="H22" s="9"/>
      <c r="I22" s="1"/>
      <c r="J22" s="1"/>
    </row>
    <row r="23">
      <c r="A23" s="1"/>
      <c r="B23" s="1" t="s">
        <v>27</v>
      </c>
      <c r="C23" s="5">
        <f>C14-'Income Statement'!H26</f>
        <v>0</v>
      </c>
      <c r="D23" s="2"/>
      <c r="E23" s="2"/>
      <c r="F23" s="2"/>
      <c r="G23" s="2"/>
      <c r="H23" s="9"/>
      <c r="I23" s="1"/>
      <c r="J23" s="1"/>
    </row>
    <row r="24">
      <c r="A24" s="1"/>
      <c r="B24" s="1" t="s">
        <v>28</v>
      </c>
      <c r="C24" s="5">
        <f>C15-'Income Statement'!H49</f>
        <v>0</v>
      </c>
      <c r="D24" s="2"/>
      <c r="E24" s="2"/>
      <c r="F24" s="2"/>
      <c r="G24" s="2"/>
      <c r="H24" s="9"/>
      <c r="I24" s="1"/>
      <c r="J24" s="1"/>
    </row>
    <row r="25">
      <c r="A25" s="1"/>
      <c r="B25" s="1" t="s">
        <v>29</v>
      </c>
      <c r="C25" s="5">
        <f>C16-'Income Statement'!H50</f>
        <v>0</v>
      </c>
      <c r="D25" s="2"/>
      <c r="E25" s="2"/>
      <c r="F25" s="2"/>
      <c r="G25" s="2"/>
      <c r="H25" s="9"/>
      <c r="I25" s="1"/>
      <c r="J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1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30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8" t="s">
        <v>31</v>
      </c>
      <c r="C10" s="3">
        <f>SUM(C17,C24,C31)</f>
        <v>2321.748</v>
      </c>
      <c r="D10" s="3">
        <f>SUM(D17,D24,D31)</f>
        <v>596.9009999999998</v>
      </c>
      <c r="E10" s="3">
        <f>SUM(E17,E24,E31)</f>
        <v>607.621</v>
      </c>
      <c r="F10" s="3">
        <f>SUM(F17,F24,F31)</f>
        <v>611.019</v>
      </c>
      <c r="G10" s="3">
        <f>SUM(G17,G24,G31)</f>
        <v>622.918</v>
      </c>
      <c r="H10" s="4">
        <f>SUM(H17,H24,H31)</f>
        <v>627.5000000000001</v>
      </c>
      <c r="I10" s="1"/>
      <c r="J10" s="1"/>
    </row>
    <row r="11">
      <c r="A11" s="1"/>
      <c r="B11" s="1" t="s">
        <v>32</v>
      </c>
      <c r="C11" s="15">
        <f>(1+C14)/((1+C12)*(1+C13))-1</f>
        <v>0.04408784887901196</v>
      </c>
      <c r="D11" s="15">
        <f>(1+D14)/((1+D12)*(1+D13))-1</f>
        <v>0.04471643776892753</v>
      </c>
      <c r="E11" s="15">
        <f>(1+E14)/((1+E12)*(1+E13))-1</f>
        <v>0.060090067966156235</v>
      </c>
      <c r="F11" s="15">
        <f>(1+F14)/((1+F12)*(1+F13))-1</f>
        <v>0.06807061315177898</v>
      </c>
      <c r="G11" s="15">
        <f>(1+G14)/((1+G12)*(1+G13))-1</f>
        <v>0.06980474868779019</v>
      </c>
      <c r="H11" s="14">
        <f>(1+H14)/((1+H12)*(1+H13))-1</f>
        <v>0.05126310728244765</v>
      </c>
      <c r="I11" s="1"/>
      <c r="J11" s="1"/>
    </row>
    <row r="12">
      <c r="A12" s="1"/>
      <c r="B12" s="1" t="s">
        <v>33</v>
      </c>
      <c r="C12" s="16">
        <f>(1+C14)/((Inputs!C189/Inputs!C190)*(1+C13))-1</f>
        <v>0.008962259472799161</v>
      </c>
      <c r="D12" s="16">
        <f>(1+D14)/((Inputs!D189/Inputs!D190)*(1+D13))-1</f>
        <v>0.014170404134290715</v>
      </c>
      <c r="E12" s="16">
        <f>(1+E14)/((Inputs!E189/Inputs!E190)*(1+E13))-1</f>
        <v>0.006309252572741064</v>
      </c>
      <c r="F12" s="16">
        <f>(1+F14)/((Inputs!F189/Inputs!F190)*(1+F13))-1</f>
        <v>-0.000058827051609311454</v>
      </c>
      <c r="G12" s="16">
        <f>(1+G14)/((Inputs!G189/Inputs!G190)*(1+G13))-1</f>
        <v>-0.005634478765134565</v>
      </c>
      <c r="H12" s="30">
        <v>0</v>
      </c>
      <c r="I12" s="1"/>
      <c r="J12" s="1"/>
    </row>
    <row r="13">
      <c r="A13" s="1"/>
      <c r="B13" s="1" t="s">
        <v>34</v>
      </c>
      <c r="C13" s="16">
        <f>Inputs!C191/Inputs!C188</f>
        <v>0.0004089773478295604</v>
      </c>
      <c r="D13" s="16">
        <f>Inputs!D191/Inputs!D188</f>
        <v>0.002102503259591559</v>
      </c>
      <c r="E13" s="16">
        <f>Inputs!E191/Inputs!E188</f>
        <v>0.0016143015156497562</v>
      </c>
      <c r="F13" s="16">
        <f>Inputs!F191/Inputs!F188</f>
        <v>0.0025426698910034</v>
      </c>
      <c r="G13" s="16">
        <f>Inputs!G191/Inputs!G188</f>
        <v>0.00008880994671403197</v>
      </c>
      <c r="H13" s="30">
        <v>0</v>
      </c>
      <c r="I13" s="1"/>
      <c r="J13" s="1"/>
    </row>
    <row r="14">
      <c r="A14" s="1"/>
      <c r="B14" s="1" t="s">
        <v>35</v>
      </c>
      <c r="C14" s="16">
        <f>C10/Inputs!C188-1</f>
        <v>0.0538760703313943</v>
      </c>
      <c r="D14" s="16">
        <f>D10/Inputs!D188-1</f>
        <v>0.06174813718566918</v>
      </c>
      <c r="E14" s="16">
        <f>E10/Inputs!E188-1</f>
        <v>0.06850054601374778</v>
      </c>
      <c r="F14" s="16">
        <f>F10/Inputs!F188-1</f>
        <v>0.0707233729365997</v>
      </c>
      <c r="G14" s="16">
        <f>G10/Inputs!G188-1</f>
        <v>0.06387143052329547</v>
      </c>
      <c r="H14" s="14">
        <f>H10/D10-1</f>
        <v>0.05126310728244765</v>
      </c>
      <c r="I14" s="1"/>
      <c r="J14" s="1"/>
    </row>
    <row r="15">
      <c r="A15" s="1"/>
      <c r="B15" s="1" t="s">
        <v>36</v>
      </c>
      <c r="C15" s="15"/>
      <c r="D15" s="15"/>
      <c r="E15" s="15">
        <f>E10/D10-1</f>
        <v>0.017959427107678172</v>
      </c>
      <c r="F15" s="15">
        <f>F10/E10-1</f>
        <v>0.00559230178022152</v>
      </c>
      <c r="G15" s="15">
        <f>G10/F10-1</f>
        <v>0.019474026175945403</v>
      </c>
      <c r="H15" s="14">
        <f>H10/G10-1</f>
        <v>0.007355703318896012</v>
      </c>
      <c r="I15" s="1"/>
      <c r="J15" s="1"/>
    </row>
    <row r="16">
      <c r="A16" s="1"/>
      <c r="B16" s="1"/>
      <c r="C16" s="2"/>
      <c r="D16" s="2"/>
      <c r="E16" s="2"/>
      <c r="F16" s="2"/>
      <c r="G16" s="2"/>
      <c r="H16" s="9"/>
      <c r="I16" s="1"/>
      <c r="J16" s="1"/>
    </row>
    <row r="17">
      <c r="A17" s="1"/>
      <c r="B17" s="8" t="s">
        <v>37</v>
      </c>
      <c r="C17" s="10">
        <f>'Segment - Americas'!C21</f>
        <v>1506.108</v>
      </c>
      <c r="D17" s="10">
        <f>'Segment - Americas'!D21</f>
        <v>388.7039999999999</v>
      </c>
      <c r="E17" s="10">
        <f>'Segment - Americas'!E21</f>
        <v>396.176</v>
      </c>
      <c r="F17" s="10">
        <f>'Segment - Americas'!F21</f>
        <v>399.683</v>
      </c>
      <c r="G17" s="10">
        <f>'Segment - Americas'!G21</f>
        <v>407.24</v>
      </c>
      <c r="H17" s="28">
        <f>'Segment - Americas'!H21</f>
        <v>415.00000000000006</v>
      </c>
      <c r="I17" s="1"/>
      <c r="J17" s="1"/>
    </row>
    <row r="18">
      <c r="A18" s="1"/>
      <c r="B18" s="1" t="s">
        <v>32</v>
      </c>
      <c r="C18" s="16" t="str">
        <f>IF('Segment - Americas'!C22="","",'Segment - Americas'!C22)</f>
        <v/>
      </c>
      <c r="D18" s="16">
        <f>IF('Segment - Americas'!D22="","",'Segment - Americas'!D22)</f>
        <v>0.07228689655172382</v>
      </c>
      <c r="E18" s="16">
        <f>IF('Segment - Americas'!E22="","",'Segment - Americas'!E22)</f>
        <v>0.07878728467876761</v>
      </c>
      <c r="F18" s="16">
        <f>IF('Segment - Americas'!F22="","",'Segment - Americas'!F22)</f>
        <v>0.08121495099564191</v>
      </c>
      <c r="G18" s="16">
        <f>IF('Segment - Americas'!G22="","",'Segment - Americas'!G22)</f>
        <v>0.07000000000000006</v>
      </c>
      <c r="H18" s="19">
        <f>IF('Segment - Americas'!H22="","",'Segment - Americas'!H22)</f>
        <v>0.06765044867045411</v>
      </c>
      <c r="I18" s="1"/>
      <c r="J18" s="1"/>
    </row>
    <row r="19">
      <c r="A19" s="1"/>
      <c r="B19" s="1" t="s">
        <v>33</v>
      </c>
      <c r="C19" s="16" t="str">
        <f>IF('Segment - Americas'!C23="","",'Segment - Americas'!C23)</f>
        <v/>
      </c>
      <c r="D19" s="16">
        <f>IF('Segment - Americas'!D23="","",'Segment - Americas'!D23)</f>
        <v>0</v>
      </c>
      <c r="E19" s="16">
        <f>IF('Segment - Americas'!E23="","",'Segment - Americas'!E23)</f>
        <v>0</v>
      </c>
      <c r="F19" s="16">
        <f>IF('Segment - Americas'!F23="","",'Segment - Americas'!F23)</f>
        <v>0</v>
      </c>
      <c r="G19" s="16">
        <f>IF('Segment - Americas'!G23="","",'Segment - Americas'!G23)</f>
        <v>0.00025527092207777713</v>
      </c>
      <c r="H19" s="19">
        <f>IF('Segment - Americas'!H23="","",'Segment - Americas'!H23)</f>
        <v>0</v>
      </c>
      <c r="I19" s="1"/>
      <c r="J19" s="1"/>
    </row>
    <row r="20">
      <c r="A20" s="1"/>
      <c r="B20" s="1" t="s">
        <v>34</v>
      </c>
      <c r="C20" s="16" t="str">
        <f>IF('Segment - Americas'!C24="","",'Segment - Americas'!C24)</f>
        <v/>
      </c>
      <c r="D20" s="16">
        <f>IF('Segment - Americas'!D24="","",'Segment - Americas'!D24)</f>
        <v>0</v>
      </c>
      <c r="E20" s="16">
        <f>IF('Segment - Americas'!E24="","",'Segment - Americas'!E24)</f>
        <v>0</v>
      </c>
      <c r="F20" s="16">
        <f>IF('Segment - Americas'!F24="","",'Segment - Americas'!F24)</f>
        <v>0</v>
      </c>
      <c r="G20" s="16">
        <f>IF('Segment - Americas'!G24="","",'Segment - Americas'!G24)</f>
        <v>0</v>
      </c>
      <c r="H20" s="19">
        <f>IF('Segment - Americas'!H24="","",'Segment - Americas'!H24)</f>
        <v>0</v>
      </c>
      <c r="I20" s="1"/>
      <c r="J20" s="1"/>
    </row>
    <row r="21">
      <c r="B21" s="1" t="s">
        <v>35</v>
      </c>
      <c r="C21" s="16" t="str">
        <f>IF('Segment - Americas'!C25="","",'Segment - Americas'!C25)</f>
        <v/>
      </c>
      <c r="D21" s="16">
        <f>IF('Segment - Americas'!D25="","",'Segment - Americas'!D25)</f>
        <v>0.07228689655172382</v>
      </c>
      <c r="E21" s="16">
        <f>IF('Segment - Americas'!E25="","",'Segment - Americas'!E25)</f>
        <v>0.07878728467876761</v>
      </c>
      <c r="F21" s="16">
        <f>IF('Segment - Americas'!F25="","",'Segment - Americas'!F25)</f>
        <v>0.08121495099564191</v>
      </c>
      <c r="G21" s="16">
        <f>IF('Segment - Americas'!G25="","",'Segment - Americas'!G25)</f>
        <v>0.0702731398866232</v>
      </c>
      <c r="H21" s="19">
        <f>IF('Segment - Americas'!H25="","",'Segment - Americas'!H25)</f>
        <v>0.06765044867045411</v>
      </c>
    </row>
    <row r="22">
      <c r="B22" s="1" t="s">
        <v>36</v>
      </c>
      <c r="C22" s="15"/>
      <c r="D22" s="15"/>
      <c r="E22" s="15">
        <f>E17/D17-1</f>
        <v>0.01922285337943541</v>
      </c>
      <c r="F22" s="15">
        <f>F17/E17-1</f>
        <v>0.008852126327692833</v>
      </c>
      <c r="G22" s="15">
        <f>G17/F17-1</f>
        <v>0.018907484181213574</v>
      </c>
      <c r="H22" s="14">
        <f>H17/G17-1</f>
        <v>0.019055102642176802</v>
      </c>
    </row>
    <row r="23">
      <c r="A23" s="1"/>
      <c r="B23" s="1" t="s">
        <v>38</v>
      </c>
      <c r="C23" s="15">
        <f>C17/C10</f>
        <v>0.6486957240837506</v>
      </c>
      <c r="D23" s="15">
        <f>D17/D10</f>
        <v>0.6512034659013807</v>
      </c>
      <c r="E23" s="15">
        <f>E17/E10</f>
        <v>0.6520116980815344</v>
      </c>
      <c r="F23" s="15">
        <f>F17/F10</f>
        <v>0.6541253217985038</v>
      </c>
      <c r="G23" s="15">
        <f>G17/G10</f>
        <v>0.6537618113459557</v>
      </c>
      <c r="H23" s="14">
        <f>H17/H10</f>
        <v>0.6613545816733067</v>
      </c>
      <c r="I23" s="1"/>
      <c r="J23" s="1"/>
    </row>
    <row r="24">
      <c r="A24" s="1"/>
      <c r="B24" s="8" t="s">
        <v>39</v>
      </c>
      <c r="C24" s="10">
        <f>'Segment - EMEA'!C21</f>
        <v>580.284</v>
      </c>
      <c r="D24" s="10">
        <f>'Segment - EMEA'!D21</f>
        <v>147.43099999999998</v>
      </c>
      <c r="E24" s="10">
        <f>'Segment - EMEA'!E21</f>
        <v>149.517</v>
      </c>
      <c r="F24" s="10">
        <f>'Segment - EMEA'!F21</f>
        <v>149.12</v>
      </c>
      <c r="G24" s="10">
        <f>'Segment - EMEA'!G21</f>
        <v>151.94</v>
      </c>
      <c r="H24" s="28">
        <f>'Segment - EMEA'!H21</f>
        <v>149.00000000000003</v>
      </c>
      <c r="I24" s="1"/>
      <c r="J24" s="1"/>
    </row>
    <row r="25">
      <c r="A25" s="1"/>
      <c r="B25" s="1" t="s">
        <v>32</v>
      </c>
      <c r="C25" s="16" t="str">
        <f>IF('Segment - EMEA'!C22="","",'Segment - EMEA'!C22)</f>
        <v/>
      </c>
      <c r="D25" s="16">
        <f>IF('Segment - EMEA'!D22="","",'Segment - EMEA'!D22)</f>
        <v>0.03026554856743524</v>
      </c>
      <c r="E25" s="16">
        <f>IF('Segment - EMEA'!E22="","",'Segment - EMEA'!E22)</f>
        <v>0.04029918246651598</v>
      </c>
      <c r="F25" s="16">
        <f>IF('Segment - EMEA'!F22="","",'Segment - EMEA'!F22)</f>
        <v>0.03998270415030647</v>
      </c>
      <c r="G25" s="16">
        <f>IF('Segment - EMEA'!G22="","",'Segment - EMEA'!G22)</f>
        <v>0.052999999999999936</v>
      </c>
      <c r="H25" s="19">
        <f>IF('Segment - EMEA'!H22="","",'Segment - EMEA'!H22)</f>
        <v>0.010642266551810886</v>
      </c>
      <c r="I25" s="1"/>
      <c r="J25" s="1"/>
    </row>
    <row r="26">
      <c r="A26" s="1"/>
      <c r="B26" s="1" t="s">
        <v>33</v>
      </c>
      <c r="C26" s="16" t="str">
        <f>IF('Segment - EMEA'!C23="","",'Segment - EMEA'!C23)</f>
        <v/>
      </c>
      <c r="D26" s="16">
        <f>IF('Segment - EMEA'!D23="","",'Segment - EMEA'!D23)</f>
        <v>0</v>
      </c>
      <c r="E26" s="16">
        <f>IF('Segment - EMEA'!E23="","",'Segment - EMEA'!E23)</f>
        <v>0</v>
      </c>
      <c r="F26" s="16">
        <f>IF('Segment - EMEA'!F23="","",'Segment - EMEA'!F23)</f>
        <v>0</v>
      </c>
      <c r="G26" s="16">
        <f>IF('Segment - EMEA'!G23="","",'Segment - EMEA'!G23)</f>
        <v>-0.009938880439746223</v>
      </c>
      <c r="H26" s="19">
        <f>IF('Segment - EMEA'!H23="","",'Segment - EMEA'!H23)</f>
        <v>0</v>
      </c>
      <c r="I26" s="1"/>
      <c r="J26" s="1"/>
    </row>
    <row r="27">
      <c r="A27" s="1"/>
      <c r="B27" s="1" t="s">
        <v>34</v>
      </c>
      <c r="C27" s="16" t="str">
        <f>IF('Segment - EMEA'!C24="","",'Segment - EMEA'!C24)</f>
        <v/>
      </c>
      <c r="D27" s="16">
        <f>IF('Segment - EMEA'!D24="","",'Segment - EMEA'!D24)</f>
        <v>0</v>
      </c>
      <c r="E27" s="16">
        <f>IF('Segment - EMEA'!E24="","",'Segment - EMEA'!E24)</f>
        <v>0</v>
      </c>
      <c r="F27" s="16">
        <f>IF('Segment - EMEA'!F24="","",'Segment - EMEA'!F24)</f>
        <v>0</v>
      </c>
      <c r="G27" s="16">
        <f>IF('Segment - EMEA'!G24="","",'Segment - EMEA'!G24)</f>
        <v>0</v>
      </c>
      <c r="H27" s="19">
        <f>IF('Segment - EMEA'!H24="","",'Segment - EMEA'!H24)</f>
        <v>0</v>
      </c>
      <c r="I27" s="1"/>
      <c r="J27" s="1"/>
    </row>
    <row r="28">
      <c r="B28" s="1" t="s">
        <v>35</v>
      </c>
      <c r="C28" s="16" t="str">
        <f>IF('Segment - EMEA'!C25="","",'Segment - EMEA'!C25)</f>
        <v/>
      </c>
      <c r="D28" s="16">
        <f>IF('Segment - EMEA'!D25="","",'Segment - EMEA'!D25)</f>
        <v>0.03026554856743524</v>
      </c>
      <c r="E28" s="16">
        <f>IF('Segment - EMEA'!E25="","",'Segment - EMEA'!E25)</f>
        <v>0.04029918246651598</v>
      </c>
      <c r="F28" s="16">
        <f>IF('Segment - EMEA'!F25="","",'Segment - EMEA'!F25)</f>
        <v>0.03998270415030647</v>
      </c>
      <c r="G28" s="16">
        <f>IF('Segment - EMEA'!G25="","",'Segment - EMEA'!G25)</f>
        <v>0.04253435889694712</v>
      </c>
      <c r="H28" s="19">
        <f>IF('Segment - EMEA'!H25="","",'Segment - EMEA'!H25)</f>
        <v>0.010642266551810886</v>
      </c>
    </row>
    <row r="29">
      <c r="B29" s="1" t="s">
        <v>36</v>
      </c>
      <c r="C29" s="15"/>
      <c r="D29" s="15"/>
      <c r="E29" s="15">
        <f>E24/D24-1</f>
        <v>0.014148991731725458</v>
      </c>
      <c r="F29" s="15">
        <f>F24/E24-1</f>
        <v>-0.0026552164636796105</v>
      </c>
      <c r="G29" s="15">
        <f>G24/F24-1</f>
        <v>0.018910944206008473</v>
      </c>
      <c r="H29" s="14">
        <f>H24/G24-1</f>
        <v>-0.019349743319731272</v>
      </c>
    </row>
    <row r="30">
      <c r="A30" s="1"/>
      <c r="B30" s="1" t="s">
        <v>38</v>
      </c>
      <c r="C30" s="15">
        <f>C24/C10</f>
        <v>0.24993410137534305</v>
      </c>
      <c r="D30" s="15">
        <f>D24/D10</f>
        <v>0.2469940576410494</v>
      </c>
      <c r="E30" s="15">
        <f>E24/E10</f>
        <v>0.24606950714343315</v>
      </c>
      <c r="F30" s="15">
        <f>F24/F10</f>
        <v>0.2440513306460192</v>
      </c>
      <c r="G30" s="15">
        <f>G24/G10</f>
        <v>0.2439165347605945</v>
      </c>
      <c r="H30" s="14">
        <f>H24/H10</f>
        <v>0.23745019920318725</v>
      </c>
      <c r="I30" s="1"/>
      <c r="J30" s="1"/>
    </row>
    <row r="31">
      <c r="A31" s="1"/>
      <c r="B31" s="8" t="s">
        <v>40</v>
      </c>
      <c r="C31" s="10">
        <f>'Segment - Asia Pacific'!C21</f>
        <v>235.356</v>
      </c>
      <c r="D31" s="10">
        <f>'Segment - Asia Pacific'!D21</f>
        <v>60.76599999999999</v>
      </c>
      <c r="E31" s="10">
        <f>'Segment - Asia Pacific'!E21</f>
        <v>61.928</v>
      </c>
      <c r="F31" s="10">
        <f>'Segment - Asia Pacific'!F21</f>
        <v>62.216</v>
      </c>
      <c r="G31" s="10">
        <f>'Segment - Asia Pacific'!G21</f>
        <v>63.738</v>
      </c>
      <c r="H31" s="28">
        <f>'Segment - Asia Pacific'!H21</f>
        <v>63.500000000000014</v>
      </c>
      <c r="I31" s="1"/>
      <c r="J31" s="1"/>
    </row>
    <row r="32">
      <c r="A32" s="1"/>
      <c r="B32" s="1" t="s">
        <v>32</v>
      </c>
      <c r="C32" s="16" t="str">
        <f>IF('Segment - Asia Pacific'!C22="","",'Segment - Asia Pacific'!C22)</f>
        <v/>
      </c>
      <c r="D32" s="16">
        <f>IF('Segment - Asia Pacific'!D22="","",'Segment - Asia Pacific'!D22)</f>
        <v>0.07360424028268531</v>
      </c>
      <c r="E32" s="16">
        <f>IF('Segment - Asia Pacific'!E22="","",'Segment - Asia Pacific'!E22)</f>
        <v>0.07327556325823203</v>
      </c>
      <c r="F32" s="16">
        <f>IF('Segment - Asia Pacific'!F22="","",'Segment - Asia Pacific'!F22)</f>
        <v>0.07991390682496702</v>
      </c>
      <c r="G32" s="16">
        <f>IF('Segment - Asia Pacific'!G22="","",'Segment - Asia Pacific'!G22)</f>
        <v>0.10499999999999998</v>
      </c>
      <c r="H32" s="19">
        <f>IF('Segment - Asia Pacific'!H22="","",'Segment - Asia Pacific'!H22)</f>
        <v>0.0449922654115793</v>
      </c>
      <c r="I32" s="1"/>
      <c r="J32" s="1"/>
    </row>
    <row r="33">
      <c r="A33" s="1"/>
      <c r="B33" s="1" t="s">
        <v>33</v>
      </c>
      <c r="C33" s="16" t="str">
        <f>IF('Segment - Asia Pacific'!C23="","",'Segment - Asia Pacific'!C23)</f>
        <v/>
      </c>
      <c r="D33" s="16">
        <f>IF('Segment - Asia Pacific'!D23="","",'Segment - Asia Pacific'!D23)</f>
        <v>0</v>
      </c>
      <c r="E33" s="16">
        <f>IF('Segment - Asia Pacific'!E23="","",'Segment - Asia Pacific'!E23)</f>
        <v>0</v>
      </c>
      <c r="F33" s="16">
        <f>IF('Segment - Asia Pacific'!F23="","",'Segment - Asia Pacific'!F23)</f>
        <v>0</v>
      </c>
      <c r="G33" s="16">
        <f>IF('Segment - Asia Pacific'!G23="","",'Segment - Asia Pacific'!G23)</f>
        <v>-0.026933297955381352</v>
      </c>
      <c r="H33" s="19">
        <f>IF('Segment - Asia Pacific'!H23="","",'Segment - Asia Pacific'!H23)</f>
        <v>0</v>
      </c>
      <c r="I33" s="1"/>
      <c r="J33" s="1"/>
    </row>
    <row r="34">
      <c r="A34" s="1"/>
      <c r="B34" s="1" t="s">
        <v>34</v>
      </c>
      <c r="C34" s="16" t="str">
        <f>IF('Segment - Asia Pacific'!C24="","",'Segment - Asia Pacific'!C24)</f>
        <v/>
      </c>
      <c r="D34" s="16">
        <f>IF('Segment - Asia Pacific'!D24="","",'Segment - Asia Pacific'!D24)</f>
        <v>0</v>
      </c>
      <c r="E34" s="16">
        <f>IF('Segment - Asia Pacific'!E24="","",'Segment - Asia Pacific'!E24)</f>
        <v>0</v>
      </c>
      <c r="F34" s="16">
        <f>IF('Segment - Asia Pacific'!F24="","",'Segment - Asia Pacific'!F24)</f>
        <v>0</v>
      </c>
      <c r="G34" s="16">
        <f>IF('Segment - Asia Pacific'!G24="","",'Segment - Asia Pacific'!G24)</f>
        <v>0</v>
      </c>
      <c r="H34" s="19">
        <f>IF('Segment - Asia Pacific'!H24="","",'Segment - Asia Pacific'!H24)</f>
        <v>0</v>
      </c>
      <c r="I34" s="1"/>
      <c r="J34" s="1"/>
    </row>
    <row r="35">
      <c r="B35" s="1" t="s">
        <v>35</v>
      </c>
      <c r="C35" s="16" t="str">
        <f>IF('Segment - Asia Pacific'!C25="","",'Segment - Asia Pacific'!C25)</f>
        <v/>
      </c>
      <c r="D35" s="16">
        <f>IF('Segment - Asia Pacific'!D25="","",'Segment - Asia Pacific'!D25)</f>
        <v>0.07360424028268531</v>
      </c>
      <c r="E35" s="16">
        <f>IF('Segment - Asia Pacific'!E25="","",'Segment - Asia Pacific'!E25)</f>
        <v>0.07327556325823203</v>
      </c>
      <c r="F35" s="16">
        <f>IF('Segment - Asia Pacific'!F25="","",'Segment - Asia Pacific'!F25)</f>
        <v>0.07991390682496702</v>
      </c>
      <c r="G35" s="16">
        <f>IF('Segment - Asia Pacific'!G25="","",'Segment - Asia Pacific'!G25)</f>
        <v>0.07523870575930358</v>
      </c>
      <c r="H35" s="19">
        <f>IF('Segment - Asia Pacific'!H25="","",'Segment - Asia Pacific'!H25)</f>
        <v>0.0449922654115793</v>
      </c>
    </row>
    <row r="36">
      <c r="B36" s="1" t="s">
        <v>36</v>
      </c>
      <c r="C36" s="15"/>
      <c r="D36" s="15"/>
      <c r="E36" s="15">
        <f>E31/D31-1</f>
        <v>0.019122535628476545</v>
      </c>
      <c r="F36" s="15">
        <f>F31/E31-1</f>
        <v>0.004650561942901588</v>
      </c>
      <c r="G36" s="15">
        <f>G31/F31-1</f>
        <v>0.024463160601774447</v>
      </c>
      <c r="H36" s="14">
        <f>H31/G31-1</f>
        <v>-0.0037340362107374236</v>
      </c>
    </row>
    <row r="37">
      <c r="A37" s="1"/>
      <c r="B37" s="1" t="s">
        <v>38</v>
      </c>
      <c r="C37" s="15">
        <f>C31/C10</f>
        <v>0.10137017454090624</v>
      </c>
      <c r="D37" s="15">
        <f>D31/D10</f>
        <v>0.10180247645757003</v>
      </c>
      <c r="E37" s="15">
        <f>E31/E10</f>
        <v>0.10191879477503246</v>
      </c>
      <c r="F37" s="15">
        <f>F31/F10</f>
        <v>0.10182334755547699</v>
      </c>
      <c r="G37" s="15">
        <f>G31/G10</f>
        <v>0.10232165389344985</v>
      </c>
      <c r="H37" s="14">
        <f>H31/H10</f>
        <v>0.10119521912350599</v>
      </c>
      <c r="I37" s="1"/>
      <c r="J37" s="1"/>
    </row>
    <row r="38">
      <c r="A38" s="1"/>
      <c r="B38" s="8" t="s">
        <v>41</v>
      </c>
      <c r="C38" s="3">
        <f>SUM(C17,C24,C31)-C10</f>
        <v>0</v>
      </c>
      <c r="D38" s="3">
        <f>SUM(D17,D24,D31)-D10</f>
        <v>0</v>
      </c>
      <c r="E38" s="3">
        <f>SUM(E17,E24,E31)-E10</f>
        <v>0</v>
      </c>
      <c r="F38" s="3">
        <f>SUM(F17,F24,F31)-F10</f>
        <v>0</v>
      </c>
      <c r="G38" s="3">
        <f>SUM(G17,G24,G31)-G10</f>
        <v>0</v>
      </c>
      <c r="H38" s="4">
        <f>SUM(H17,H24,H31)-H10</f>
        <v>0</v>
      </c>
      <c r="I38" s="1"/>
      <c r="J38" s="1"/>
    </row>
    <row r="39">
      <c r="A39" s="1"/>
      <c r="B39" s="1"/>
      <c r="C39" s="2"/>
      <c r="D39" s="2"/>
      <c r="E39" s="2"/>
      <c r="F39" s="2"/>
      <c r="G39" s="2"/>
      <c r="H39" s="9"/>
      <c r="I39" s="1"/>
      <c r="J39" s="1"/>
    </row>
    <row r="40">
      <c r="A40" s="1"/>
      <c r="B40" s="1"/>
      <c r="C40" s="2"/>
      <c r="D40" s="2"/>
      <c r="E40" s="2"/>
      <c r="F40" s="2"/>
      <c r="G40" s="2"/>
      <c r="H40" s="9"/>
      <c r="I40" s="1"/>
      <c r="J40" s="1"/>
    </row>
    <row r="41">
      <c r="A41" s="1"/>
      <c r="B41" s="8" t="s">
        <v>42</v>
      </c>
      <c r="C41" s="3">
        <f>D41</f>
        <v>2405.6</v>
      </c>
      <c r="D41" s="10">
        <f>IF(Inputs!D109="","",Inputs!D109)</f>
        <v>2405.6</v>
      </c>
      <c r="E41" s="10">
        <f>IF(Inputs!E109="","",Inputs!E109)</f>
        <v>2411.1</v>
      </c>
      <c r="F41" s="10">
        <f>IF(Inputs!F109="","",Inputs!F109)</f>
        <v>2450.2</v>
      </c>
      <c r="G41" s="10">
        <f>IF(Inputs!G109="","",Inputs!G109)</f>
        <v>2484.3</v>
      </c>
      <c r="H41" s="28">
        <f>SUM('Segment - Americas'!H14,'Segment - EMEA'!H14,'Segment - Asia Pacific'!H14)</f>
        <v>2521.1</v>
      </c>
      <c r="I41" s="1"/>
      <c r="J41" s="1"/>
    </row>
    <row r="42">
      <c r="A42" s="1"/>
      <c r="B42" s="1" t="s">
        <v>43</v>
      </c>
      <c r="C42" s="15"/>
      <c r="D42" s="15"/>
      <c r="E42" s="15"/>
      <c r="F42" s="15"/>
      <c r="G42" s="15"/>
      <c r="H42" s="14">
        <f>H41/D41-1</f>
        <v>0.048012969737279754</v>
      </c>
      <c r="I42" s="1"/>
      <c r="J42" s="1"/>
    </row>
    <row r="43">
      <c r="A43" s="1"/>
      <c r="B43" s="1" t="s">
        <v>44</v>
      </c>
      <c r="C43" s="2"/>
      <c r="D43" s="2"/>
      <c r="E43" s="2">
        <f>IF(E41="","",E41-D41)</f>
        <v>5.5</v>
      </c>
      <c r="F43" s="2">
        <f>IF(F41="","",F41-E41)</f>
        <v>39.09999999999991</v>
      </c>
      <c r="G43" s="2">
        <f>IF(G41="","",G41-F41)</f>
        <v>34.100000000000364</v>
      </c>
      <c r="H43" s="9">
        <f>H41-G41</f>
        <v>36.79999999999973</v>
      </c>
      <c r="I43" s="1"/>
      <c r="J43" s="1"/>
    </row>
    <row r="44">
      <c r="A44" s="1"/>
      <c r="B44" s="1"/>
      <c r="C44" s="2"/>
      <c r="D44" s="2"/>
      <c r="E44" s="2"/>
      <c r="F44" s="2"/>
      <c r="G44" s="2"/>
      <c r="H44" s="9"/>
      <c r="I44" s="1"/>
      <c r="J44" s="1"/>
    </row>
    <row r="45">
      <c r="A45" s="1"/>
      <c r="B45" s="8" t="s">
        <v>45</v>
      </c>
      <c r="C45" s="3">
        <f>D45</f>
        <v>8996</v>
      </c>
      <c r="D45" s="10">
        <f>IF(Inputs!D141="","",Inputs!D141)</f>
        <v>8996</v>
      </c>
      <c r="E45" s="10">
        <f>IF(Inputs!E141="","",Inputs!E141)</f>
        <v>9003</v>
      </c>
      <c r="F45" s="10">
        <f>IF(Inputs!F141="","",Inputs!F141)</f>
        <v>9101</v>
      </c>
      <c r="G45" s="10">
        <f>IF(Inputs!G141="","",Inputs!G141)</f>
        <v>9130</v>
      </c>
      <c r="H45" s="28">
        <f>Inputs!H195</f>
        <v>9452</v>
      </c>
      <c r="I45" s="1"/>
      <c r="J45" s="1"/>
    </row>
    <row r="46">
      <c r="A46" s="1"/>
      <c r="B46" s="1" t="s">
        <v>43</v>
      </c>
      <c r="C46" s="15"/>
      <c r="D46" s="15"/>
      <c r="E46" s="15"/>
      <c r="F46" s="15"/>
      <c r="G46" s="15"/>
      <c r="H46" s="14">
        <f>H45/D45-1</f>
        <v>0.05068919519786563</v>
      </c>
      <c r="I46" s="1"/>
      <c r="J46" s="1"/>
    </row>
    <row r="47">
      <c r="A47" s="1"/>
      <c r="B47" s="1" t="s">
        <v>44</v>
      </c>
      <c r="C47" s="2"/>
      <c r="D47" s="2"/>
      <c r="E47" s="2">
        <f>IF(E45="","",E45-D45)</f>
        <v>7</v>
      </c>
      <c r="F47" s="2">
        <f>IF(F45="","",F45-E45)</f>
        <v>98</v>
      </c>
      <c r="G47" s="2">
        <f>IF(G45="","",G45-F45)</f>
        <v>29</v>
      </c>
      <c r="H47" s="9">
        <f>H45-G45</f>
        <v>322</v>
      </c>
      <c r="I47" s="1"/>
      <c r="J47" s="1"/>
    </row>
    <row r="48">
      <c r="A48" s="1"/>
      <c r="B48" s="1" t="s">
        <v>46</v>
      </c>
      <c r="C48" s="2"/>
      <c r="D48" s="2"/>
      <c r="E48" s="2">
        <f>E45-D45</f>
        <v>7</v>
      </c>
      <c r="F48" s="2">
        <f>F45-E45</f>
        <v>98</v>
      </c>
      <c r="G48" s="2">
        <f>G45-F45</f>
        <v>29</v>
      </c>
      <c r="H48" s="9">
        <f>H45-G45</f>
        <v>322</v>
      </c>
      <c r="I48" s="1"/>
      <c r="J48" s="1"/>
    </row>
    <row r="49">
      <c r="A49" s="1"/>
      <c r="B49" s="1" t="s">
        <v>47</v>
      </c>
      <c r="C49" s="2"/>
      <c r="D49" s="2"/>
      <c r="E49" s="2"/>
      <c r="F49" s="2"/>
      <c r="G49" s="2"/>
      <c r="H49" s="9"/>
      <c r="I49" s="1"/>
      <c r="J49" s="1" t="s">
        <v>48</v>
      </c>
    </row>
    <row r="50">
      <c r="A50" s="1"/>
      <c r="B50" s="1" t="s">
        <v>49</v>
      </c>
      <c r="C50" s="2"/>
      <c r="D50" s="2"/>
      <c r="E50" s="2"/>
      <c r="F50" s="2"/>
      <c r="G50" s="2"/>
      <c r="H50" s="9"/>
      <c r="I50" s="1"/>
      <c r="J50" s="1"/>
    </row>
    <row r="51">
      <c r="A51" s="1"/>
      <c r="B51" s="1" t="s">
        <v>50</v>
      </c>
      <c r="C51" s="16">
        <f>Inputs!C181</f>
        <v>0.91</v>
      </c>
      <c r="D51" s="16">
        <f>Inputs!D181</f>
        <v>0.91</v>
      </c>
      <c r="E51" s="16">
        <f>Inputs!E181</f>
        <v>0.91</v>
      </c>
      <c r="F51" s="16">
        <f>Inputs!F181</f>
        <v>0.91</v>
      </c>
      <c r="G51" s="16">
        <f>Inputs!G181</f>
        <v>0.9</v>
      </c>
      <c r="H51" s="30">
        <v>0.9</v>
      </c>
      <c r="I51" s="1"/>
      <c r="J51" s="1"/>
    </row>
    <row r="52">
      <c r="A52" s="1"/>
      <c r="B52" s="1" t="s">
        <v>51</v>
      </c>
      <c r="C52" s="2"/>
      <c r="D52" s="2"/>
      <c r="E52" s="5">
        <f>(E51-D51)*Inputs!$H$85</f>
        <v>0</v>
      </c>
      <c r="F52" s="5">
        <f>(F51-E51)*Inputs!$H$85</f>
        <v>0</v>
      </c>
      <c r="G52" s="5">
        <f>(G51-F51)*Inputs!$H$85</f>
        <v>-100.00000000000009</v>
      </c>
      <c r="H52" s="31">
        <f>(H51-G51)*Inputs!$H$85</f>
        <v>0</v>
      </c>
      <c r="I52" s="1"/>
      <c r="J52" s="1"/>
    </row>
    <row r="53">
      <c r="A53" s="1"/>
      <c r="B53" s="1"/>
      <c r="C53" s="2"/>
      <c r="D53" s="2"/>
      <c r="E53" s="2"/>
      <c r="F53" s="2"/>
      <c r="G53" s="2"/>
      <c r="H53" s="9"/>
      <c r="I53" s="1"/>
      <c r="J53" s="1"/>
    </row>
    <row r="54">
      <c r="A54" s="1"/>
      <c r="B54" s="8" t="s">
        <v>52</v>
      </c>
      <c r="C54" s="3">
        <f>D54</f>
        <v>237324</v>
      </c>
      <c r="D54" s="10">
        <f>IF(Inputs!D175="","",Inputs!D175)</f>
        <v>237324</v>
      </c>
      <c r="E54" s="10">
        <f>IF(Inputs!E175="","",Inputs!E175)</f>
        <v>239863</v>
      </c>
      <c r="F54" s="10">
        <f>IF(Inputs!F175="","",Inputs!F175)</f>
        <v>241352</v>
      </c>
      <c r="G54" s="10">
        <f>IF(Inputs!G175="","",Inputs!G175)</f>
        <v>247766</v>
      </c>
      <c r="H54" s="28">
        <f>Inputs!H196</f>
        <v>250000</v>
      </c>
      <c r="I54" s="1"/>
      <c r="J54" s="1"/>
    </row>
    <row r="55">
      <c r="A55" s="1"/>
      <c r="B55" s="1" t="s">
        <v>43</v>
      </c>
      <c r="C55" s="15"/>
      <c r="D55" s="15"/>
      <c r="E55" s="15"/>
      <c r="F55" s="15"/>
      <c r="G55" s="15"/>
      <c r="H55" s="14">
        <f>H54/D54-1</f>
        <v>0.053412212839830886</v>
      </c>
      <c r="I55" s="1"/>
      <c r="J55" s="1"/>
    </row>
    <row r="56">
      <c r="A56" s="1"/>
      <c r="B56" s="1" t="s">
        <v>44</v>
      </c>
      <c r="C56" s="2"/>
      <c r="D56" s="2"/>
      <c r="E56" s="2">
        <f>IF(E54="","",E54-D54)</f>
        <v>2539</v>
      </c>
      <c r="F56" s="2">
        <f>IF(F54="","",F54-E54)</f>
        <v>1489</v>
      </c>
      <c r="G56" s="2">
        <f>IF(G54="","",G54-F54)</f>
        <v>6414</v>
      </c>
      <c r="H56" s="9">
        <f>H54-G54</f>
        <v>2234</v>
      </c>
      <c r="I56" s="1"/>
      <c r="J56" s="1"/>
    </row>
    <row r="57">
      <c r="A57" s="1"/>
      <c r="B57" s="1" t="s">
        <v>53</v>
      </c>
      <c r="C57" s="2"/>
      <c r="D57" s="2">
        <f>IFERROR(D10/AVERAGE(C45,D45),"")</f>
        <v>0.06635182303245886</v>
      </c>
      <c r="E57" s="2">
        <f>IFERROR(E10/AVERAGE(D45,E45),"")</f>
        <v>0.06751719539974443</v>
      </c>
      <c r="F57" s="2">
        <f>IFERROR(F10/AVERAGE(E45,F45),"")</f>
        <v>0.06750099425541317</v>
      </c>
      <c r="G57" s="2">
        <f>IFERROR(G10/AVERAGE(F45,G45),"")</f>
        <v>0.06833613076627722</v>
      </c>
      <c r="H57" s="9">
        <f>H10/AVERAGE(G45,H45)</f>
        <v>0.06753847809708322</v>
      </c>
      <c r="I57" s="1"/>
      <c r="J57" s="1"/>
    </row>
    <row r="58">
      <c r="A58" s="1"/>
      <c r="B58" s="1"/>
      <c r="C58" s="2"/>
      <c r="D58" s="2"/>
      <c r="E58" s="2"/>
      <c r="F58" s="2"/>
      <c r="G58" s="2"/>
      <c r="H58" s="9"/>
      <c r="I58" s="1"/>
      <c r="J58" s="1"/>
    </row>
    <row r="59">
      <c r="A59" s="1"/>
      <c r="B59" s="1" t="s">
        <v>54</v>
      </c>
      <c r="C59" s="2">
        <f>IFERROR(C41/C45,"")</f>
        <v>0.2674077367718986</v>
      </c>
      <c r="D59" s="2">
        <f>IFERROR(D41/D45,"")</f>
        <v>0.2674077367718986</v>
      </c>
      <c r="E59" s="2">
        <f>IFERROR(E41/E45,"")</f>
        <v>0.26781072975674775</v>
      </c>
      <c r="F59" s="2">
        <f>IFERROR(F41/F45,"")</f>
        <v>0.26922316228985826</v>
      </c>
      <c r="G59" s="2">
        <f>IFERROR(G41/G45,"")</f>
        <v>0.27210295728368017</v>
      </c>
      <c r="H59" s="9">
        <f>IFERROR(H41/H45,"")</f>
        <v>0.26672661870503594</v>
      </c>
      <c r="I59" s="1"/>
      <c r="J59" s="1"/>
    </row>
    <row r="60">
      <c r="A60" s="1"/>
      <c r="B60" s="1"/>
      <c r="C60" s="2"/>
      <c r="D60" s="2"/>
      <c r="E60" s="2"/>
      <c r="F60" s="2"/>
      <c r="G60" s="2"/>
      <c r="H60" s="9"/>
      <c r="I60" s="1"/>
      <c r="J60" s="1"/>
    </row>
    <row r="61">
      <c r="A61" s="1"/>
      <c r="B61" s="8" t="s">
        <v>55</v>
      </c>
      <c r="C61" s="3">
        <f>D61</f>
        <v>2370.9</v>
      </c>
      <c r="D61" s="10">
        <f>IF(Inputs!D161="","",Inputs!D161)</f>
        <v>2370.9</v>
      </c>
      <c r="E61" s="10">
        <f>IF(Inputs!E161="","",Inputs!E161)</f>
        <v>2389.6</v>
      </c>
      <c r="F61" s="10">
        <f>IF(Inputs!F161="","",Inputs!F161)</f>
        <v>2449.1</v>
      </c>
      <c r="G61" s="10">
        <f>IF(Inputs!G161="","",Inputs!G161)</f>
        <v>2485.6</v>
      </c>
      <c r="H61" s="4">
        <f>H41</f>
        <v>2521.1</v>
      </c>
      <c r="I61" s="1"/>
      <c r="J61" s="1"/>
    </row>
    <row r="62">
      <c r="A62" s="1"/>
      <c r="B62" s="1"/>
      <c r="C62" s="2"/>
      <c r="D62" s="2"/>
      <c r="E62" s="2"/>
      <c r="F62" s="2"/>
      <c r="G62" s="2"/>
      <c r="H62" s="9"/>
      <c r="I62" s="1"/>
      <c r="J62" s="1"/>
    </row>
    <row r="63">
      <c r="A63" s="1"/>
      <c r="B63" s="1" t="s">
        <v>56</v>
      </c>
      <c r="C63" s="2"/>
      <c r="D63" s="2"/>
      <c r="E63" s="2"/>
      <c r="F63" s="2"/>
      <c r="G63" s="2"/>
      <c r="H63" s="9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>
      <c r="A66" s="1"/>
      <c r="I66" s="1"/>
      <c r="J66" s="1"/>
    </row>
    <row r="67">
      <c r="A67" s="1"/>
      <c r="I67" s="1"/>
      <c r="J67" s="1"/>
    </row>
    <row r="68">
      <c r="A68" s="1"/>
      <c r="I68" s="1"/>
      <c r="J68" s="1"/>
    </row>
    <row r="69">
      <c r="A69" s="1"/>
      <c r="I69" s="1"/>
      <c r="J69" s="1"/>
    </row>
    <row r="70">
      <c r="A70" s="1"/>
      <c r="I70" s="1"/>
      <c r="J70" s="1"/>
    </row>
    <row r="71">
      <c r="A71" s="1"/>
      <c r="I71" s="1"/>
      <c r="J71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9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57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58</v>
      </c>
      <c r="D10" s="5">
        <f>Inputs!D197</f>
        <v>1513.1</v>
      </c>
      <c r="E10" s="2">
        <f>D14</f>
        <v>1570.1</v>
      </c>
      <c r="F10" s="2">
        <f>E14</f>
        <v>1575.8</v>
      </c>
      <c r="G10" s="2">
        <f>F14</f>
        <v>1605.9</v>
      </c>
      <c r="H10" s="9">
        <f>G14</f>
        <v>1621</v>
      </c>
      <c r="I10" s="1"/>
      <c r="J10" s="1"/>
    </row>
    <row r="11">
      <c r="A11" s="1"/>
      <c r="B11" s="1" t="s">
        <v>59</v>
      </c>
      <c r="C11" s="2"/>
      <c r="D11" s="2"/>
      <c r="E11" s="2"/>
      <c r="F11" s="2"/>
      <c r="G11" s="2"/>
      <c r="H11" s="9"/>
      <c r="I11" s="1"/>
      <c r="J11" s="1" t="s">
        <v>60</v>
      </c>
    </row>
    <row r="12">
      <c r="A12" s="1"/>
      <c r="B12" s="1" t="s">
        <v>61</v>
      </c>
      <c r="C12" s="2"/>
      <c r="D12" s="2"/>
      <c r="E12" s="2"/>
      <c r="F12" s="2"/>
      <c r="G12" s="2"/>
      <c r="H12" s="9"/>
      <c r="I12" s="1"/>
      <c r="J12" s="1"/>
    </row>
    <row r="13">
      <c r="A13" s="1"/>
      <c r="B13" s="1" t="s">
        <v>62</v>
      </c>
      <c r="D13" s="2">
        <f>D14-D10</f>
        <v>57</v>
      </c>
      <c r="E13" s="2">
        <f>E14-E10</f>
        <v>5.7000000000000455</v>
      </c>
      <c r="F13" s="2">
        <f>F14-F10</f>
        <v>30.100000000000136</v>
      </c>
      <c r="G13" s="2">
        <f>G14-G10</f>
        <v>15.099999999999909</v>
      </c>
      <c r="H13" s="18">
        <v>26</v>
      </c>
      <c r="I13" s="1"/>
      <c r="J13" s="1"/>
    </row>
    <row r="14">
      <c r="A14" s="1"/>
      <c r="B14" s="8" t="s">
        <v>63</v>
      </c>
      <c r="C14" s="10">
        <f>Inputs!C110</f>
        <v>1570.1</v>
      </c>
      <c r="D14" s="10">
        <f>Inputs!D110</f>
        <v>1570.1</v>
      </c>
      <c r="E14" s="10">
        <f>Inputs!E110</f>
        <v>1575.8</v>
      </c>
      <c r="F14" s="10">
        <f>Inputs!F110</f>
        <v>1605.9</v>
      </c>
      <c r="G14" s="10">
        <f>Inputs!G110</f>
        <v>1621</v>
      </c>
      <c r="H14" s="4">
        <f>SUM(H10,H13)</f>
        <v>1647</v>
      </c>
      <c r="I14" s="1"/>
      <c r="J14" s="1"/>
    </row>
    <row r="15">
      <c r="A15" s="1"/>
      <c r="B15" s="1" t="s">
        <v>64</v>
      </c>
      <c r="C15" s="15"/>
      <c r="D15" s="16">
        <f>D14/Inputs!D205-1</f>
        <v>0.07880994915487127</v>
      </c>
      <c r="E15" s="16">
        <f>E14/Inputs!E205-1</f>
        <v>0.07599863434619314</v>
      </c>
      <c r="F15" s="16">
        <f>F14/Inputs!F205-1</f>
        <v>0.06981546865631882</v>
      </c>
      <c r="G15" s="16">
        <f>G14/Inputs!G205-1</f>
        <v>0.07131055449078061</v>
      </c>
      <c r="H15" s="14">
        <f>H14/D14-1</f>
        <v>0.04897777211642573</v>
      </c>
      <c r="I15" s="1"/>
      <c r="J15" s="1"/>
    </row>
    <row r="16">
      <c r="A16" s="1"/>
      <c r="B16" s="1" t="s">
        <v>65</v>
      </c>
      <c r="C16" s="2"/>
      <c r="D16" s="2">
        <f>D14-D10</f>
        <v>57</v>
      </c>
      <c r="E16" s="2">
        <f>E14-D14</f>
        <v>5.7000000000000455</v>
      </c>
      <c r="F16" s="2">
        <f>F14-E14</f>
        <v>30.100000000000136</v>
      </c>
      <c r="G16" s="2">
        <f>G14-F14</f>
        <v>15.099999999999909</v>
      </c>
      <c r="H16" s="9">
        <f>H14-G14</f>
        <v>26</v>
      </c>
      <c r="I16" s="1"/>
      <c r="J16" s="1"/>
    </row>
    <row r="17">
      <c r="A17" s="1"/>
      <c r="B17" s="1" t="s">
        <v>66</v>
      </c>
      <c r="D17" s="2">
        <f>AVERAGE(D10,D14)</f>
        <v>1541.6</v>
      </c>
      <c r="E17" s="2">
        <f>AVERAGE(E10,E14)</f>
        <v>1572.9499999999998</v>
      </c>
      <c r="F17" s="2">
        <f>AVERAGE(F10,F14)</f>
        <v>1590.85</v>
      </c>
      <c r="G17" s="2">
        <f>AVERAGE(G10,G14)</f>
        <v>1613.45</v>
      </c>
      <c r="H17" s="9">
        <f>AVERAGE(G14,H14)</f>
        <v>1634</v>
      </c>
      <c r="I17" s="1"/>
      <c r="J17" s="1"/>
    </row>
    <row r="18">
      <c r="A18" s="1"/>
      <c r="B18" s="1" t="s">
        <v>67</v>
      </c>
      <c r="D18" s="23">
        <f>D19/(D17/Inputs!$H$84)</f>
        <v>1.0085729112610273</v>
      </c>
      <c r="E18" s="23">
        <f>E19/(E17/Inputs!$H$84)</f>
        <v>1.0074725833624718</v>
      </c>
      <c r="F18" s="23">
        <f>F19/(F17/Inputs!$H$84)</f>
        <v>1.0049545840274068</v>
      </c>
      <c r="G18" s="23">
        <f>G19/(G17/Inputs!$H$84)</f>
        <v>1.0096129412129289</v>
      </c>
      <c r="H18" s="33">
        <v>1.0159118727050185</v>
      </c>
      <c r="I18" s="1"/>
      <c r="J18" s="1" t="s">
        <v>68</v>
      </c>
    </row>
    <row r="19">
      <c r="A19" s="1"/>
      <c r="B19" s="8" t="s">
        <v>69</v>
      </c>
      <c r="C19" s="10">
        <f>Inputs!C105</f>
        <v>1506.108</v>
      </c>
      <c r="D19" s="10">
        <f>Inputs!D105</f>
        <v>388.7039999999999</v>
      </c>
      <c r="E19" s="10">
        <f>Inputs!E105</f>
        <v>396.176</v>
      </c>
      <c r="F19" s="10">
        <f>Inputs!F105</f>
        <v>399.683</v>
      </c>
      <c r="G19" s="10">
        <f>Inputs!G105</f>
        <v>407.24</v>
      </c>
      <c r="H19" s="28">
        <f>H17/Inputs!$H$84*H18</f>
        <v>415.00000000000006</v>
      </c>
      <c r="I19" s="1"/>
      <c r="J19" s="1"/>
    </row>
    <row r="20">
      <c r="A20" s="1"/>
      <c r="B20" s="1" t="s">
        <v>70</v>
      </c>
      <c r="C20" s="2"/>
      <c r="D20" s="2"/>
      <c r="E20" s="2"/>
      <c r="F20" s="2"/>
      <c r="G20" s="2"/>
      <c r="H20" s="9"/>
      <c r="I20" s="1"/>
      <c r="J20" s="1"/>
    </row>
    <row r="21">
      <c r="A21" s="1"/>
      <c r="B21" s="8" t="s">
        <v>71</v>
      </c>
      <c r="C21" s="3">
        <f>C19</f>
        <v>1506.108</v>
      </c>
      <c r="D21" s="3">
        <f>D19</f>
        <v>388.7039999999999</v>
      </c>
      <c r="E21" s="3">
        <f>E19</f>
        <v>396.176</v>
      </c>
      <c r="F21" s="3">
        <f>F19</f>
        <v>399.683</v>
      </c>
      <c r="G21" s="3">
        <f>G19</f>
        <v>407.24</v>
      </c>
      <c r="H21" s="4">
        <f>H19</f>
        <v>415.00000000000006</v>
      </c>
      <c r="I21" s="1"/>
      <c r="J21" s="1"/>
    </row>
    <row r="22">
      <c r="A22" s="1"/>
      <c r="B22" s="1" t="s">
        <v>32</v>
      </c>
      <c r="D22" s="29">
        <f>(1+D25)/((1+D23)*(1+D24))-1</f>
        <v>0.07228689655172382</v>
      </c>
      <c r="E22" s="15">
        <f>(1+E25)/((1+E23)*(1+E24))-1</f>
        <v>0.07878728467876761</v>
      </c>
      <c r="F22" s="15">
        <f>(1+F25)/((1+F23)*(1+F24))-1</f>
        <v>0.08121495099564191</v>
      </c>
      <c r="G22" s="15">
        <f>(1+G25)/((1+G23)*(1+G24))-1</f>
        <v>0.07000000000000006</v>
      </c>
      <c r="H22" s="14">
        <f>(1+H25)/((1+H23)*(1+H24))-1</f>
        <v>0.06765044867045411</v>
      </c>
      <c r="I22" s="1"/>
      <c r="J22" s="1"/>
    </row>
    <row r="23">
      <c r="A23" s="1"/>
      <c r="B23" s="1" t="s">
        <v>33</v>
      </c>
      <c r="D23" s="26">
        <v>0</v>
      </c>
      <c r="E23" s="26">
        <v>0</v>
      </c>
      <c r="F23" s="26">
        <v>0</v>
      </c>
      <c r="G23" s="16">
        <f>(1+G25)/(1+Inputs!G192)-1</f>
        <v>0.00025527092207777713</v>
      </c>
      <c r="H23" s="30">
        <v>0</v>
      </c>
      <c r="I23" s="1"/>
      <c r="J23" s="1"/>
    </row>
    <row r="24">
      <c r="A24" s="1"/>
      <c r="B24" s="1" t="s">
        <v>34</v>
      </c>
      <c r="D24" s="26">
        <v>0</v>
      </c>
      <c r="E24" s="26">
        <v>0</v>
      </c>
      <c r="F24" s="26">
        <v>0</v>
      </c>
      <c r="G24" s="26">
        <v>0</v>
      </c>
      <c r="H24" s="30">
        <v>0</v>
      </c>
      <c r="I24" s="1"/>
      <c r="J24" s="1"/>
    </row>
    <row r="25">
      <c r="A25" s="1"/>
      <c r="B25" s="1" t="s">
        <v>35</v>
      </c>
      <c r="D25" s="20">
        <f>D21/Inputs!D185-1</f>
        <v>0.07228689655172382</v>
      </c>
      <c r="E25" s="16">
        <f>E21/Inputs!E185-1</f>
        <v>0.07878728467876761</v>
      </c>
      <c r="F25" s="16">
        <f>F21/Inputs!F185-1</f>
        <v>0.08121495099564191</v>
      </c>
      <c r="G25" s="16">
        <f>G21/Inputs!G185-1</f>
        <v>0.0702731398866232</v>
      </c>
      <c r="H25" s="22">
        <f>H21/D21-1</f>
        <v>0.06765044867045411</v>
      </c>
      <c r="I25" s="1"/>
      <c r="J25" s="1"/>
    </row>
    <row r="26">
      <c r="A26" s="1"/>
      <c r="B26" s="1" t="s">
        <v>36</v>
      </c>
      <c r="E26" s="15">
        <f>E21/D21-1</f>
        <v>0.01922285337943541</v>
      </c>
      <c r="F26" s="15">
        <f>F21/E21-1</f>
        <v>0.008852126327692833</v>
      </c>
      <c r="G26" s="15">
        <f>G21/F21-1</f>
        <v>0.018907484181213574</v>
      </c>
      <c r="H26" s="14">
        <f>H21/G21-1</f>
        <v>0.019055102642176802</v>
      </c>
      <c r="I26" s="1"/>
      <c r="J26" s="1"/>
    </row>
    <row r="27">
      <c r="A27" s="1"/>
      <c r="B27" s="1" t="s">
        <v>72</v>
      </c>
      <c r="C27" s="16">
        <f>C21/'Revenue summary'!C10</f>
        <v>0.6486957240837506</v>
      </c>
      <c r="D27" s="16">
        <f>D21/'Revenue summary'!D10</f>
        <v>0.6512034659013807</v>
      </c>
      <c r="E27" s="16">
        <f>E21/'Revenue summary'!E10</f>
        <v>0.6520116980815344</v>
      </c>
      <c r="F27" s="16">
        <f>F21/'Revenue summary'!F10</f>
        <v>0.6541253217985038</v>
      </c>
      <c r="G27" s="16">
        <f>G21/'Revenue summary'!G10</f>
        <v>0.6537618113459557</v>
      </c>
      <c r="H27" s="19">
        <f>H21/'Revenue summary'!H10</f>
        <v>0.6613545816733067</v>
      </c>
      <c r="I27" s="1"/>
      <c r="J27" s="1"/>
    </row>
    <row r="28">
      <c r="A28" s="1"/>
      <c r="B28" s="1" t="s">
        <v>73</v>
      </c>
      <c r="C28" s="2"/>
      <c r="D28" s="2"/>
      <c r="E28" s="2"/>
      <c r="F28" s="2"/>
      <c r="G28" s="2"/>
      <c r="H28" s="35">
        <v>0.1796</v>
      </c>
      <c r="I28" s="1"/>
      <c r="J28" s="1" t="s">
        <v>74</v>
      </c>
    </row>
    <row r="29">
      <c r="A29" s="1"/>
      <c r="B29" s="8" t="s">
        <v>75</v>
      </c>
      <c r="C29" s="10">
        <f>Inputs!C168</f>
        <v>305.963</v>
      </c>
      <c r="D29" s="10">
        <f>Inputs!D168</f>
        <v>69.47300000000001</v>
      </c>
      <c r="E29" s="10">
        <f>Inputs!E168</f>
        <v>78.533</v>
      </c>
      <c r="F29" s="10">
        <f>Inputs!F168</f>
        <v>74.201</v>
      </c>
      <c r="G29" s="10">
        <f>Inputs!G168</f>
        <v>63.587</v>
      </c>
      <c r="H29" s="4">
        <f>H21*H28</f>
        <v>74.53400000000002</v>
      </c>
      <c r="I29" s="1"/>
      <c r="J29" s="1"/>
    </row>
    <row r="30">
      <c r="A30" s="1"/>
      <c r="B30" s="1" t="s">
        <v>76</v>
      </c>
      <c r="C30" s="15">
        <f>C29/C21</f>
        <v>0.20314811421226103</v>
      </c>
      <c r="D30" s="15">
        <f>D29/D21</f>
        <v>0.1787298304108011</v>
      </c>
      <c r="E30" s="15">
        <f>E29/E21</f>
        <v>0.19822755542990994</v>
      </c>
      <c r="F30" s="15">
        <f>F29/F21</f>
        <v>0.18564962732965873</v>
      </c>
      <c r="G30" s="15">
        <f>G29/G21</f>
        <v>0.15614134171495925</v>
      </c>
      <c r="H30" s="14">
        <f>H29/H21</f>
        <v>0.17960000000000004</v>
      </c>
      <c r="I30" s="1"/>
      <c r="J30" s="1"/>
    </row>
    <row r="31">
      <c r="A31" s="1"/>
      <c r="B31" s="1" t="s">
        <v>77</v>
      </c>
      <c r="C31" s="2"/>
      <c r="D31" s="2"/>
      <c r="E31" s="5">
        <f>(E30-D30)*Inputs!$H$85</f>
        <v>194.97725019108847</v>
      </c>
      <c r="F31" s="5">
        <f>(F30-E30)*Inputs!$H$85</f>
        <v>-125.77928100251212</v>
      </c>
      <c r="G31" s="5">
        <f>(G30-F30)*Inputs!$H$85</f>
        <v>-295.0828561469948</v>
      </c>
      <c r="H31" s="31">
        <f>(H30-G30)*Inputs!$H$85</f>
        <v>234.5865828504079</v>
      </c>
      <c r="I31" s="1"/>
      <c r="J31" s="1"/>
    </row>
    <row r="32">
      <c r="A32" s="1"/>
      <c r="B32" s="1"/>
      <c r="C32" s="2"/>
      <c r="D32" s="2"/>
      <c r="E32" s="2"/>
      <c r="F32" s="2"/>
      <c r="G32" s="2"/>
      <c r="H32" s="9"/>
      <c r="I32" s="1"/>
      <c r="J32" s="1"/>
    </row>
    <row r="33">
      <c r="A33" s="1"/>
      <c r="B33" s="1" t="s">
        <v>78</v>
      </c>
      <c r="C33" s="2"/>
      <c r="D33" s="2"/>
      <c r="E33" s="2"/>
      <c r="F33" s="2"/>
      <c r="G33" s="2"/>
      <c r="H33" s="9"/>
      <c r="I33" s="1"/>
      <c r="J33" s="1"/>
    </row>
    <row r="34">
      <c r="A34" s="1"/>
      <c r="B34" s="1" t="s">
        <v>79</v>
      </c>
      <c r="C34" s="2"/>
      <c r="D34" s="2"/>
      <c r="E34" s="2"/>
      <c r="F34" s="2"/>
      <c r="G34" s="2"/>
      <c r="H34" s="9"/>
      <c r="I34" s="1"/>
      <c r="J34" s="1"/>
    </row>
    <row r="35">
      <c r="A35" s="1"/>
      <c r="B35" s="1" t="s">
        <v>80</v>
      </c>
      <c r="C35" s="2"/>
      <c r="D35" s="2"/>
      <c r="E35" s="2"/>
      <c r="F35" s="2"/>
      <c r="G35" s="2"/>
      <c r="H35" s="9"/>
      <c r="I35" s="1"/>
      <c r="J35" s="1"/>
    </row>
    <row r="36">
      <c r="A36" s="1"/>
      <c r="B36" s="1" t="s">
        <v>81</v>
      </c>
      <c r="C36" s="2"/>
      <c r="D36" s="2"/>
      <c r="E36" s="2"/>
      <c r="F36" s="2"/>
      <c r="G36" s="2"/>
      <c r="H36" s="9"/>
      <c r="I36" s="1"/>
      <c r="J36" s="1"/>
    </row>
    <row r="37">
      <c r="A37" s="1"/>
      <c r="B37" s="1" t="s">
        <v>82</v>
      </c>
      <c r="C37" s="2"/>
      <c r="D37" s="2"/>
      <c r="E37" s="2"/>
      <c r="F37" s="2"/>
      <c r="G37" s="2"/>
      <c r="H37" s="9"/>
      <c r="I37" s="1"/>
      <c r="J37" s="1"/>
    </row>
    <row r="38">
      <c r="A38" s="1"/>
      <c r="B38" s="1" t="s">
        <v>83</v>
      </c>
      <c r="C38" s="2"/>
      <c r="D38" s="2"/>
      <c r="E38" s="2"/>
      <c r="F38" s="2"/>
      <c r="G38" s="2"/>
      <c r="H38" s="9"/>
      <c r="I38" s="1"/>
      <c r="J38" s="1"/>
    </row>
    <row r="39">
      <c r="A39" s="1"/>
      <c r="B39" s="1" t="s">
        <v>84</v>
      </c>
      <c r="C39" s="2"/>
      <c r="D39" s="2"/>
      <c r="E39" s="2"/>
      <c r="F39" s="2"/>
      <c r="G39" s="2"/>
      <c r="H39" s="9"/>
      <c r="I39" s="1"/>
      <c r="J39" s="1"/>
    </row>
    <row r="40">
      <c r="A40" s="1"/>
      <c r="B40" s="1" t="s">
        <v>85</v>
      </c>
      <c r="C40" s="15"/>
      <c r="D40" s="15"/>
      <c r="E40" s="15"/>
      <c r="F40" s="15"/>
      <c r="G40" s="15"/>
      <c r="H40" s="14">
        <f>H10/D10-1</f>
        <v>0.07131055449078061</v>
      </c>
      <c r="I40" s="1"/>
      <c r="J40" s="1"/>
    </row>
    <row r="41">
      <c r="A41" s="1"/>
      <c r="B41" s="1" t="s">
        <v>86</v>
      </c>
      <c r="C41" s="1"/>
      <c r="D41" s="1"/>
      <c r="E41" s="1"/>
      <c r="F41" s="1"/>
      <c r="G41" s="1"/>
      <c r="H41" s="9">
        <f>H10-G10</f>
        <v>15.099999999999909</v>
      </c>
      <c r="I41" s="1"/>
      <c r="J41" s="1"/>
    </row>
    <row r="42">
      <c r="A42" s="1"/>
      <c r="B42" s="1" t="s">
        <v>87</v>
      </c>
      <c r="C42" s="1"/>
      <c r="D42" s="1"/>
      <c r="E42" s="25">
        <f>E13/(Inputs!E205-Inputs!D205)-1</f>
        <v>-0.3736263736263624</v>
      </c>
      <c r="F42" s="25">
        <f>F13/(Inputs!F205-Inputs!E205)-1</f>
        <v>-0.17759562841529475</v>
      </c>
      <c r="G42" s="25">
        <f>G13/(Inputs!G205-Inputs!F205)-1</f>
        <v>0.25833333333332575</v>
      </c>
      <c r="H42" s="19">
        <f>H13/(D14-Inputs!G205)-1</f>
        <v>-0.543859649122807</v>
      </c>
      <c r="I42" s="1"/>
      <c r="J42" s="1"/>
    </row>
    <row r="43">
      <c r="A43" s="1"/>
      <c r="B43" s="1" t="s">
        <v>88</v>
      </c>
      <c r="C43" s="1"/>
      <c r="D43" s="1"/>
      <c r="E43" s="2">
        <f>E13-D13</f>
        <v>-51.299999999999955</v>
      </c>
      <c r="F43" s="2">
        <f>F13-E13</f>
        <v>24.40000000000009</v>
      </c>
      <c r="G43" s="2">
        <f>G13-F13</f>
        <v>-15.000000000000227</v>
      </c>
      <c r="H43" s="9">
        <f>H13-G13</f>
        <v>10.900000000000091</v>
      </c>
      <c r="I43" s="1"/>
      <c r="J43" s="1"/>
    </row>
    <row r="44">
      <c r="A44" s="1"/>
      <c r="B44" s="1" t="s">
        <v>89</v>
      </c>
      <c r="C44" s="1"/>
      <c r="D44" s="1"/>
      <c r="E44" s="1"/>
      <c r="F44" s="1"/>
      <c r="G44" s="1"/>
      <c r="H44" s="9">
        <f>H17-G17</f>
        <v>20.549999999999955</v>
      </c>
      <c r="I44" s="1"/>
      <c r="J44" s="1"/>
    </row>
    <row r="45">
      <c r="A45" s="1"/>
      <c r="B45" s="1" t="s">
        <v>90</v>
      </c>
      <c r="C45" s="1"/>
      <c r="D45" s="1"/>
      <c r="E45" s="1"/>
      <c r="F45" s="1"/>
      <c r="G45" s="1"/>
      <c r="H45" s="32">
        <f>(H18-G18)*Inputs!$H$85</f>
        <v>62.98931492089599</v>
      </c>
      <c r="I45" s="1"/>
      <c r="J45" s="1"/>
    </row>
    <row r="46">
      <c r="A46" s="1"/>
      <c r="B46" s="1" t="s">
        <v>91</v>
      </c>
      <c r="C46" s="1"/>
      <c r="D46" s="1"/>
      <c r="E46" s="1"/>
      <c r="F46" s="1"/>
      <c r="G46" s="1"/>
      <c r="H46" s="9">
        <f>H10-D10</f>
        <v>107.90000000000009</v>
      </c>
      <c r="I46" s="1"/>
      <c r="J46" s="1"/>
    </row>
    <row r="47">
      <c r="A47" s="1"/>
      <c r="B47" s="1" t="s">
        <v>92</v>
      </c>
      <c r="C47" s="15"/>
      <c r="D47" s="15"/>
      <c r="E47" s="15"/>
      <c r="F47" s="15"/>
      <c r="G47" s="15"/>
      <c r="H47" s="14">
        <f>H17/D17-1</f>
        <v>0.05993772703684486</v>
      </c>
      <c r="I47" s="1"/>
      <c r="J47" s="1"/>
    </row>
    <row r="48">
      <c r="A48" s="1"/>
      <c r="B48" s="1" t="s">
        <v>93</v>
      </c>
      <c r="C48" s="1"/>
      <c r="D48" s="1"/>
      <c r="E48" s="1"/>
      <c r="F48" s="1"/>
      <c r="G48" s="1"/>
      <c r="H48" s="32">
        <f>(H30-G30)*Inputs!$H$85</f>
        <v>234.5865828504079</v>
      </c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2" t="s">
        <v>94</v>
      </c>
      <c r="C51" s="12"/>
      <c r="D51" s="12"/>
      <c r="E51" s="12"/>
      <c r="F51" s="12"/>
      <c r="G51" s="12"/>
      <c r="H51" s="12"/>
      <c r="I51" s="1"/>
      <c r="J51" s="1" t="s">
        <v>95</v>
      </c>
    </row>
    <row r="52">
      <c r="A52" s="1"/>
      <c r="B52" s="1" t="s">
        <v>58</v>
      </c>
      <c r="C52" s="2" t="str">
        <f>IF(C10="","",C10)</f>
        <v/>
      </c>
      <c r="D52" s="2">
        <f>IF(D10="","",D10)</f>
        <v>1513.1</v>
      </c>
      <c r="E52" s="2">
        <f>IF(E10="","",E10)</f>
        <v>1570.1</v>
      </c>
      <c r="F52" s="2">
        <f>IF(F10="","",F10)</f>
        <v>1575.8</v>
      </c>
      <c r="G52" s="2">
        <f>IF(G10="","",G10)</f>
        <v>1605.9</v>
      </c>
      <c r="H52" s="9">
        <f>IF(H10="","",H10)</f>
        <v>1621</v>
      </c>
      <c r="I52" s="1"/>
      <c r="J52" s="1"/>
    </row>
    <row r="53">
      <c r="A53" s="1"/>
      <c r="B53" s="1" t="s">
        <v>96</v>
      </c>
      <c r="C53" s="15"/>
      <c r="D53" s="15"/>
      <c r="E53" s="16">
        <f>E52/Inputs!D205-1</f>
        <v>0.07880994915487127</v>
      </c>
      <c r="F53" s="16">
        <f>F52/Inputs!E205-1</f>
        <v>0.07599863434619314</v>
      </c>
      <c r="G53" s="16">
        <f>G52/Inputs!F205-1</f>
        <v>0.06981546865631882</v>
      </c>
      <c r="H53" s="19">
        <f>H52/Inputs!G205-1</f>
        <v>0.07131055449078061</v>
      </c>
      <c r="I53" s="1"/>
      <c r="J53" s="1"/>
    </row>
    <row r="54">
      <c r="A54" s="1"/>
      <c r="B54" s="1" t="s">
        <v>97</v>
      </c>
      <c r="C54" s="2"/>
      <c r="D54" s="2"/>
      <c r="E54" s="2"/>
      <c r="F54" s="2"/>
      <c r="G54" s="2"/>
      <c r="H54" s="9">
        <f>H52-G52</f>
        <v>15.099999999999909</v>
      </c>
      <c r="I54" s="1"/>
      <c r="J54" s="1"/>
    </row>
    <row r="55">
      <c r="A55" s="1"/>
      <c r="B55" s="1"/>
      <c r="C55" s="2"/>
      <c r="D55" s="2"/>
      <c r="E55" s="2"/>
      <c r="F55" s="2"/>
      <c r="G55" s="2"/>
      <c r="H55" s="9"/>
      <c r="I55" s="1"/>
      <c r="J55" s="1"/>
    </row>
    <row r="56">
      <c r="A56" s="1"/>
      <c r="B56" s="1" t="s">
        <v>98</v>
      </c>
      <c r="C56" s="2"/>
      <c r="D56" s="2"/>
      <c r="E56" s="2"/>
      <c r="F56" s="2"/>
      <c r="G56" s="2"/>
      <c r="H56" s="9"/>
      <c r="I56" s="1"/>
      <c r="J56" s="1"/>
    </row>
    <row r="57">
      <c r="A57" s="1"/>
      <c r="B57" s="1"/>
      <c r="C57" s="2"/>
      <c r="D57" s="2"/>
      <c r="E57" s="2"/>
      <c r="F57" s="2"/>
      <c r="G57" s="2"/>
      <c r="H57" s="9"/>
      <c r="I57" s="1"/>
      <c r="J57" s="1"/>
    </row>
    <row r="58">
      <c r="A58" s="1"/>
      <c r="B58" s="1"/>
      <c r="C58" s="2"/>
      <c r="D58" s="2"/>
      <c r="E58" s="2"/>
      <c r="F58" s="2"/>
      <c r="G58" s="2"/>
      <c r="H58" s="9"/>
      <c r="I58" s="1"/>
      <c r="J58" s="1"/>
    </row>
    <row r="59">
      <c r="A59" s="1"/>
      <c r="B59" s="1" t="s">
        <v>99</v>
      </c>
      <c r="C59" s="2"/>
      <c r="D59" s="2"/>
      <c r="E59" s="2"/>
      <c r="F59" s="2"/>
      <c r="G59" s="2"/>
      <c r="H59" s="9"/>
      <c r="I59" s="1"/>
      <c r="J59" s="1"/>
    </row>
    <row r="60">
      <c r="A60" s="1"/>
      <c r="B60" s="1"/>
      <c r="C60" s="2"/>
      <c r="D60" s="2"/>
      <c r="E60" s="2"/>
      <c r="F60" s="2"/>
      <c r="G60" s="2"/>
      <c r="H60" s="9"/>
      <c r="I60" s="1"/>
      <c r="J60" s="1"/>
    </row>
    <row r="61">
      <c r="A61" s="1"/>
      <c r="B61" s="1"/>
      <c r="C61" s="2"/>
      <c r="D61" s="2"/>
      <c r="E61" s="2"/>
      <c r="F61" s="2"/>
      <c r="G61" s="2"/>
      <c r="H61" s="9"/>
      <c r="I61" s="1"/>
      <c r="J61" s="1"/>
    </row>
    <row r="62">
      <c r="A62" s="1"/>
      <c r="B62" s="1" t="s">
        <v>100</v>
      </c>
      <c r="C62" s="2" t="str">
        <f>IF(C13="","",C13)</f>
        <v/>
      </c>
      <c r="D62" s="2">
        <f>IF(D13="","",D13)</f>
        <v>57</v>
      </c>
      <c r="E62" s="2">
        <f>IF(E13="","",E13)</f>
        <v>5.7000000000000455</v>
      </c>
      <c r="F62" s="2">
        <f>IF(F13="","",F13)</f>
        <v>30.100000000000136</v>
      </c>
      <c r="G62" s="2">
        <f>IF(G13="","",G13)</f>
        <v>15.099999999999909</v>
      </c>
      <c r="H62" s="9">
        <f>IF(H13="","",H13)</f>
        <v>26</v>
      </c>
      <c r="I62" s="1"/>
      <c r="J62" s="1"/>
    </row>
    <row r="63">
      <c r="A63" s="1"/>
      <c r="B63" s="1" t="s">
        <v>96</v>
      </c>
      <c r="C63" s="15"/>
      <c r="D63" s="15"/>
      <c r="E63" s="16">
        <f>E62/(Inputs!E205-Inputs!D205)-1</f>
        <v>-0.3736263736263624</v>
      </c>
      <c r="F63" s="16">
        <f>F62/(Inputs!F205-Inputs!E205)-1</f>
        <v>-0.17759562841529475</v>
      </c>
      <c r="G63" s="16">
        <f>G62/(Inputs!G205-Inputs!F205)-1</f>
        <v>0.25833333333332575</v>
      </c>
      <c r="H63" s="19">
        <f>H62/(D14-Inputs!G205)-1</f>
        <v>-0.543859649122807</v>
      </c>
      <c r="I63" s="1"/>
      <c r="J63" s="1"/>
    </row>
    <row r="64">
      <c r="A64" s="1"/>
      <c r="B64" s="1" t="s">
        <v>97</v>
      </c>
      <c r="C64" s="2"/>
      <c r="D64" s="2"/>
      <c r="E64" s="2">
        <f>IFERROR(E62-D62,"")</f>
        <v>-51.299999999999955</v>
      </c>
      <c r="F64" s="2">
        <f>IFERROR(F62-E62,"")</f>
        <v>24.40000000000009</v>
      </c>
      <c r="G64" s="2">
        <f>IFERROR(G62-F62,"")</f>
        <v>-15.000000000000227</v>
      </c>
      <c r="H64" s="9">
        <f>IFERROR(H62-G62,"")</f>
        <v>10.900000000000091</v>
      </c>
      <c r="I64" s="1"/>
      <c r="J64" s="1"/>
    </row>
    <row r="65">
      <c r="A65" s="1"/>
      <c r="B65" s="1"/>
      <c r="C65" s="2"/>
      <c r="D65" s="2"/>
      <c r="E65" s="2"/>
      <c r="F65" s="2"/>
      <c r="G65" s="2"/>
      <c r="H65" s="9"/>
      <c r="I65" s="1"/>
      <c r="J65" s="1"/>
    </row>
    <row r="66">
      <c r="B66" s="8" t="s">
        <v>63</v>
      </c>
      <c r="C66" s="3">
        <f>IF(C14="","",C14)</f>
        <v>1570.1</v>
      </c>
      <c r="D66" s="3">
        <f>IF(D14="","",D14)</f>
        <v>1570.1</v>
      </c>
      <c r="E66" s="3">
        <f>IF(E14="","",E14)</f>
        <v>1575.8</v>
      </c>
      <c r="F66" s="3">
        <f>IF(F14="","",F14)</f>
        <v>1605.9</v>
      </c>
      <c r="G66" s="3">
        <f>IF(G14="","",G14)</f>
        <v>1621</v>
      </c>
      <c r="H66" s="4">
        <f>IF(H14="","",H14)</f>
        <v>1647</v>
      </c>
    </row>
    <row r="67">
      <c r="B67" s="1" t="s">
        <v>96</v>
      </c>
      <c r="C67" s="15"/>
      <c r="D67" s="16">
        <f>D66/Inputs!D205-1</f>
        <v>0.07880994915487127</v>
      </c>
      <c r="E67" s="16">
        <f>E66/Inputs!E205-1</f>
        <v>0.07599863434619314</v>
      </c>
      <c r="F67" s="16">
        <f>F66/Inputs!F205-1</f>
        <v>0.06981546865631882</v>
      </c>
      <c r="G67" s="16">
        <f>G66/Inputs!G205-1</f>
        <v>0.07131055449078061</v>
      </c>
      <c r="H67" s="14">
        <f>H66/D66-1</f>
        <v>0.04897777211642573</v>
      </c>
    </row>
    <row r="68">
      <c r="B68" s="1" t="s">
        <v>97</v>
      </c>
      <c r="C68" s="2"/>
      <c r="D68" s="2">
        <f>IFERROR(D66-D52,"")</f>
        <v>57</v>
      </c>
      <c r="E68" s="2">
        <f>IFERROR(E66-E52,"")</f>
        <v>5.7000000000000455</v>
      </c>
      <c r="F68" s="2">
        <f>IFERROR(F66-F52,"")</f>
        <v>30.100000000000136</v>
      </c>
      <c r="G68" s="2">
        <f>IFERROR(G66-G52,"")</f>
        <v>15.099999999999909</v>
      </c>
      <c r="H68" s="9">
        <f>IFERROR(H66-H52,"")</f>
        <v>26</v>
      </c>
    </row>
    <row r="69">
      <c r="B69" s="1"/>
      <c r="C69" s="2"/>
      <c r="D69" s="2"/>
      <c r="E69" s="2"/>
      <c r="F69" s="2"/>
      <c r="G69" s="2"/>
      <c r="H69" s="9"/>
    </row>
    <row r="70">
      <c r="B70" s="1" t="s">
        <v>66</v>
      </c>
      <c r="C70" s="2" t="str">
        <f>IF(C17="","",C17)</f>
        <v/>
      </c>
      <c r="D70" s="2">
        <f>IF(D17="","",D17)</f>
        <v>1541.6</v>
      </c>
      <c r="E70" s="2">
        <f>IF(E17="","",E17)</f>
        <v>1572.9499999999998</v>
      </c>
      <c r="F70" s="2">
        <f>IF(F17="","",F17)</f>
        <v>1590.85</v>
      </c>
      <c r="G70" s="2">
        <f>IF(G17="","",G17)</f>
        <v>1613.45</v>
      </c>
      <c r="H70" s="9">
        <f>IF(H17="","",H17)</f>
        <v>1634</v>
      </c>
    </row>
    <row r="71">
      <c r="B71" s="1" t="s">
        <v>96</v>
      </c>
      <c r="C71" s="15"/>
      <c r="D71" s="15"/>
      <c r="E71" s="16">
        <f>E70/AVERAGE(Inputs!D205,Inputs!E205)-1</f>
        <v>0.07739991095585452</v>
      </c>
      <c r="F71" s="16">
        <f>F70/AVERAGE(Inputs!E205,Inputs!F205)-1</f>
        <v>0.07286889668195307</v>
      </c>
      <c r="G71" s="16">
        <f>G70/AVERAGE(Inputs!F205,Inputs!G205)-1</f>
        <v>0.07056598765841682</v>
      </c>
      <c r="H71" s="14">
        <f>H70/D70-1</f>
        <v>0.05993772703684486</v>
      </c>
    </row>
    <row r="72">
      <c r="B72" s="1" t="s">
        <v>97</v>
      </c>
      <c r="C72" s="2"/>
      <c r="D72" s="2"/>
      <c r="E72" s="2">
        <f>IFERROR(E70-D70,"")</f>
        <v>31.34999999999991</v>
      </c>
      <c r="F72" s="2">
        <f>IFERROR(F70-E70,"")</f>
        <v>17.90000000000009</v>
      </c>
      <c r="G72" s="2">
        <f>IFERROR(G70-F70,"")</f>
        <v>22.600000000000136</v>
      </c>
      <c r="H72" s="9">
        <f>IFERROR(H70-G70,"")</f>
        <v>20.549999999999955</v>
      </c>
    </row>
    <row r="73">
      <c r="B73" s="1"/>
      <c r="C73" s="2"/>
      <c r="D73" s="2"/>
      <c r="E73" s="2"/>
      <c r="F73" s="2"/>
      <c r="G73" s="2"/>
      <c r="H73" s="9"/>
    </row>
    <row r="74">
      <c r="B74" s="1" t="s">
        <v>101</v>
      </c>
      <c r="C74" s="17" t="str">
        <f>IF(C18="","",C18)</f>
        <v/>
      </c>
      <c r="D74" s="17">
        <f>IF(D18="","",D18)</f>
        <v>1.0085729112610273</v>
      </c>
      <c r="E74" s="17">
        <f>IF(E18="","",E18)</f>
        <v>1.0074725833624718</v>
      </c>
      <c r="F74" s="17">
        <f>IF(F18="","",F18)</f>
        <v>1.0049545840274068</v>
      </c>
      <c r="G74" s="17">
        <f>IF(G18="","",G18)</f>
        <v>1.0096129412129289</v>
      </c>
      <c r="H74" s="34">
        <f>IF(H18="","",H18)</f>
        <v>1.0159118727050185</v>
      </c>
    </row>
    <row r="75">
      <c r="B75" s="1" t="s">
        <v>102</v>
      </c>
      <c r="C75" s="2"/>
      <c r="D75" s="2"/>
      <c r="E75" s="5">
        <f>IFERROR((E74-D74)*Inputs!$H$85,"")</f>
        <v>-11.003278985555198</v>
      </c>
      <c r="F75" s="5">
        <f>IFERROR((F74-E74)*Inputs!$H$85,"")</f>
        <v>-25.179993350650243</v>
      </c>
      <c r="G75" s="5">
        <f>IFERROR((G74-F74)*Inputs!$H$85,"")</f>
        <v>46.583571855220995</v>
      </c>
      <c r="H75" s="31">
        <f>IFERROR((H74-G74)*Inputs!$H$85,"")</f>
        <v>62.98931492089599</v>
      </c>
    </row>
    <row r="76">
      <c r="B76" s="1" t="s">
        <v>103</v>
      </c>
      <c r="C76" s="2"/>
      <c r="D76" s="2"/>
      <c r="E76" s="2">
        <f>IFERROR(E74-D74,"")</f>
        <v>-0.0011003278985555198</v>
      </c>
      <c r="F76" s="2">
        <f>IFERROR(F74-E74,"")</f>
        <v>-0.0025179993350650243</v>
      </c>
      <c r="G76" s="2">
        <f>IFERROR(G74-F74,"")</f>
        <v>0.0046583571855220995</v>
      </c>
      <c r="H76" s="9">
        <f>IFERROR(H74-G74,"")</f>
        <v>0.006298931492089599</v>
      </c>
    </row>
    <row r="77">
      <c r="B77" s="1"/>
      <c r="C77" s="2"/>
      <c r="D77" s="2"/>
      <c r="E77" s="2"/>
      <c r="F77" s="2"/>
      <c r="G77" s="2"/>
      <c r="H77" s="9"/>
    </row>
    <row r="78">
      <c r="B78" s="8" t="s">
        <v>104</v>
      </c>
      <c r="C78" s="3">
        <f>IF(C21="","",C21)</f>
        <v>1506.108</v>
      </c>
      <c r="D78" s="3">
        <f>IF(D21="","",D21)</f>
        <v>388.7039999999999</v>
      </c>
      <c r="E78" s="3">
        <f>IF(E21="","",E21)</f>
        <v>396.176</v>
      </c>
      <c r="F78" s="3">
        <f>IF(F21="","",F21)</f>
        <v>399.683</v>
      </c>
      <c r="G78" s="3">
        <f>IF(G21="","",G21)</f>
        <v>407.24</v>
      </c>
      <c r="H78" s="4">
        <f>IF(H21="","",H21)</f>
        <v>415.00000000000006</v>
      </c>
    </row>
    <row r="79">
      <c r="B79" s="1" t="s">
        <v>32</v>
      </c>
      <c r="C79" s="15" t="str">
        <f>IF(C22="","",C22)</f>
        <v/>
      </c>
      <c r="D79" s="15">
        <f>IF(D22="","",D22)</f>
        <v>0.07228689655172382</v>
      </c>
      <c r="E79" s="15">
        <f>IF(E22="","",E22)</f>
        <v>0.07878728467876761</v>
      </c>
      <c r="F79" s="15">
        <f>IF(F22="","",F22)</f>
        <v>0.08121495099564191</v>
      </c>
      <c r="G79" s="15">
        <f>IF(G22="","",G22)</f>
        <v>0.07000000000000006</v>
      </c>
      <c r="H79" s="14">
        <f>IF(H22="","",H22)</f>
        <v>0.06765044867045411</v>
      </c>
    </row>
    <row r="80">
      <c r="B80" s="1" t="s">
        <v>33</v>
      </c>
      <c r="C80" s="15" t="str">
        <f>IF(C23="","",C23)</f>
        <v/>
      </c>
      <c r="D80" s="15">
        <f>IF(D23="","",D23)</f>
        <v>0</v>
      </c>
      <c r="E80" s="15">
        <f>IF(E23="","",E23)</f>
        <v>0</v>
      </c>
      <c r="F80" s="15">
        <f>IF(F23="","",F23)</f>
        <v>0</v>
      </c>
      <c r="G80" s="15">
        <f>IF(G23="","",G23)</f>
        <v>0.00025527092207777713</v>
      </c>
      <c r="H80" s="14">
        <f>IF(H23="","",H23)</f>
        <v>0</v>
      </c>
    </row>
    <row r="81">
      <c r="B81" s="1" t="s">
        <v>34</v>
      </c>
      <c r="C81" s="15" t="str">
        <f>IF(C24="","",C24)</f>
        <v/>
      </c>
      <c r="D81" s="15">
        <f>IF(D24="","",D24)</f>
        <v>0</v>
      </c>
      <c r="E81" s="15">
        <f>IF(E24="","",E24)</f>
        <v>0</v>
      </c>
      <c r="F81" s="15">
        <f>IF(F24="","",F24)</f>
        <v>0</v>
      </c>
      <c r="G81" s="15">
        <f>IF(G24="","",G24)</f>
        <v>0</v>
      </c>
      <c r="H81" s="14">
        <f>IF(H24="","",H24)</f>
        <v>0</v>
      </c>
    </row>
    <row r="82">
      <c r="B82" s="1" t="s">
        <v>35</v>
      </c>
      <c r="C82" s="15" t="str">
        <f>IF(C25="","",C25)</f>
        <v/>
      </c>
      <c r="D82" s="15">
        <f>IF(D25="","",D25)</f>
        <v>0.07228689655172382</v>
      </c>
      <c r="E82" s="15">
        <f>IF(E25="","",E25)</f>
        <v>0.07878728467876761</v>
      </c>
      <c r="F82" s="15">
        <f>IF(F25="","",F25)</f>
        <v>0.08121495099564191</v>
      </c>
      <c r="G82" s="15">
        <f>IF(G25="","",G25)</f>
        <v>0.0702731398866232</v>
      </c>
      <c r="H82" s="14">
        <f>IF(H25="","",H25)</f>
        <v>0.06765044867045411</v>
      </c>
    </row>
    <row r="83">
      <c r="B83" s="1" t="s">
        <v>36</v>
      </c>
      <c r="C83" s="15" t="str">
        <f>IF(C26="","",C26)</f>
        <v/>
      </c>
      <c r="D83" s="15" t="str">
        <f>IF(D26="","",D26)</f>
        <v/>
      </c>
      <c r="E83" s="15">
        <f>IF(E26="","",E26)</f>
        <v>0.01922285337943541</v>
      </c>
      <c r="F83" s="15">
        <f>IF(F26="","",F26)</f>
        <v>0.008852126327692833</v>
      </c>
      <c r="G83" s="15">
        <f>IF(G26="","",G26)</f>
        <v>0.018907484181213574</v>
      </c>
      <c r="H83" s="14">
        <f>IF(H26="","",H26)</f>
        <v>0.019055102642176802</v>
      </c>
    </row>
    <row r="84">
      <c r="B84" s="1" t="s">
        <v>105</v>
      </c>
      <c r="C84" s="2"/>
      <c r="D84" s="5">
        <f>D78-Inputs!G185</f>
        <v>8.202999999999918</v>
      </c>
      <c r="E84" s="2">
        <f>E78-D78</f>
        <v>7.472000000000094</v>
      </c>
      <c r="F84" s="2">
        <f>F78-E78</f>
        <v>3.507000000000005</v>
      </c>
      <c r="G84" s="2">
        <f>G78-F78</f>
        <v>7.557000000000016</v>
      </c>
      <c r="H84" s="9">
        <f>H78-G78</f>
        <v>7.760000000000048</v>
      </c>
    </row>
    <row r="85">
      <c r="B85" s="8" t="s">
        <v>75</v>
      </c>
      <c r="C85" s="3">
        <f>IF(C29="","",C29)</f>
        <v>305.963</v>
      </c>
      <c r="D85" s="3">
        <f>IF(D29="","",D29)</f>
        <v>69.47300000000001</v>
      </c>
      <c r="E85" s="3">
        <f>IF(E29="","",E29)</f>
        <v>78.533</v>
      </c>
      <c r="F85" s="3">
        <f>IF(F29="","",F29)</f>
        <v>74.201</v>
      </c>
      <c r="G85" s="3">
        <f>IF(G29="","",G29)</f>
        <v>63.587</v>
      </c>
      <c r="H85" s="4">
        <f>IF(H29="","",H29)</f>
        <v>74.53400000000002</v>
      </c>
    </row>
    <row r="86">
      <c r="B86" s="1" t="s">
        <v>96</v>
      </c>
      <c r="C86" s="15"/>
      <c r="D86" s="15"/>
      <c r="E86" s="16">
        <f>E85/Inputs!E208-1</f>
        <v>-0.0399154013545564</v>
      </c>
      <c r="F86" s="16">
        <f>F85/Inputs!F208-1</f>
        <v>0.01468677779753036</v>
      </c>
      <c r="G86" s="16">
        <f>G85/Inputs!G208-1</f>
        <v>-0.22041316741249306</v>
      </c>
      <c r="H86" s="14">
        <f>H85/D85-1</f>
        <v>0.07284844471953145</v>
      </c>
    </row>
    <row r="87">
      <c r="B87" s="1" t="s">
        <v>97</v>
      </c>
      <c r="C87" s="2"/>
      <c r="D87" s="2"/>
      <c r="E87" s="2">
        <f>IFERROR(E85-D85,"")</f>
        <v>9.059999999999988</v>
      </c>
      <c r="F87" s="2">
        <f>IFERROR(F85-E85,"")</f>
        <v>-4.332000000000008</v>
      </c>
      <c r="G87" s="2">
        <f>IFERROR(G85-F85,"")</f>
        <v>-10.61399999999999</v>
      </c>
      <c r="H87" s="9">
        <f>IFERROR(H85-G85,"")</f>
        <v>10.947000000000017</v>
      </c>
    </row>
    <row r="88">
      <c r="B88" s="1" t="s">
        <v>76</v>
      </c>
      <c r="C88" s="15">
        <f>IF(C30="","",C30)</f>
        <v>0.20314811421226103</v>
      </c>
      <c r="D88" s="15">
        <f>IF(D30="","",D30)</f>
        <v>0.1787298304108011</v>
      </c>
      <c r="E88" s="15">
        <f>IF(E30="","",E30)</f>
        <v>0.19822755542990994</v>
      </c>
      <c r="F88" s="15">
        <f>IF(F30="","",F30)</f>
        <v>0.18564962732965873</v>
      </c>
      <c r="G88" s="15">
        <f>IF(G30="","",G30)</f>
        <v>0.15614134171495925</v>
      </c>
      <c r="H88" s="14">
        <f>IF(H30="","",H30)</f>
        <v>0.17960000000000004</v>
      </c>
    </row>
    <row r="89">
      <c r="B89" s="1" t="s">
        <v>102</v>
      </c>
      <c r="C89" s="2"/>
      <c r="D89" s="2"/>
      <c r="E89" s="5">
        <f>IFERROR((E88-D88)*Inputs!$H$85,"")</f>
        <v>194.97725019108847</v>
      </c>
      <c r="F89" s="5">
        <f>IFERROR((F88-E88)*Inputs!$H$85,"")</f>
        <v>-125.77928100251212</v>
      </c>
      <c r="G89" s="5">
        <f>IFERROR((G88-F88)*Inputs!$H$85,"")</f>
        <v>-295.0828561469948</v>
      </c>
      <c r="H89" s="31">
        <f>IFERROR((H88-G88)*Inputs!$H$85,"")</f>
        <v>234.5865828504079</v>
      </c>
    </row>
    <row r="90">
      <c r="B90" s="1"/>
      <c r="C90" s="2"/>
      <c r="D90" s="2"/>
      <c r="E90" s="2"/>
      <c r="F90" s="2"/>
      <c r="G90" s="2"/>
      <c r="H90" s="9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J9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106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58</v>
      </c>
      <c r="D10" s="5">
        <f>Inputs!D198</f>
        <v>581.9</v>
      </c>
      <c r="E10" s="2">
        <f>D14</f>
        <v>591.6</v>
      </c>
      <c r="F10" s="2">
        <f>E14</f>
        <v>591</v>
      </c>
      <c r="G10" s="2">
        <f>F14</f>
        <v>595.2</v>
      </c>
      <c r="H10" s="9">
        <f>G14</f>
        <v>608.1</v>
      </c>
      <c r="I10" s="1"/>
      <c r="J10" s="1"/>
    </row>
    <row r="11">
      <c r="A11" s="1"/>
      <c r="B11" s="1" t="s">
        <v>59</v>
      </c>
      <c r="C11" s="2"/>
      <c r="D11" s="2"/>
      <c r="E11" s="2"/>
      <c r="F11" s="2"/>
      <c r="G11" s="2"/>
      <c r="H11" s="9"/>
      <c r="I11" s="1"/>
      <c r="J11" s="1" t="s">
        <v>60</v>
      </c>
    </row>
    <row r="12">
      <c r="A12" s="1"/>
      <c r="B12" s="1" t="s">
        <v>61</v>
      </c>
      <c r="C12" s="2"/>
      <c r="D12" s="2"/>
      <c r="E12" s="2"/>
      <c r="F12" s="2"/>
      <c r="G12" s="2"/>
      <c r="H12" s="9"/>
      <c r="I12" s="1"/>
      <c r="J12" s="1"/>
    </row>
    <row r="13">
      <c r="A13" s="1"/>
      <c r="B13" s="1" t="s">
        <v>62</v>
      </c>
      <c r="D13" s="2">
        <f>D14-D10</f>
        <v>9.700000000000045</v>
      </c>
      <c r="E13" s="2">
        <f>E14-E10</f>
        <v>-0.6000000000000227</v>
      </c>
      <c r="F13" s="2">
        <f>F14-F10</f>
        <v>4.2000000000000455</v>
      </c>
      <c r="G13" s="2">
        <f>G14-G10</f>
        <v>12.899999999999977</v>
      </c>
      <c r="H13" s="18">
        <v>6</v>
      </c>
      <c r="I13" s="1"/>
      <c r="J13" s="1"/>
    </row>
    <row r="14">
      <c r="A14" s="1"/>
      <c r="B14" s="8" t="s">
        <v>63</v>
      </c>
      <c r="C14" s="10">
        <f>Inputs!C112</f>
        <v>591.6</v>
      </c>
      <c r="D14" s="10">
        <f>Inputs!D112</f>
        <v>591.6</v>
      </c>
      <c r="E14" s="10">
        <f>Inputs!E112</f>
        <v>591</v>
      </c>
      <c r="F14" s="10">
        <f>Inputs!F112</f>
        <v>595.2</v>
      </c>
      <c r="G14" s="10">
        <f>Inputs!G112</f>
        <v>608.1</v>
      </c>
      <c r="H14" s="4">
        <f>SUM(H10,H13)</f>
        <v>614.1</v>
      </c>
      <c r="I14" s="1"/>
      <c r="J14" s="1"/>
    </row>
    <row r="15">
      <c r="A15" s="1"/>
      <c r="B15" s="1" t="s">
        <v>64</v>
      </c>
      <c r="C15" s="15"/>
      <c r="D15" s="16">
        <f>D14/Inputs!D206-1</f>
        <v>0.038441284886782556</v>
      </c>
      <c r="E15" s="16">
        <f>E14/Inputs!E206-1</f>
        <v>0.032494758909853205</v>
      </c>
      <c r="F15" s="16">
        <f>F14/Inputs!F206-1</f>
        <v>0.041834412742867366</v>
      </c>
      <c r="G15" s="16">
        <f>G14/Inputs!G206-1</f>
        <v>0.045024918370854206</v>
      </c>
      <c r="H15" s="14">
        <f>H14/D14-1</f>
        <v>0.038032454361054846</v>
      </c>
      <c r="I15" s="1"/>
      <c r="J15" s="1"/>
    </row>
    <row r="16">
      <c r="A16" s="1"/>
      <c r="B16" s="1" t="s">
        <v>65</v>
      </c>
      <c r="C16" s="2"/>
      <c r="D16" s="2">
        <f>D14-D10</f>
        <v>9.700000000000045</v>
      </c>
      <c r="E16" s="2">
        <f>E14-D14</f>
        <v>-0.6000000000000227</v>
      </c>
      <c r="F16" s="2">
        <f>F14-E14</f>
        <v>4.2000000000000455</v>
      </c>
      <c r="G16" s="2">
        <f>G14-F14</f>
        <v>12.899999999999977</v>
      </c>
      <c r="H16" s="9">
        <f>H14-G14</f>
        <v>6</v>
      </c>
      <c r="I16" s="1"/>
      <c r="J16" s="1"/>
    </row>
    <row r="17">
      <c r="A17" s="1"/>
      <c r="B17" s="1" t="s">
        <v>66</v>
      </c>
      <c r="D17" s="2">
        <f>AVERAGE(D10,D14)</f>
        <v>586.75</v>
      </c>
      <c r="E17" s="2">
        <f>AVERAGE(E10,E14)</f>
        <v>591.3</v>
      </c>
      <c r="F17" s="2">
        <f>AVERAGE(F10,F14)</f>
        <v>593.1</v>
      </c>
      <c r="G17" s="2">
        <f>AVERAGE(G10,G14)</f>
        <v>601.6500000000001</v>
      </c>
      <c r="H17" s="9">
        <f>AVERAGE(G14,H14)</f>
        <v>611.1</v>
      </c>
      <c r="I17" s="1"/>
      <c r="J17" s="1"/>
    </row>
    <row r="18">
      <c r="A18" s="1"/>
      <c r="B18" s="1" t="s">
        <v>67</v>
      </c>
      <c r="D18" s="23">
        <f>D19/(D17/Inputs!$H$84)</f>
        <v>1.0050685982104814</v>
      </c>
      <c r="E18" s="23">
        <f>E19/(E17/Inputs!$H$84)</f>
        <v>1.0114459665144597</v>
      </c>
      <c r="F18" s="23">
        <f>F19/(F17/Inputs!$H$84)</f>
        <v>1.0056988703422693</v>
      </c>
      <c r="G18" s="23">
        <f>G19/(G17/Inputs!$H$84)</f>
        <v>1.0101554059669242</v>
      </c>
      <c r="H18" s="33">
        <v>0.9752904598265424</v>
      </c>
      <c r="I18" s="1"/>
      <c r="J18" s="1" t="s">
        <v>107</v>
      </c>
    </row>
    <row r="19">
      <c r="A19" s="1"/>
      <c r="B19" s="8" t="s">
        <v>69</v>
      </c>
      <c r="C19" s="10">
        <f>Inputs!C151</f>
        <v>580.284</v>
      </c>
      <c r="D19" s="10">
        <f>Inputs!D151</f>
        <v>147.43099999999998</v>
      </c>
      <c r="E19" s="10">
        <f>Inputs!E151</f>
        <v>149.517</v>
      </c>
      <c r="F19" s="10">
        <f>Inputs!F151</f>
        <v>149.12</v>
      </c>
      <c r="G19" s="10">
        <f>Inputs!G151</f>
        <v>151.94</v>
      </c>
      <c r="H19" s="28">
        <f>H17/Inputs!$H$84*H18</f>
        <v>149.00000000000003</v>
      </c>
      <c r="I19" s="1"/>
      <c r="J19" s="1"/>
    </row>
    <row r="20">
      <c r="A20" s="1"/>
      <c r="B20" s="1" t="s">
        <v>70</v>
      </c>
      <c r="C20" s="2"/>
      <c r="D20" s="2"/>
      <c r="E20" s="2"/>
      <c r="F20" s="2"/>
      <c r="G20" s="2"/>
      <c r="H20" s="9"/>
      <c r="I20" s="1"/>
      <c r="J20" s="1"/>
    </row>
    <row r="21">
      <c r="A21" s="1"/>
      <c r="B21" s="8" t="s">
        <v>71</v>
      </c>
      <c r="C21" s="3">
        <f>C19</f>
        <v>580.284</v>
      </c>
      <c r="D21" s="3">
        <f>D19</f>
        <v>147.43099999999998</v>
      </c>
      <c r="E21" s="3">
        <f>E19</f>
        <v>149.517</v>
      </c>
      <c r="F21" s="3">
        <f>F19</f>
        <v>149.12</v>
      </c>
      <c r="G21" s="3">
        <f>G19</f>
        <v>151.94</v>
      </c>
      <c r="H21" s="4">
        <f>H19</f>
        <v>149.00000000000003</v>
      </c>
      <c r="I21" s="1"/>
      <c r="J21" s="1"/>
    </row>
    <row r="22">
      <c r="A22" s="1"/>
      <c r="B22" s="1" t="s">
        <v>32</v>
      </c>
      <c r="D22" s="29">
        <f>(1+D25)/((1+D23)*(1+D24))-1</f>
        <v>0.03026554856743524</v>
      </c>
      <c r="E22" s="15">
        <f>(1+E25)/((1+E23)*(1+E24))-1</f>
        <v>0.04029918246651598</v>
      </c>
      <c r="F22" s="15">
        <f>(1+F25)/((1+F23)*(1+F24))-1</f>
        <v>0.03998270415030647</v>
      </c>
      <c r="G22" s="15">
        <f>(1+G25)/((1+G23)*(1+G24))-1</f>
        <v>0.052999999999999936</v>
      </c>
      <c r="H22" s="14">
        <f>(1+H25)/((1+H23)*(1+H24))-1</f>
        <v>0.010642266551810886</v>
      </c>
      <c r="I22" s="1"/>
      <c r="J22" s="1"/>
    </row>
    <row r="23">
      <c r="A23" s="1"/>
      <c r="B23" s="1" t="s">
        <v>33</v>
      </c>
      <c r="D23" s="26">
        <v>0</v>
      </c>
      <c r="E23" s="26">
        <v>0</v>
      </c>
      <c r="F23" s="26">
        <v>0</v>
      </c>
      <c r="G23" s="16">
        <f>(1+G25)/(1+Inputs!G193)-1</f>
        <v>-0.009938880439746223</v>
      </c>
      <c r="H23" s="30">
        <v>0</v>
      </c>
      <c r="I23" s="1"/>
      <c r="J23" s="1"/>
    </row>
    <row r="24">
      <c r="A24" s="1"/>
      <c r="B24" s="1" t="s">
        <v>34</v>
      </c>
      <c r="D24" s="26">
        <v>0</v>
      </c>
      <c r="E24" s="26">
        <v>0</v>
      </c>
      <c r="F24" s="26">
        <v>0</v>
      </c>
      <c r="G24" s="26">
        <v>0</v>
      </c>
      <c r="H24" s="30">
        <v>0</v>
      </c>
      <c r="I24" s="1"/>
      <c r="J24" s="1"/>
    </row>
    <row r="25">
      <c r="A25" s="1"/>
      <c r="B25" s="1" t="s">
        <v>35</v>
      </c>
      <c r="D25" s="20">
        <f>D21/Inputs!D186-1</f>
        <v>0.03026554856743524</v>
      </c>
      <c r="E25" s="16">
        <f>E21/Inputs!E186-1</f>
        <v>0.04029918246651598</v>
      </c>
      <c r="F25" s="16">
        <f>F21/Inputs!F186-1</f>
        <v>0.03998270415030647</v>
      </c>
      <c r="G25" s="16">
        <f>G21/Inputs!G186-1</f>
        <v>0.04253435889694712</v>
      </c>
      <c r="H25" s="22">
        <f>H21/D21-1</f>
        <v>0.010642266551810886</v>
      </c>
      <c r="I25" s="1"/>
      <c r="J25" s="1"/>
    </row>
    <row r="26">
      <c r="A26" s="1"/>
      <c r="B26" s="1" t="s">
        <v>36</v>
      </c>
      <c r="E26" s="15">
        <f>E21/D21-1</f>
        <v>0.014148991731725458</v>
      </c>
      <c r="F26" s="15">
        <f>F21/E21-1</f>
        <v>-0.0026552164636796105</v>
      </c>
      <c r="G26" s="15">
        <f>G21/F21-1</f>
        <v>0.018910944206008473</v>
      </c>
      <c r="H26" s="14">
        <f>H21/G21-1</f>
        <v>-0.019349743319731272</v>
      </c>
      <c r="I26" s="1"/>
      <c r="J26" s="1"/>
    </row>
    <row r="27">
      <c r="A27" s="1"/>
      <c r="B27" s="1" t="s">
        <v>72</v>
      </c>
      <c r="C27" s="16">
        <f>C21/'Revenue summary'!C10</f>
        <v>0.24993410137534305</v>
      </c>
      <c r="D27" s="16">
        <f>D21/'Revenue summary'!D10</f>
        <v>0.2469940576410494</v>
      </c>
      <c r="E27" s="16">
        <f>E21/'Revenue summary'!E10</f>
        <v>0.24606950714343315</v>
      </c>
      <c r="F27" s="16">
        <f>F21/'Revenue summary'!F10</f>
        <v>0.2440513306460192</v>
      </c>
      <c r="G27" s="16">
        <f>G21/'Revenue summary'!G10</f>
        <v>0.2439165347605945</v>
      </c>
      <c r="H27" s="19">
        <f>H21/'Revenue summary'!H10</f>
        <v>0.23745019920318725</v>
      </c>
      <c r="I27" s="1"/>
      <c r="J27" s="1"/>
    </row>
    <row r="28">
      <c r="A28" s="1"/>
      <c r="B28" s="1" t="s">
        <v>73</v>
      </c>
      <c r="C28" s="2"/>
      <c r="D28" s="2"/>
      <c r="E28" s="2"/>
      <c r="F28" s="2"/>
      <c r="G28" s="2"/>
      <c r="H28" s="35">
        <v>0.4303</v>
      </c>
      <c r="I28" s="1"/>
      <c r="J28" s="1" t="s">
        <v>74</v>
      </c>
    </row>
    <row r="29">
      <c r="A29" s="1"/>
      <c r="B29" s="8" t="s">
        <v>75</v>
      </c>
      <c r="C29" s="10">
        <f>Inputs!C170</f>
        <v>274.002</v>
      </c>
      <c r="D29" s="10">
        <f>Inputs!D170</f>
        <v>65.369</v>
      </c>
      <c r="E29" s="10">
        <f>Inputs!E170</f>
        <v>68.154</v>
      </c>
      <c r="F29" s="10">
        <f>Inputs!F170</f>
        <v>66.242</v>
      </c>
      <c r="G29" s="10">
        <f>Inputs!G170</f>
        <v>58.182</v>
      </c>
      <c r="H29" s="4">
        <f>H21*H28</f>
        <v>64.11470000000001</v>
      </c>
      <c r="I29" s="1"/>
      <c r="J29" s="1"/>
    </row>
    <row r="30">
      <c r="A30" s="1"/>
      <c r="B30" s="1" t="s">
        <v>76</v>
      </c>
      <c r="C30" s="15">
        <f>C29/C21</f>
        <v>0.4721860330458879</v>
      </c>
      <c r="D30" s="15">
        <f>D29/D21</f>
        <v>0.4433870759880894</v>
      </c>
      <c r="E30" s="15">
        <f>E29/E21</f>
        <v>0.4558277654046028</v>
      </c>
      <c r="F30" s="15">
        <f>F29/F21</f>
        <v>0.4442194206008584</v>
      </c>
      <c r="G30" s="15">
        <f>G29/G21</f>
        <v>0.38292747137027777</v>
      </c>
      <c r="H30" s="14">
        <f>H29/H21</f>
        <v>0.4303</v>
      </c>
      <c r="I30" s="1"/>
      <c r="J30" s="1"/>
    </row>
    <row r="31">
      <c r="A31" s="1"/>
      <c r="B31" s="1" t="s">
        <v>77</v>
      </c>
      <c r="C31" s="2"/>
      <c r="D31" s="2"/>
      <c r="E31" s="5">
        <f>(E30-D30)*Inputs!$H$85</f>
        <v>124.40689416513383</v>
      </c>
      <c r="F31" s="5">
        <f>(F30-E30)*Inputs!$H$85</f>
        <v>-116.08344803744397</v>
      </c>
      <c r="G31" s="5">
        <f>(G30-F30)*Inputs!$H$85</f>
        <v>-612.9194923058062</v>
      </c>
      <c r="H31" s="31">
        <f>(H30-G30)*Inputs!$H$85</f>
        <v>473.72528629722245</v>
      </c>
      <c r="I31" s="1"/>
      <c r="J31" s="1"/>
    </row>
    <row r="32">
      <c r="A32" s="1"/>
      <c r="B32" s="1"/>
      <c r="C32" s="2"/>
      <c r="D32" s="2"/>
      <c r="E32" s="2"/>
      <c r="F32" s="2"/>
      <c r="G32" s="2"/>
      <c r="H32" s="9"/>
      <c r="I32" s="1"/>
      <c r="J32" s="1"/>
    </row>
    <row r="33">
      <c r="A33" s="1"/>
      <c r="B33" s="1" t="s">
        <v>78</v>
      </c>
      <c r="C33" s="2"/>
      <c r="D33" s="2"/>
      <c r="E33" s="2"/>
      <c r="F33" s="2"/>
      <c r="G33" s="2"/>
      <c r="H33" s="9"/>
      <c r="I33" s="1"/>
      <c r="J33" s="1"/>
    </row>
    <row r="34">
      <c r="A34" s="1"/>
      <c r="B34" s="1" t="s">
        <v>79</v>
      </c>
      <c r="C34" s="2"/>
      <c r="D34" s="2"/>
      <c r="E34" s="2"/>
      <c r="F34" s="2"/>
      <c r="G34" s="2"/>
      <c r="H34" s="9"/>
      <c r="I34" s="1"/>
      <c r="J34" s="1"/>
    </row>
    <row r="35">
      <c r="A35" s="1"/>
      <c r="B35" s="1" t="s">
        <v>80</v>
      </c>
      <c r="C35" s="2"/>
      <c r="D35" s="2"/>
      <c r="E35" s="2"/>
      <c r="F35" s="2"/>
      <c r="G35" s="2"/>
      <c r="H35" s="9"/>
      <c r="I35" s="1"/>
      <c r="J35" s="1"/>
    </row>
    <row r="36">
      <c r="A36" s="1"/>
      <c r="B36" s="1" t="s">
        <v>81</v>
      </c>
      <c r="C36" s="2"/>
      <c r="D36" s="2"/>
      <c r="E36" s="2"/>
      <c r="F36" s="2"/>
      <c r="G36" s="2"/>
      <c r="H36" s="9"/>
      <c r="I36" s="1"/>
      <c r="J36" s="1"/>
    </row>
    <row r="37">
      <c r="A37" s="1"/>
      <c r="B37" s="1" t="s">
        <v>82</v>
      </c>
      <c r="C37" s="2"/>
      <c r="D37" s="2"/>
      <c r="E37" s="2"/>
      <c r="F37" s="2"/>
      <c r="G37" s="2"/>
      <c r="H37" s="9"/>
      <c r="I37" s="1"/>
      <c r="J37" s="1"/>
    </row>
    <row r="38">
      <c r="A38" s="1"/>
      <c r="B38" s="1" t="s">
        <v>83</v>
      </c>
      <c r="C38" s="2"/>
      <c r="D38" s="2"/>
      <c r="E38" s="2"/>
      <c r="F38" s="2"/>
      <c r="G38" s="2"/>
      <c r="H38" s="9"/>
      <c r="I38" s="1"/>
      <c r="J38" s="1"/>
    </row>
    <row r="39">
      <c r="A39" s="1"/>
      <c r="B39" s="1" t="s">
        <v>84</v>
      </c>
      <c r="C39" s="2"/>
      <c r="D39" s="2"/>
      <c r="E39" s="2"/>
      <c r="F39" s="2"/>
      <c r="G39" s="2"/>
      <c r="H39" s="9"/>
      <c r="I39" s="1"/>
      <c r="J39" s="1"/>
    </row>
    <row r="40">
      <c r="A40" s="1"/>
      <c r="B40" s="1" t="s">
        <v>85</v>
      </c>
      <c r="C40" s="15"/>
      <c r="D40" s="15"/>
      <c r="E40" s="15"/>
      <c r="F40" s="15"/>
      <c r="G40" s="15"/>
      <c r="H40" s="14">
        <f>H10/D10-1</f>
        <v>0.045024918370854206</v>
      </c>
      <c r="I40" s="1"/>
      <c r="J40" s="1"/>
    </row>
    <row r="41">
      <c r="A41" s="1"/>
      <c r="B41" s="1" t="s">
        <v>86</v>
      </c>
      <c r="C41" s="1"/>
      <c r="D41" s="1"/>
      <c r="E41" s="1"/>
      <c r="F41" s="1"/>
      <c r="G41" s="1"/>
      <c r="H41" s="9">
        <f>H10-G10</f>
        <v>12.899999999999977</v>
      </c>
      <c r="I41" s="1"/>
      <c r="J41" s="1"/>
    </row>
    <row r="42">
      <c r="A42" s="1"/>
      <c r="B42" s="1" t="s">
        <v>87</v>
      </c>
      <c r="C42" s="1"/>
      <c r="D42" s="1"/>
      <c r="E42" s="25">
        <f>E13/(Inputs!E206-Inputs!D206)-1</f>
        <v>-1.2222222222222363</v>
      </c>
      <c r="F42" s="25">
        <f>F13/(Inputs!F206-Inputs!E206)-1</f>
        <v>-4.818181818181781</v>
      </c>
      <c r="G42" s="25">
        <f>G13/(Inputs!G206-Inputs!F206)-1</f>
        <v>0.21698113207546688</v>
      </c>
      <c r="H42" s="19">
        <f>H13/(D14-Inputs!G206)-1</f>
        <v>-0.38144329896907503</v>
      </c>
      <c r="I42" s="1"/>
      <c r="J42" s="1"/>
    </row>
    <row r="43">
      <c r="A43" s="1"/>
      <c r="B43" s="1" t="s">
        <v>88</v>
      </c>
      <c r="C43" s="1"/>
      <c r="D43" s="1"/>
      <c r="E43" s="2">
        <f>E13-D13</f>
        <v>-10.300000000000068</v>
      </c>
      <c r="F43" s="2">
        <f>F13-E13</f>
        <v>4.800000000000068</v>
      </c>
      <c r="G43" s="2">
        <f>G13-F13</f>
        <v>8.699999999999932</v>
      </c>
      <c r="H43" s="9">
        <f>H13-G13</f>
        <v>-6.899999999999977</v>
      </c>
      <c r="I43" s="1"/>
      <c r="J43" s="1"/>
    </row>
    <row r="44">
      <c r="A44" s="1"/>
      <c r="B44" s="1" t="s">
        <v>89</v>
      </c>
      <c r="C44" s="1"/>
      <c r="D44" s="1"/>
      <c r="E44" s="1"/>
      <c r="F44" s="1"/>
      <c r="G44" s="1"/>
      <c r="H44" s="9">
        <f>H17-G17</f>
        <v>9.449999999999932</v>
      </c>
      <c r="I44" s="1"/>
      <c r="J44" s="1"/>
    </row>
    <row r="45">
      <c r="A45" s="1"/>
      <c r="B45" s="1" t="s">
        <v>90</v>
      </c>
      <c r="C45" s="1"/>
      <c r="D45" s="1"/>
      <c r="E45" s="1"/>
      <c r="F45" s="1"/>
      <c r="G45" s="1"/>
      <c r="H45" s="32">
        <f>(H18-G18)*Inputs!$H$85</f>
        <v>-348.64946140381824</v>
      </c>
      <c r="I45" s="1"/>
      <c r="J45" s="1"/>
    </row>
    <row r="46">
      <c r="A46" s="1"/>
      <c r="B46" s="1" t="s">
        <v>91</v>
      </c>
      <c r="C46" s="1"/>
      <c r="D46" s="1"/>
      <c r="E46" s="1"/>
      <c r="F46" s="1"/>
      <c r="G46" s="1"/>
      <c r="H46" s="9">
        <f>H10-D10</f>
        <v>26.200000000000045</v>
      </c>
      <c r="I46" s="1"/>
      <c r="J46" s="1"/>
    </row>
    <row r="47">
      <c r="A47" s="1"/>
      <c r="B47" s="1" t="s">
        <v>92</v>
      </c>
      <c r="C47" s="15"/>
      <c r="D47" s="15"/>
      <c r="E47" s="15"/>
      <c r="F47" s="15"/>
      <c r="G47" s="15"/>
      <c r="H47" s="14">
        <f>H17/D17-1</f>
        <v>0.04149978696207923</v>
      </c>
      <c r="I47" s="1"/>
      <c r="J47" s="1"/>
    </row>
    <row r="48">
      <c r="A48" s="1"/>
      <c r="B48" s="1" t="s">
        <v>93</v>
      </c>
      <c r="C48" s="1"/>
      <c r="D48" s="1"/>
      <c r="E48" s="1"/>
      <c r="F48" s="1"/>
      <c r="G48" s="1"/>
      <c r="H48" s="32">
        <f>(H30-G30)*Inputs!$H$85</f>
        <v>473.72528629722245</v>
      </c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2" t="s">
        <v>94</v>
      </c>
      <c r="C51" s="12"/>
      <c r="D51" s="12"/>
      <c r="E51" s="12"/>
      <c r="F51" s="12"/>
      <c r="G51" s="12"/>
      <c r="H51" s="12"/>
      <c r="I51" s="1"/>
      <c r="J51" s="1" t="s">
        <v>95</v>
      </c>
    </row>
    <row r="52">
      <c r="A52" s="1"/>
      <c r="B52" s="1" t="s">
        <v>58</v>
      </c>
      <c r="C52" s="2" t="str">
        <f>IF(C10="","",C10)</f>
        <v/>
      </c>
      <c r="D52" s="2">
        <f>IF(D10="","",D10)</f>
        <v>581.9</v>
      </c>
      <c r="E52" s="2">
        <f>IF(E10="","",E10)</f>
        <v>591.6</v>
      </c>
      <c r="F52" s="2">
        <f>IF(F10="","",F10)</f>
        <v>591</v>
      </c>
      <c r="G52" s="2">
        <f>IF(G10="","",G10)</f>
        <v>595.2</v>
      </c>
      <c r="H52" s="9">
        <f>IF(H10="","",H10)</f>
        <v>608.1</v>
      </c>
      <c r="I52" s="1"/>
      <c r="J52" s="1"/>
    </row>
    <row r="53">
      <c r="A53" s="1"/>
      <c r="B53" s="1" t="s">
        <v>96</v>
      </c>
      <c r="C53" s="15"/>
      <c r="D53" s="15"/>
      <c r="E53" s="16">
        <f>E52/Inputs!D206-1</f>
        <v>0.038441284886782556</v>
      </c>
      <c r="F53" s="16">
        <f>F52/Inputs!E206-1</f>
        <v>0.032494758909853205</v>
      </c>
      <c r="G53" s="16">
        <f>G52/Inputs!F206-1</f>
        <v>0.041834412742867366</v>
      </c>
      <c r="H53" s="19">
        <f>H52/Inputs!G206-1</f>
        <v>0.045024918370854206</v>
      </c>
      <c r="I53" s="1"/>
      <c r="J53" s="1"/>
    </row>
    <row r="54">
      <c r="A54" s="1"/>
      <c r="B54" s="1" t="s">
        <v>97</v>
      </c>
      <c r="C54" s="2"/>
      <c r="D54" s="2"/>
      <c r="E54" s="2"/>
      <c r="F54" s="2"/>
      <c r="G54" s="2"/>
      <c r="H54" s="9">
        <f>H52-G52</f>
        <v>12.899999999999977</v>
      </c>
      <c r="I54" s="1"/>
      <c r="J54" s="1"/>
    </row>
    <row r="55">
      <c r="A55" s="1"/>
      <c r="B55" s="1"/>
      <c r="C55" s="2"/>
      <c r="D55" s="2"/>
      <c r="E55" s="2"/>
      <c r="F55" s="2"/>
      <c r="G55" s="2"/>
      <c r="H55" s="9"/>
      <c r="I55" s="1"/>
      <c r="J55" s="1"/>
    </row>
    <row r="56">
      <c r="A56" s="1"/>
      <c r="B56" s="1" t="s">
        <v>98</v>
      </c>
      <c r="C56" s="2"/>
      <c r="D56" s="2"/>
      <c r="E56" s="2"/>
      <c r="F56" s="2"/>
      <c r="G56" s="2"/>
      <c r="H56" s="9"/>
      <c r="I56" s="1"/>
      <c r="J56" s="1"/>
    </row>
    <row r="57">
      <c r="A57" s="1"/>
      <c r="B57" s="1"/>
      <c r="C57" s="2"/>
      <c r="D57" s="2"/>
      <c r="E57" s="2"/>
      <c r="F57" s="2"/>
      <c r="G57" s="2"/>
      <c r="H57" s="9"/>
      <c r="I57" s="1"/>
      <c r="J57" s="1"/>
    </row>
    <row r="58">
      <c r="A58" s="1"/>
      <c r="B58" s="1"/>
      <c r="C58" s="2"/>
      <c r="D58" s="2"/>
      <c r="E58" s="2"/>
      <c r="F58" s="2"/>
      <c r="G58" s="2"/>
      <c r="H58" s="9"/>
      <c r="I58" s="1"/>
      <c r="J58" s="1"/>
    </row>
    <row r="59">
      <c r="A59" s="1"/>
      <c r="B59" s="1" t="s">
        <v>99</v>
      </c>
      <c r="C59" s="2"/>
      <c r="D59" s="2"/>
      <c r="E59" s="2"/>
      <c r="F59" s="2"/>
      <c r="G59" s="2"/>
      <c r="H59" s="9"/>
      <c r="I59" s="1"/>
      <c r="J59" s="1"/>
    </row>
    <row r="60">
      <c r="A60" s="1"/>
      <c r="B60" s="1"/>
      <c r="C60" s="2"/>
      <c r="D60" s="2"/>
      <c r="E60" s="2"/>
      <c r="F60" s="2"/>
      <c r="G60" s="2"/>
      <c r="H60" s="9"/>
      <c r="I60" s="1"/>
      <c r="J60" s="1"/>
    </row>
    <row r="61">
      <c r="A61" s="1"/>
      <c r="B61" s="1"/>
      <c r="C61" s="2"/>
      <c r="D61" s="2"/>
      <c r="E61" s="2"/>
      <c r="F61" s="2"/>
      <c r="G61" s="2"/>
      <c r="H61" s="9"/>
      <c r="I61" s="1"/>
      <c r="J61" s="1"/>
    </row>
    <row r="62">
      <c r="A62" s="1"/>
      <c r="B62" s="1" t="s">
        <v>100</v>
      </c>
      <c r="C62" s="2" t="str">
        <f>IF(C13="","",C13)</f>
        <v/>
      </c>
      <c r="D62" s="2">
        <f>IF(D13="","",D13)</f>
        <v>9.700000000000045</v>
      </c>
      <c r="E62" s="2">
        <f>IF(E13="","",E13)</f>
        <v>-0.6000000000000227</v>
      </c>
      <c r="F62" s="2">
        <f>IF(F13="","",F13)</f>
        <v>4.2000000000000455</v>
      </c>
      <c r="G62" s="2">
        <f>IF(G13="","",G13)</f>
        <v>12.899999999999977</v>
      </c>
      <c r="H62" s="9">
        <f>IF(H13="","",H13)</f>
        <v>6</v>
      </c>
      <c r="I62" s="1"/>
      <c r="J62" s="1"/>
    </row>
    <row r="63">
      <c r="A63" s="1"/>
      <c r="B63" s="1" t="s">
        <v>96</v>
      </c>
      <c r="C63" s="15"/>
      <c r="D63" s="15"/>
      <c r="E63" s="16">
        <f>E62/(Inputs!E206-Inputs!D206)-1</f>
        <v>-1.2222222222222363</v>
      </c>
      <c r="F63" s="16">
        <f>F62/(Inputs!F206-Inputs!E206)-1</f>
        <v>-4.818181818181781</v>
      </c>
      <c r="G63" s="16">
        <f>G62/(Inputs!G206-Inputs!F206)-1</f>
        <v>0.21698113207546688</v>
      </c>
      <c r="H63" s="19">
        <f>H62/(D14-Inputs!G206)-1</f>
        <v>-0.38144329896907503</v>
      </c>
      <c r="I63" s="1"/>
      <c r="J63" s="1"/>
    </row>
    <row r="64">
      <c r="A64" s="1"/>
      <c r="B64" s="1" t="s">
        <v>97</v>
      </c>
      <c r="C64" s="2"/>
      <c r="D64" s="2"/>
      <c r="E64" s="2">
        <f>IFERROR(E62-D62,"")</f>
        <v>-10.300000000000068</v>
      </c>
      <c r="F64" s="2">
        <f>IFERROR(F62-E62,"")</f>
        <v>4.800000000000068</v>
      </c>
      <c r="G64" s="2">
        <f>IFERROR(G62-F62,"")</f>
        <v>8.699999999999932</v>
      </c>
      <c r="H64" s="9">
        <f>IFERROR(H62-G62,"")</f>
        <v>-6.899999999999977</v>
      </c>
      <c r="I64" s="1"/>
      <c r="J64" s="1"/>
    </row>
    <row r="65">
      <c r="A65" s="1"/>
      <c r="B65" s="1"/>
      <c r="C65" s="2"/>
      <c r="D65" s="2"/>
      <c r="E65" s="2"/>
      <c r="F65" s="2"/>
      <c r="G65" s="2"/>
      <c r="H65" s="9"/>
      <c r="I65" s="1"/>
      <c r="J65" s="1"/>
    </row>
    <row r="66">
      <c r="B66" s="8" t="s">
        <v>63</v>
      </c>
      <c r="C66" s="3">
        <f>IF(C14="","",C14)</f>
        <v>591.6</v>
      </c>
      <c r="D66" s="3">
        <f>IF(D14="","",D14)</f>
        <v>591.6</v>
      </c>
      <c r="E66" s="3">
        <f>IF(E14="","",E14)</f>
        <v>591</v>
      </c>
      <c r="F66" s="3">
        <f>IF(F14="","",F14)</f>
        <v>595.2</v>
      </c>
      <c r="G66" s="3">
        <f>IF(G14="","",G14)</f>
        <v>608.1</v>
      </c>
      <c r="H66" s="4">
        <f>IF(H14="","",H14)</f>
        <v>614.1</v>
      </c>
    </row>
    <row r="67">
      <c r="B67" s="1" t="s">
        <v>96</v>
      </c>
      <c r="C67" s="15"/>
      <c r="D67" s="16">
        <f>D66/Inputs!D206-1</f>
        <v>0.038441284886782556</v>
      </c>
      <c r="E67" s="16">
        <f>E66/Inputs!E206-1</f>
        <v>0.032494758909853205</v>
      </c>
      <c r="F67" s="16">
        <f>F66/Inputs!F206-1</f>
        <v>0.041834412742867366</v>
      </c>
      <c r="G67" s="16">
        <f>G66/Inputs!G206-1</f>
        <v>0.045024918370854206</v>
      </c>
      <c r="H67" s="14">
        <f>H66/D66-1</f>
        <v>0.038032454361054846</v>
      </c>
    </row>
    <row r="68">
      <c r="B68" s="1" t="s">
        <v>97</v>
      </c>
      <c r="C68" s="2"/>
      <c r="D68" s="2">
        <f>IFERROR(D66-D52,"")</f>
        <v>9.700000000000045</v>
      </c>
      <c r="E68" s="2">
        <f>IFERROR(E66-E52,"")</f>
        <v>-0.6000000000000227</v>
      </c>
      <c r="F68" s="2">
        <f>IFERROR(F66-F52,"")</f>
        <v>4.2000000000000455</v>
      </c>
      <c r="G68" s="2">
        <f>IFERROR(G66-G52,"")</f>
        <v>12.899999999999977</v>
      </c>
      <c r="H68" s="9">
        <f>IFERROR(H66-H52,"")</f>
        <v>6</v>
      </c>
    </row>
    <row r="69">
      <c r="B69" s="1"/>
      <c r="C69" s="2"/>
      <c r="D69" s="2"/>
      <c r="E69" s="2"/>
      <c r="F69" s="2"/>
      <c r="G69" s="2"/>
      <c r="H69" s="9"/>
    </row>
    <row r="70">
      <c r="B70" s="1" t="s">
        <v>66</v>
      </c>
      <c r="C70" s="2" t="str">
        <f>IF(C17="","",C17)</f>
        <v/>
      </c>
      <c r="D70" s="2">
        <f>IF(D17="","",D17)</f>
        <v>586.75</v>
      </c>
      <c r="E70" s="2">
        <f>IF(E17="","",E17)</f>
        <v>591.3</v>
      </c>
      <c r="F70" s="2">
        <f>IF(F17="","",F17)</f>
        <v>593.1</v>
      </c>
      <c r="G70" s="2">
        <f>IF(G17="","",G17)</f>
        <v>601.6500000000001</v>
      </c>
      <c r="H70" s="9">
        <f>IF(H17="","",H17)</f>
        <v>611.1</v>
      </c>
    </row>
    <row r="71">
      <c r="B71" s="1" t="s">
        <v>96</v>
      </c>
      <c r="C71" s="15"/>
      <c r="D71" s="15"/>
      <c r="E71" s="16">
        <f>E70/AVERAGE(Inputs!D206,Inputs!E206)-1</f>
        <v>0.03546099290780136</v>
      </c>
      <c r="F71" s="16">
        <f>F70/AVERAGE(Inputs!E206,Inputs!F206)-1</f>
        <v>0.03716009443035784</v>
      </c>
      <c r="G71" s="16">
        <f>G70/AVERAGE(Inputs!F206,Inputs!G206)-1</f>
        <v>0.04344432882414173</v>
      </c>
      <c r="H71" s="14">
        <f>H70/D70-1</f>
        <v>0.04149978696207923</v>
      </c>
    </row>
    <row r="72">
      <c r="B72" s="1" t="s">
        <v>97</v>
      </c>
      <c r="C72" s="2"/>
      <c r="D72" s="2"/>
      <c r="E72" s="2">
        <f>IFERROR(E70-D70,"")</f>
        <v>4.5499999999999545</v>
      </c>
      <c r="F72" s="2">
        <f>IFERROR(F70-E70,"")</f>
        <v>1.8000000000000682</v>
      </c>
      <c r="G72" s="2">
        <f>IFERROR(G70-F70,"")</f>
        <v>8.550000000000068</v>
      </c>
      <c r="H72" s="9">
        <f>IFERROR(H70-G70,"")</f>
        <v>9.449999999999932</v>
      </c>
    </row>
    <row r="73">
      <c r="B73" s="1"/>
      <c r="C73" s="2"/>
      <c r="D73" s="2"/>
      <c r="E73" s="2"/>
      <c r="F73" s="2"/>
      <c r="G73" s="2"/>
      <c r="H73" s="9"/>
    </row>
    <row r="74">
      <c r="B74" s="1" t="s">
        <v>101</v>
      </c>
      <c r="C74" s="17" t="str">
        <f>IF(C18="","",C18)</f>
        <v/>
      </c>
      <c r="D74" s="17">
        <f>IF(D18="","",D18)</f>
        <v>1.0050685982104814</v>
      </c>
      <c r="E74" s="17">
        <f>IF(E18="","",E18)</f>
        <v>1.0114459665144597</v>
      </c>
      <c r="F74" s="17">
        <f>IF(F18="","",F18)</f>
        <v>1.0056988703422693</v>
      </c>
      <c r="G74" s="17">
        <f>IF(G18="","",G18)</f>
        <v>1.0101554059669242</v>
      </c>
      <c r="H74" s="34">
        <f>IF(H18="","",H18)</f>
        <v>0.9752904598265424</v>
      </c>
    </row>
    <row r="75">
      <c r="B75" s="1" t="s">
        <v>102</v>
      </c>
      <c r="C75" s="2"/>
      <c r="D75" s="2"/>
      <c r="E75" s="5">
        <f>IFERROR((E74-D74)*Inputs!$H$85,"")</f>
        <v>63.77368303978281</v>
      </c>
      <c r="F75" s="5">
        <f>IFERROR((F74-E74)*Inputs!$H$85,"")</f>
        <v>-57.470961721903805</v>
      </c>
      <c r="G75" s="5">
        <f>IFERROR((G74-F74)*Inputs!$H$85,"")</f>
        <v>44.565356246548674</v>
      </c>
      <c r="H75" s="31">
        <f>IFERROR((H74-G74)*Inputs!$H$85,"")</f>
        <v>-348.64946140381824</v>
      </c>
    </row>
    <row r="76">
      <c r="B76" s="1" t="s">
        <v>103</v>
      </c>
      <c r="C76" s="2"/>
      <c r="D76" s="2"/>
      <c r="E76" s="2">
        <f>IFERROR(E74-D74,"")</f>
        <v>0.006377368303978281</v>
      </c>
      <c r="F76" s="2">
        <f>IFERROR(F74-E74,"")</f>
        <v>-0.00574709617219038</v>
      </c>
      <c r="G76" s="2">
        <f>IFERROR(G74-F74,"")</f>
        <v>0.004456535624654867</v>
      </c>
      <c r="H76" s="9">
        <f>IFERROR(H74-G74,"")</f>
        <v>-0.034864946140381825</v>
      </c>
    </row>
    <row r="77">
      <c r="B77" s="1"/>
      <c r="C77" s="2"/>
      <c r="D77" s="2"/>
      <c r="E77" s="2"/>
      <c r="F77" s="2"/>
      <c r="G77" s="2"/>
      <c r="H77" s="9"/>
    </row>
    <row r="78">
      <c r="B78" s="8" t="s">
        <v>104</v>
      </c>
      <c r="C78" s="3">
        <f>IF(C21="","",C21)</f>
        <v>580.284</v>
      </c>
      <c r="D78" s="3">
        <f>IF(D21="","",D21)</f>
        <v>147.43099999999998</v>
      </c>
      <c r="E78" s="3">
        <f>IF(E21="","",E21)</f>
        <v>149.517</v>
      </c>
      <c r="F78" s="3">
        <f>IF(F21="","",F21)</f>
        <v>149.12</v>
      </c>
      <c r="G78" s="3">
        <f>IF(G21="","",G21)</f>
        <v>151.94</v>
      </c>
      <c r="H78" s="4">
        <f>IF(H21="","",H21)</f>
        <v>149.00000000000003</v>
      </c>
    </row>
    <row r="79">
      <c r="B79" s="1" t="s">
        <v>32</v>
      </c>
      <c r="C79" s="15" t="str">
        <f>IF(C22="","",C22)</f>
        <v/>
      </c>
      <c r="D79" s="15">
        <f>IF(D22="","",D22)</f>
        <v>0.03026554856743524</v>
      </c>
      <c r="E79" s="15">
        <f>IF(E22="","",E22)</f>
        <v>0.04029918246651598</v>
      </c>
      <c r="F79" s="15">
        <f>IF(F22="","",F22)</f>
        <v>0.03998270415030647</v>
      </c>
      <c r="G79" s="15">
        <f>IF(G22="","",G22)</f>
        <v>0.052999999999999936</v>
      </c>
      <c r="H79" s="14">
        <f>IF(H22="","",H22)</f>
        <v>0.010642266551810886</v>
      </c>
    </row>
    <row r="80">
      <c r="B80" s="1" t="s">
        <v>33</v>
      </c>
      <c r="C80" s="15" t="str">
        <f>IF(C23="","",C23)</f>
        <v/>
      </c>
      <c r="D80" s="15">
        <f>IF(D23="","",D23)</f>
        <v>0</v>
      </c>
      <c r="E80" s="15">
        <f>IF(E23="","",E23)</f>
        <v>0</v>
      </c>
      <c r="F80" s="15">
        <f>IF(F23="","",F23)</f>
        <v>0</v>
      </c>
      <c r="G80" s="15">
        <f>IF(G23="","",G23)</f>
        <v>-0.009938880439746223</v>
      </c>
      <c r="H80" s="14">
        <f>IF(H23="","",H23)</f>
        <v>0</v>
      </c>
    </row>
    <row r="81">
      <c r="B81" s="1" t="s">
        <v>34</v>
      </c>
      <c r="C81" s="15" t="str">
        <f>IF(C24="","",C24)</f>
        <v/>
      </c>
      <c r="D81" s="15">
        <f>IF(D24="","",D24)</f>
        <v>0</v>
      </c>
      <c r="E81" s="15">
        <f>IF(E24="","",E24)</f>
        <v>0</v>
      </c>
      <c r="F81" s="15">
        <f>IF(F24="","",F24)</f>
        <v>0</v>
      </c>
      <c r="G81" s="15">
        <f>IF(G24="","",G24)</f>
        <v>0</v>
      </c>
      <c r="H81" s="14">
        <f>IF(H24="","",H24)</f>
        <v>0</v>
      </c>
    </row>
    <row r="82">
      <c r="B82" s="1" t="s">
        <v>35</v>
      </c>
      <c r="C82" s="15" t="str">
        <f>IF(C25="","",C25)</f>
        <v/>
      </c>
      <c r="D82" s="15">
        <f>IF(D25="","",D25)</f>
        <v>0.03026554856743524</v>
      </c>
      <c r="E82" s="15">
        <f>IF(E25="","",E25)</f>
        <v>0.04029918246651598</v>
      </c>
      <c r="F82" s="15">
        <f>IF(F25="","",F25)</f>
        <v>0.03998270415030647</v>
      </c>
      <c r="G82" s="15">
        <f>IF(G25="","",G25)</f>
        <v>0.04253435889694712</v>
      </c>
      <c r="H82" s="14">
        <f>IF(H25="","",H25)</f>
        <v>0.010642266551810886</v>
      </c>
    </row>
    <row r="83">
      <c r="B83" s="1" t="s">
        <v>36</v>
      </c>
      <c r="C83" s="15" t="str">
        <f>IF(C26="","",C26)</f>
        <v/>
      </c>
      <c r="D83" s="15" t="str">
        <f>IF(D26="","",D26)</f>
        <v/>
      </c>
      <c r="E83" s="15">
        <f>IF(E26="","",E26)</f>
        <v>0.014148991731725458</v>
      </c>
      <c r="F83" s="15">
        <f>IF(F26="","",F26)</f>
        <v>-0.0026552164636796105</v>
      </c>
      <c r="G83" s="15">
        <f>IF(G26="","",G26)</f>
        <v>0.018910944206008473</v>
      </c>
      <c r="H83" s="14">
        <f>IF(H26="","",H26)</f>
        <v>-0.019349743319731272</v>
      </c>
    </row>
    <row r="84">
      <c r="B84" s="1" t="s">
        <v>105</v>
      </c>
      <c r="C84" s="2"/>
      <c r="D84" s="5">
        <f>D78-Inputs!G186</f>
        <v>1.6899999999999693</v>
      </c>
      <c r="E84" s="2">
        <f>E78-D78</f>
        <v>2.0860000000000127</v>
      </c>
      <c r="F84" s="2">
        <f>F78-E78</f>
        <v>-0.39699999999999136</v>
      </c>
      <c r="G84" s="2">
        <f>G78-F78</f>
        <v>2.819999999999993</v>
      </c>
      <c r="H84" s="9">
        <f>H78-G78</f>
        <v>-2.9399999999999693</v>
      </c>
    </row>
    <row r="85">
      <c r="B85" s="8" t="s">
        <v>75</v>
      </c>
      <c r="C85" s="3">
        <f>IF(C29="","",C29)</f>
        <v>274.002</v>
      </c>
      <c r="D85" s="3">
        <f>IF(D29="","",D29)</f>
        <v>65.369</v>
      </c>
      <c r="E85" s="3">
        <f>IF(E29="","",E29)</f>
        <v>68.154</v>
      </c>
      <c r="F85" s="3">
        <f>IF(F29="","",F29)</f>
        <v>66.242</v>
      </c>
      <c r="G85" s="3">
        <f>IF(G29="","",G29)</f>
        <v>58.182</v>
      </c>
      <c r="H85" s="4">
        <f>IF(H29="","",H29)</f>
        <v>64.11470000000001</v>
      </c>
    </row>
    <row r="86">
      <c r="B86" s="1" t="s">
        <v>96</v>
      </c>
      <c r="C86" s="15"/>
      <c r="D86" s="15"/>
      <c r="E86" s="16">
        <f>E85/Inputs!E209-1</f>
        <v>-0.012804542425910337</v>
      </c>
      <c r="F86" s="16">
        <f>F85/Inputs!F209-1</f>
        <v>-0.06130257340437584</v>
      </c>
      <c r="G86" s="16">
        <f>G85/Inputs!G209-1</f>
        <v>-0.15711243426485288</v>
      </c>
      <c r="H86" s="14">
        <f>H85/D85-1</f>
        <v>-0.019187994309228906</v>
      </c>
    </row>
    <row r="87">
      <c r="B87" s="1" t="s">
        <v>97</v>
      </c>
      <c r="C87" s="2"/>
      <c r="D87" s="2"/>
      <c r="E87" s="2">
        <f>IFERROR(E85-D85,"")</f>
        <v>2.7849999999999966</v>
      </c>
      <c r="F87" s="2">
        <f>IFERROR(F85-E85,"")</f>
        <v>-1.911999999999992</v>
      </c>
      <c r="G87" s="2">
        <f>IFERROR(G85-F85,"")</f>
        <v>-8.060000000000002</v>
      </c>
      <c r="H87" s="9">
        <f>IFERROR(H85-G85,"")</f>
        <v>5.932700000000011</v>
      </c>
    </row>
    <row r="88">
      <c r="B88" s="1" t="s">
        <v>76</v>
      </c>
      <c r="C88" s="15">
        <f>IF(C30="","",C30)</f>
        <v>0.4721860330458879</v>
      </c>
      <c r="D88" s="15">
        <f>IF(D30="","",D30)</f>
        <v>0.4433870759880894</v>
      </c>
      <c r="E88" s="15">
        <f>IF(E30="","",E30)</f>
        <v>0.4558277654046028</v>
      </c>
      <c r="F88" s="15">
        <f>IF(F30="","",F30)</f>
        <v>0.4442194206008584</v>
      </c>
      <c r="G88" s="15">
        <f>IF(G30="","",G30)</f>
        <v>0.38292747137027777</v>
      </c>
      <c r="H88" s="14">
        <f>IF(H30="","",H30)</f>
        <v>0.4303</v>
      </c>
    </row>
    <row r="89">
      <c r="B89" s="1" t="s">
        <v>102</v>
      </c>
      <c r="C89" s="2"/>
      <c r="D89" s="2"/>
      <c r="E89" s="5">
        <f>IFERROR((E88-D88)*Inputs!$H$85,"")</f>
        <v>124.40689416513383</v>
      </c>
      <c r="F89" s="5">
        <f>IFERROR((F88-E88)*Inputs!$H$85,"")</f>
        <v>-116.08344803744397</v>
      </c>
      <c r="G89" s="5">
        <f>IFERROR((G88-F88)*Inputs!$H$85,"")</f>
        <v>-612.9194923058062</v>
      </c>
      <c r="H89" s="31">
        <f>IFERROR((H88-G88)*Inputs!$H$85,"")</f>
        <v>473.72528629722245</v>
      </c>
    </row>
    <row r="90">
      <c r="B90" s="1"/>
      <c r="C90" s="2"/>
      <c r="D90" s="2"/>
      <c r="E90" s="2"/>
      <c r="F90" s="2"/>
      <c r="G90" s="2"/>
      <c r="H90" s="9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J9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108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58</v>
      </c>
      <c r="D10" s="5">
        <f>Inputs!D199</f>
        <v>240.1</v>
      </c>
      <c r="E10" s="2">
        <f>D14</f>
        <v>243.9</v>
      </c>
      <c r="F10" s="2">
        <f>E14</f>
        <v>244.3</v>
      </c>
      <c r="G10" s="2">
        <f>F14</f>
        <v>249.1</v>
      </c>
      <c r="H10" s="9">
        <f>G14</f>
        <v>255.2</v>
      </c>
      <c r="I10" s="1"/>
      <c r="J10" s="1"/>
    </row>
    <row r="11">
      <c r="A11" s="1"/>
      <c r="B11" s="1" t="s">
        <v>59</v>
      </c>
      <c r="C11" s="2"/>
      <c r="D11" s="2"/>
      <c r="E11" s="2"/>
      <c r="F11" s="2"/>
      <c r="G11" s="2"/>
      <c r="H11" s="9"/>
      <c r="I11" s="1"/>
      <c r="J11" s="1" t="s">
        <v>60</v>
      </c>
    </row>
    <row r="12">
      <c r="A12" s="1"/>
      <c r="B12" s="1" t="s">
        <v>61</v>
      </c>
      <c r="C12" s="2"/>
      <c r="D12" s="2"/>
      <c r="E12" s="2"/>
      <c r="F12" s="2"/>
      <c r="G12" s="2"/>
      <c r="H12" s="9"/>
      <c r="I12" s="1"/>
      <c r="J12" s="1"/>
    </row>
    <row r="13">
      <c r="A13" s="1"/>
      <c r="B13" s="1" t="s">
        <v>62</v>
      </c>
      <c r="D13" s="2">
        <f>D14-D10</f>
        <v>3.8000000000000114</v>
      </c>
      <c r="E13" s="2">
        <f>E14-E10</f>
        <v>0.4000000000000057</v>
      </c>
      <c r="F13" s="2">
        <f>F14-F10</f>
        <v>4.799999999999983</v>
      </c>
      <c r="G13" s="2">
        <f>G14-G10</f>
        <v>6.099999999999994</v>
      </c>
      <c r="H13" s="18">
        <v>4.8</v>
      </c>
      <c r="I13" s="1"/>
      <c r="J13" s="1"/>
    </row>
    <row r="14">
      <c r="A14" s="1"/>
      <c r="B14" s="8" t="s">
        <v>63</v>
      </c>
      <c r="C14" s="10">
        <f>Inputs!C111</f>
        <v>243.9</v>
      </c>
      <c r="D14" s="10">
        <f>Inputs!D111</f>
        <v>243.9</v>
      </c>
      <c r="E14" s="10">
        <f>Inputs!E111</f>
        <v>244.3</v>
      </c>
      <c r="F14" s="10">
        <f>Inputs!F111</f>
        <v>249.1</v>
      </c>
      <c r="G14" s="10">
        <f>Inputs!G111</f>
        <v>255.2</v>
      </c>
      <c r="H14" s="4">
        <f>SUM(H10,H13)</f>
        <v>260</v>
      </c>
      <c r="I14" s="1"/>
      <c r="J14" s="1"/>
    </row>
    <row r="15">
      <c r="A15" s="1"/>
      <c r="B15" s="1" t="s">
        <v>64</v>
      </c>
      <c r="C15" s="15"/>
      <c r="D15" s="16">
        <f>D14/Inputs!D207-1</f>
        <v>0.05905340859748143</v>
      </c>
      <c r="E15" s="16">
        <f>E14/Inputs!E207-1</f>
        <v>0.06681222707423595</v>
      </c>
      <c r="F15" s="16">
        <f>F14/Inputs!F207-1</f>
        <v>0.06589644843816855</v>
      </c>
      <c r="G15" s="16">
        <f>G14/Inputs!G207-1</f>
        <v>0.06289046230737183</v>
      </c>
      <c r="H15" s="14">
        <f>H14/D14-1</f>
        <v>0.06601066010660106</v>
      </c>
      <c r="I15" s="1"/>
      <c r="J15" s="1"/>
    </row>
    <row r="16">
      <c r="A16" s="1"/>
      <c r="B16" s="1" t="s">
        <v>65</v>
      </c>
      <c r="C16" s="2"/>
      <c r="D16" s="2">
        <f>D14-D10</f>
        <v>3.8000000000000114</v>
      </c>
      <c r="E16" s="2">
        <f>E14-D14</f>
        <v>0.4000000000000057</v>
      </c>
      <c r="F16" s="2">
        <f>F14-E14</f>
        <v>4.799999999999983</v>
      </c>
      <c r="G16" s="2">
        <f>G14-F14</f>
        <v>6.099999999999994</v>
      </c>
      <c r="H16" s="9">
        <f>H14-G14</f>
        <v>4.800000000000011</v>
      </c>
      <c r="I16" s="1"/>
      <c r="J16" s="1"/>
    </row>
    <row r="17">
      <c r="A17" s="1"/>
      <c r="B17" s="1" t="s">
        <v>66</v>
      </c>
      <c r="D17" s="2">
        <f>AVERAGE(D10,D14)</f>
        <v>242</v>
      </c>
      <c r="E17" s="2">
        <f>AVERAGE(E10,E14)</f>
        <v>244.10000000000002</v>
      </c>
      <c r="F17" s="2">
        <f>AVERAGE(F10,F14)</f>
        <v>246.7</v>
      </c>
      <c r="G17" s="2">
        <f>AVERAGE(G10,G14)</f>
        <v>252.14999999999998</v>
      </c>
      <c r="H17" s="9">
        <f>AVERAGE(G14,H14)</f>
        <v>257.6</v>
      </c>
      <c r="I17" s="1"/>
      <c r="J17" s="1"/>
    </row>
    <row r="18">
      <c r="A18" s="1"/>
      <c r="B18" s="1" t="s">
        <v>67</v>
      </c>
      <c r="D18" s="23">
        <f>D19/(D17/Inputs!$H$84)</f>
        <v>1.0043966942148759</v>
      </c>
      <c r="E18" s="23">
        <f>E19/(E17/Inputs!$H$84)</f>
        <v>1.014797214256452</v>
      </c>
      <c r="F18" s="23">
        <f>F19/(F17/Inputs!$H$84)</f>
        <v>1.0087717875962707</v>
      </c>
      <c r="G18" s="23">
        <f>G19/(G17/Inputs!$H$84)</f>
        <v>1.0111124330755503</v>
      </c>
      <c r="H18" s="33">
        <v>0.986024844720497</v>
      </c>
      <c r="I18" s="1"/>
      <c r="J18" s="1" t="s">
        <v>109</v>
      </c>
    </row>
    <row r="19">
      <c r="A19" s="1"/>
      <c r="B19" s="8" t="s">
        <v>69</v>
      </c>
      <c r="C19" s="10">
        <f>Inputs!C107</f>
        <v>235.356</v>
      </c>
      <c r="D19" s="10">
        <f>Inputs!D107</f>
        <v>60.76599999999999</v>
      </c>
      <c r="E19" s="10">
        <f>Inputs!E107</f>
        <v>61.928</v>
      </c>
      <c r="F19" s="10">
        <f>Inputs!F107</f>
        <v>62.216</v>
      </c>
      <c r="G19" s="10">
        <f>Inputs!G107</f>
        <v>63.738</v>
      </c>
      <c r="H19" s="28">
        <f>H17/Inputs!$H$84*H18</f>
        <v>63.500000000000014</v>
      </c>
      <c r="I19" s="1"/>
      <c r="J19" s="1"/>
    </row>
    <row r="20">
      <c r="A20" s="1"/>
      <c r="B20" s="1" t="s">
        <v>70</v>
      </c>
      <c r="C20" s="2"/>
      <c r="D20" s="2"/>
      <c r="E20" s="2"/>
      <c r="F20" s="2"/>
      <c r="G20" s="2"/>
      <c r="H20" s="9"/>
      <c r="I20" s="1"/>
      <c r="J20" s="1"/>
    </row>
    <row r="21">
      <c r="A21" s="1"/>
      <c r="B21" s="8" t="s">
        <v>71</v>
      </c>
      <c r="C21" s="3">
        <f>C19</f>
        <v>235.356</v>
      </c>
      <c r="D21" s="3">
        <f>D19</f>
        <v>60.76599999999999</v>
      </c>
      <c r="E21" s="3">
        <f>E19</f>
        <v>61.928</v>
      </c>
      <c r="F21" s="3">
        <f>F19</f>
        <v>62.216</v>
      </c>
      <c r="G21" s="3">
        <f>G19</f>
        <v>63.738</v>
      </c>
      <c r="H21" s="4">
        <f>H19</f>
        <v>63.500000000000014</v>
      </c>
      <c r="I21" s="1"/>
      <c r="J21" s="1"/>
    </row>
    <row r="22">
      <c r="A22" s="1"/>
      <c r="B22" s="1" t="s">
        <v>32</v>
      </c>
      <c r="D22" s="29">
        <f>(1+D25)/((1+D23)*(1+D24))-1</f>
        <v>0.07360424028268531</v>
      </c>
      <c r="E22" s="15">
        <f>(1+E25)/((1+E23)*(1+E24))-1</f>
        <v>0.07327556325823203</v>
      </c>
      <c r="F22" s="15">
        <f>(1+F25)/((1+F23)*(1+F24))-1</f>
        <v>0.07991390682496702</v>
      </c>
      <c r="G22" s="15">
        <f>(1+G25)/((1+G23)*(1+G24))-1</f>
        <v>0.10499999999999998</v>
      </c>
      <c r="H22" s="14">
        <f>(1+H25)/((1+H23)*(1+H24))-1</f>
        <v>0.0449922654115793</v>
      </c>
      <c r="I22" s="1"/>
      <c r="J22" s="1"/>
    </row>
    <row r="23">
      <c r="A23" s="1"/>
      <c r="B23" s="1" t="s">
        <v>33</v>
      </c>
      <c r="D23" s="26">
        <v>0</v>
      </c>
      <c r="E23" s="26">
        <v>0</v>
      </c>
      <c r="F23" s="26">
        <v>0</v>
      </c>
      <c r="G23" s="16">
        <f>(1+G25)/(1+Inputs!G194)-1</f>
        <v>-0.026933297955381352</v>
      </c>
      <c r="H23" s="30">
        <v>0</v>
      </c>
      <c r="I23" s="1"/>
      <c r="J23" s="1"/>
    </row>
    <row r="24">
      <c r="A24" s="1"/>
      <c r="B24" s="1" t="s">
        <v>34</v>
      </c>
      <c r="D24" s="26">
        <v>0</v>
      </c>
      <c r="E24" s="26">
        <v>0</v>
      </c>
      <c r="F24" s="26">
        <v>0</v>
      </c>
      <c r="G24" s="26">
        <v>0</v>
      </c>
      <c r="H24" s="30">
        <v>0</v>
      </c>
      <c r="I24" s="1"/>
      <c r="J24" s="1"/>
    </row>
    <row r="25">
      <c r="A25" s="1"/>
      <c r="B25" s="1" t="s">
        <v>35</v>
      </c>
      <c r="D25" s="20">
        <f>D21/Inputs!D187-1</f>
        <v>0.07360424028268531</v>
      </c>
      <c r="E25" s="16">
        <f>E21/Inputs!E187-1</f>
        <v>0.07327556325823203</v>
      </c>
      <c r="F25" s="16">
        <f>F21/Inputs!F187-1</f>
        <v>0.07991390682496702</v>
      </c>
      <c r="G25" s="16">
        <f>G21/Inputs!G187-1</f>
        <v>0.07523870575930358</v>
      </c>
      <c r="H25" s="22">
        <f>H21/D21-1</f>
        <v>0.0449922654115793</v>
      </c>
      <c r="I25" s="1"/>
      <c r="J25" s="1"/>
    </row>
    <row r="26">
      <c r="A26" s="1"/>
      <c r="B26" s="1" t="s">
        <v>36</v>
      </c>
      <c r="E26" s="15">
        <f>E21/D21-1</f>
        <v>0.019122535628476545</v>
      </c>
      <c r="F26" s="15">
        <f>F21/E21-1</f>
        <v>0.004650561942901588</v>
      </c>
      <c r="G26" s="15">
        <f>G21/F21-1</f>
        <v>0.024463160601774447</v>
      </c>
      <c r="H26" s="14">
        <f>H21/G21-1</f>
        <v>-0.0037340362107374236</v>
      </c>
      <c r="I26" s="1"/>
      <c r="J26" s="1"/>
    </row>
    <row r="27">
      <c r="A27" s="1"/>
      <c r="B27" s="1" t="s">
        <v>72</v>
      </c>
      <c r="C27" s="16">
        <f>C21/'Revenue summary'!C10</f>
        <v>0.10137017454090624</v>
      </c>
      <c r="D27" s="16">
        <f>D21/'Revenue summary'!D10</f>
        <v>0.10180247645757003</v>
      </c>
      <c r="E27" s="16">
        <f>E21/'Revenue summary'!E10</f>
        <v>0.10191879477503246</v>
      </c>
      <c r="F27" s="16">
        <f>F21/'Revenue summary'!F10</f>
        <v>0.10182334755547699</v>
      </c>
      <c r="G27" s="16">
        <f>G21/'Revenue summary'!G10</f>
        <v>0.10232165389344985</v>
      </c>
      <c r="H27" s="19">
        <f>H21/'Revenue summary'!H10</f>
        <v>0.10119521912350599</v>
      </c>
      <c r="I27" s="1"/>
      <c r="J27" s="1"/>
    </row>
    <row r="28">
      <c r="A28" s="1"/>
      <c r="B28" s="1" t="s">
        <v>73</v>
      </c>
      <c r="C28" s="2"/>
      <c r="D28" s="2"/>
      <c r="E28" s="2"/>
      <c r="F28" s="2"/>
      <c r="G28" s="2"/>
      <c r="H28" s="35">
        <v>0.6638</v>
      </c>
      <c r="I28" s="1"/>
      <c r="J28" s="1" t="s">
        <v>74</v>
      </c>
    </row>
    <row r="29">
      <c r="A29" s="1"/>
      <c r="B29" s="8" t="s">
        <v>75</v>
      </c>
      <c r="C29" s="10">
        <f>Inputs!C169</f>
        <v>168.338</v>
      </c>
      <c r="D29" s="10">
        <f>Inputs!D169</f>
        <v>42.479</v>
      </c>
      <c r="E29" s="10">
        <f>Inputs!E169</f>
        <v>45.384</v>
      </c>
      <c r="F29" s="10">
        <f>Inputs!F169</f>
        <v>44.518</v>
      </c>
      <c r="G29" s="10">
        <f>Inputs!G169</f>
        <v>44.532</v>
      </c>
      <c r="H29" s="4">
        <f>H21*H28</f>
        <v>42.151300000000006</v>
      </c>
      <c r="I29" s="1"/>
      <c r="J29" s="1"/>
    </row>
    <row r="30">
      <c r="A30" s="1"/>
      <c r="B30" s="1" t="s">
        <v>76</v>
      </c>
      <c r="C30" s="15">
        <f>C29/C21</f>
        <v>0.7152483896735159</v>
      </c>
      <c r="D30" s="15">
        <f>D29/D21</f>
        <v>0.6990586841325742</v>
      </c>
      <c r="E30" s="15">
        <f>E29/E21</f>
        <v>0.732851052835551</v>
      </c>
      <c r="F30" s="15">
        <f>F29/F21</f>
        <v>0.7155394110839656</v>
      </c>
      <c r="G30" s="15">
        <f>G29/G21</f>
        <v>0.6986726913301327</v>
      </c>
      <c r="H30" s="14">
        <f>H29/H21</f>
        <v>0.6638</v>
      </c>
      <c r="I30" s="1"/>
      <c r="J30" s="1"/>
    </row>
    <row r="31">
      <c r="A31" s="1"/>
      <c r="B31" s="1" t="s">
        <v>77</v>
      </c>
      <c r="C31" s="2"/>
      <c r="D31" s="2"/>
      <c r="E31" s="5">
        <f>(E30-D30)*Inputs!$H$85</f>
        <v>337.9236870297675</v>
      </c>
      <c r="F31" s="5">
        <f>(F30-E30)*Inputs!$H$85</f>
        <v>-173.11641751585393</v>
      </c>
      <c r="G31" s="5">
        <f>(G30-F30)*Inputs!$H$85</f>
        <v>-168.66719753832916</v>
      </c>
      <c r="H31" s="31">
        <f>(H30-G30)*Inputs!$H$85</f>
        <v>-348.7269133013271</v>
      </c>
      <c r="I31" s="1"/>
      <c r="J31" s="1"/>
    </row>
    <row r="32">
      <c r="A32" s="1"/>
      <c r="B32" s="1"/>
      <c r="C32" s="2"/>
      <c r="D32" s="2"/>
      <c r="E32" s="2"/>
      <c r="F32" s="2"/>
      <c r="G32" s="2"/>
      <c r="H32" s="9"/>
      <c r="I32" s="1"/>
      <c r="J32" s="1"/>
    </row>
    <row r="33">
      <c r="A33" s="1"/>
      <c r="B33" s="1" t="s">
        <v>78</v>
      </c>
      <c r="C33" s="2"/>
      <c r="D33" s="2"/>
      <c r="E33" s="2"/>
      <c r="F33" s="2"/>
      <c r="G33" s="2"/>
      <c r="H33" s="9"/>
      <c r="I33" s="1"/>
      <c r="J33" s="1"/>
    </row>
    <row r="34">
      <c r="A34" s="1"/>
      <c r="B34" s="1" t="s">
        <v>79</v>
      </c>
      <c r="C34" s="2"/>
      <c r="D34" s="2"/>
      <c r="E34" s="2"/>
      <c r="F34" s="2"/>
      <c r="G34" s="2"/>
      <c r="H34" s="9"/>
      <c r="I34" s="1"/>
      <c r="J34" s="1"/>
    </row>
    <row r="35">
      <c r="A35" s="1"/>
      <c r="B35" s="1" t="s">
        <v>80</v>
      </c>
      <c r="C35" s="2"/>
      <c r="D35" s="2"/>
      <c r="E35" s="2"/>
      <c r="F35" s="2"/>
      <c r="G35" s="2"/>
      <c r="H35" s="9"/>
      <c r="I35" s="1"/>
      <c r="J35" s="1"/>
    </row>
    <row r="36">
      <c r="A36" s="1"/>
      <c r="B36" s="1" t="s">
        <v>81</v>
      </c>
      <c r="C36" s="2"/>
      <c r="D36" s="2"/>
      <c r="E36" s="2"/>
      <c r="F36" s="2"/>
      <c r="G36" s="2"/>
      <c r="H36" s="9"/>
      <c r="I36" s="1"/>
      <c r="J36" s="1"/>
    </row>
    <row r="37">
      <c r="A37" s="1"/>
      <c r="B37" s="1" t="s">
        <v>82</v>
      </c>
      <c r="C37" s="2"/>
      <c r="D37" s="2"/>
      <c r="E37" s="2"/>
      <c r="F37" s="2"/>
      <c r="G37" s="2"/>
      <c r="H37" s="9"/>
      <c r="I37" s="1"/>
      <c r="J37" s="1"/>
    </row>
    <row r="38">
      <c r="A38" s="1"/>
      <c r="B38" s="1" t="s">
        <v>83</v>
      </c>
      <c r="C38" s="2"/>
      <c r="D38" s="2"/>
      <c r="E38" s="2"/>
      <c r="F38" s="2"/>
      <c r="G38" s="2"/>
      <c r="H38" s="9"/>
      <c r="I38" s="1"/>
      <c r="J38" s="1"/>
    </row>
    <row r="39">
      <c r="A39" s="1"/>
      <c r="B39" s="1" t="s">
        <v>84</v>
      </c>
      <c r="C39" s="2"/>
      <c r="D39" s="2"/>
      <c r="E39" s="2"/>
      <c r="F39" s="2"/>
      <c r="G39" s="2"/>
      <c r="H39" s="9"/>
      <c r="I39" s="1"/>
      <c r="J39" s="1"/>
    </row>
    <row r="40">
      <c r="A40" s="1"/>
      <c r="B40" s="1" t="s">
        <v>85</v>
      </c>
      <c r="C40" s="15"/>
      <c r="D40" s="15"/>
      <c r="E40" s="15"/>
      <c r="F40" s="15"/>
      <c r="G40" s="15"/>
      <c r="H40" s="14">
        <f>H10/D10-1</f>
        <v>0.06289046230737183</v>
      </c>
      <c r="I40" s="1"/>
      <c r="J40" s="1"/>
    </row>
    <row r="41">
      <c r="A41" s="1"/>
      <c r="B41" s="1" t="s">
        <v>86</v>
      </c>
      <c r="C41" s="1"/>
      <c r="D41" s="1"/>
      <c r="E41" s="1"/>
      <c r="F41" s="1"/>
      <c r="G41" s="1"/>
      <c r="H41" s="9">
        <f>H10-G10</f>
        <v>6.099999999999994</v>
      </c>
      <c r="I41" s="1"/>
      <c r="J41" s="1"/>
    </row>
    <row r="42">
      <c r="A42" s="1"/>
      <c r="B42" s="1" t="s">
        <v>87</v>
      </c>
      <c r="C42" s="1"/>
      <c r="D42" s="1"/>
      <c r="E42" s="25">
        <f>E13/(Inputs!E207-Inputs!D207)-1</f>
        <v>-1.3076923076923093</v>
      </c>
      <c r="F42" s="25">
        <f>F13/(Inputs!F207-Inputs!E207)-1</f>
        <v>0.02127659574467966</v>
      </c>
      <c r="G42" s="25">
        <f>G13/(Inputs!G207-Inputs!F207)-1</f>
        <v>-0.046875000000001776</v>
      </c>
      <c r="H42" s="19">
        <f>H13/(D14-Inputs!G207)-1</f>
        <v>0.26315789473683826</v>
      </c>
      <c r="I42" s="1"/>
      <c r="J42" s="1"/>
    </row>
    <row r="43">
      <c r="A43" s="1"/>
      <c r="B43" s="1" t="s">
        <v>88</v>
      </c>
      <c r="C43" s="1"/>
      <c r="D43" s="1"/>
      <c r="E43" s="2">
        <f>E13-D13</f>
        <v>-3.4000000000000057</v>
      </c>
      <c r="F43" s="2">
        <f>F13-E13</f>
        <v>4.399999999999977</v>
      </c>
      <c r="G43" s="2">
        <f>G13-F13</f>
        <v>1.3000000000000114</v>
      </c>
      <c r="H43" s="9">
        <f>H13-G13</f>
        <v>-1.2999999999999945</v>
      </c>
      <c r="I43" s="1"/>
      <c r="J43" s="1"/>
    </row>
    <row r="44">
      <c r="A44" s="1"/>
      <c r="B44" s="1" t="s">
        <v>89</v>
      </c>
      <c r="C44" s="1"/>
      <c r="D44" s="1"/>
      <c r="E44" s="1"/>
      <c r="F44" s="1"/>
      <c r="G44" s="1"/>
      <c r="H44" s="9">
        <f>H17-G17</f>
        <v>5.4500000000000455</v>
      </c>
      <c r="I44" s="1"/>
      <c r="J44" s="1"/>
    </row>
    <row r="45">
      <c r="A45" s="1"/>
      <c r="B45" s="1" t="s">
        <v>90</v>
      </c>
      <c r="C45" s="1"/>
      <c r="D45" s="1"/>
      <c r="E45" s="1"/>
      <c r="F45" s="1"/>
      <c r="G45" s="1"/>
      <c r="H45" s="32">
        <f>(H18-G18)*Inputs!$H$85</f>
        <v>-250.87588355053313</v>
      </c>
      <c r="I45" s="1"/>
      <c r="J45" s="1"/>
    </row>
    <row r="46">
      <c r="A46" s="1"/>
      <c r="B46" s="1" t="s">
        <v>91</v>
      </c>
      <c r="C46" s="1"/>
      <c r="D46" s="1"/>
      <c r="E46" s="1"/>
      <c r="F46" s="1"/>
      <c r="G46" s="1"/>
      <c r="H46" s="9">
        <f>H10-D10</f>
        <v>15.099999999999994</v>
      </c>
      <c r="I46" s="1"/>
      <c r="J46" s="1"/>
    </row>
    <row r="47">
      <c r="A47" s="1"/>
      <c r="B47" s="1" t="s">
        <v>92</v>
      </c>
      <c r="C47" s="15"/>
      <c r="D47" s="15"/>
      <c r="E47" s="15"/>
      <c r="F47" s="15"/>
      <c r="G47" s="15"/>
      <c r="H47" s="14">
        <f>H17/D17-1</f>
        <v>0.06446280991735542</v>
      </c>
      <c r="I47" s="1"/>
      <c r="J47" s="1"/>
    </row>
    <row r="48">
      <c r="A48" s="1"/>
      <c r="B48" s="1" t="s">
        <v>93</v>
      </c>
      <c r="C48" s="1"/>
      <c r="D48" s="1"/>
      <c r="E48" s="1"/>
      <c r="F48" s="1"/>
      <c r="G48" s="1"/>
      <c r="H48" s="32">
        <f>(H30-G30)*Inputs!$H$85</f>
        <v>-348.7269133013271</v>
      </c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2" t="s">
        <v>94</v>
      </c>
      <c r="C51" s="12"/>
      <c r="D51" s="12"/>
      <c r="E51" s="12"/>
      <c r="F51" s="12"/>
      <c r="G51" s="12"/>
      <c r="H51" s="12"/>
      <c r="I51" s="1"/>
      <c r="J51" s="1" t="s">
        <v>95</v>
      </c>
    </row>
    <row r="52">
      <c r="A52" s="1"/>
      <c r="B52" s="1" t="s">
        <v>58</v>
      </c>
      <c r="C52" s="2" t="str">
        <f>IF(C10="","",C10)</f>
        <v/>
      </c>
      <c r="D52" s="2">
        <f>IF(D10="","",D10)</f>
        <v>240.1</v>
      </c>
      <c r="E52" s="2">
        <f>IF(E10="","",E10)</f>
        <v>243.9</v>
      </c>
      <c r="F52" s="2">
        <f>IF(F10="","",F10)</f>
        <v>244.3</v>
      </c>
      <c r="G52" s="2">
        <f>IF(G10="","",G10)</f>
        <v>249.1</v>
      </c>
      <c r="H52" s="9">
        <f>IF(H10="","",H10)</f>
        <v>255.2</v>
      </c>
      <c r="I52" s="1"/>
      <c r="J52" s="1"/>
    </row>
    <row r="53">
      <c r="A53" s="1"/>
      <c r="B53" s="1" t="s">
        <v>96</v>
      </c>
      <c r="C53" s="15"/>
      <c r="D53" s="15"/>
      <c r="E53" s="16">
        <f>E52/Inputs!D207-1</f>
        <v>0.05905340859748143</v>
      </c>
      <c r="F53" s="16">
        <f>F52/Inputs!E207-1</f>
        <v>0.06681222707423595</v>
      </c>
      <c r="G53" s="16">
        <f>G52/Inputs!F207-1</f>
        <v>0.06589644843816855</v>
      </c>
      <c r="H53" s="19">
        <f>H52/Inputs!G207-1</f>
        <v>0.06289046230737183</v>
      </c>
      <c r="I53" s="1"/>
      <c r="J53" s="1"/>
    </row>
    <row r="54">
      <c r="A54" s="1"/>
      <c r="B54" s="1" t="s">
        <v>97</v>
      </c>
      <c r="C54" s="2"/>
      <c r="D54" s="2"/>
      <c r="E54" s="2"/>
      <c r="F54" s="2"/>
      <c r="G54" s="2"/>
      <c r="H54" s="9">
        <f>H52-G52</f>
        <v>6.099999999999994</v>
      </c>
      <c r="I54" s="1"/>
      <c r="J54" s="1"/>
    </row>
    <row r="55">
      <c r="A55" s="1"/>
      <c r="B55" s="1"/>
      <c r="C55" s="2"/>
      <c r="D55" s="2"/>
      <c r="E55" s="2"/>
      <c r="F55" s="2"/>
      <c r="G55" s="2"/>
      <c r="H55" s="9"/>
      <c r="I55" s="1"/>
      <c r="J55" s="1"/>
    </row>
    <row r="56">
      <c r="A56" s="1"/>
      <c r="B56" s="1" t="s">
        <v>98</v>
      </c>
      <c r="C56" s="2"/>
      <c r="D56" s="2"/>
      <c r="E56" s="2"/>
      <c r="F56" s="2"/>
      <c r="G56" s="2"/>
      <c r="H56" s="9"/>
      <c r="I56" s="1"/>
      <c r="J56" s="1"/>
    </row>
    <row r="57">
      <c r="A57" s="1"/>
      <c r="B57" s="1"/>
      <c r="C57" s="2"/>
      <c r="D57" s="2"/>
      <c r="E57" s="2"/>
      <c r="F57" s="2"/>
      <c r="G57" s="2"/>
      <c r="H57" s="9"/>
      <c r="I57" s="1"/>
      <c r="J57" s="1"/>
    </row>
    <row r="58">
      <c r="A58" s="1"/>
      <c r="B58" s="1"/>
      <c r="C58" s="2"/>
      <c r="D58" s="2"/>
      <c r="E58" s="2"/>
      <c r="F58" s="2"/>
      <c r="G58" s="2"/>
      <c r="H58" s="9"/>
      <c r="I58" s="1"/>
      <c r="J58" s="1"/>
    </row>
    <row r="59">
      <c r="A59" s="1"/>
      <c r="B59" s="1" t="s">
        <v>99</v>
      </c>
      <c r="C59" s="2"/>
      <c r="D59" s="2"/>
      <c r="E59" s="2"/>
      <c r="F59" s="2"/>
      <c r="G59" s="2"/>
      <c r="H59" s="9"/>
      <c r="I59" s="1"/>
      <c r="J59" s="1"/>
    </row>
    <row r="60">
      <c r="A60" s="1"/>
      <c r="B60" s="1"/>
      <c r="C60" s="2"/>
      <c r="D60" s="2"/>
      <c r="E60" s="2"/>
      <c r="F60" s="2"/>
      <c r="G60" s="2"/>
      <c r="H60" s="9"/>
      <c r="I60" s="1"/>
      <c r="J60" s="1"/>
    </row>
    <row r="61">
      <c r="A61" s="1"/>
      <c r="B61" s="1"/>
      <c r="C61" s="2"/>
      <c r="D61" s="2"/>
      <c r="E61" s="2"/>
      <c r="F61" s="2"/>
      <c r="G61" s="2"/>
      <c r="H61" s="9"/>
      <c r="I61" s="1"/>
      <c r="J61" s="1"/>
    </row>
    <row r="62">
      <c r="A62" s="1"/>
      <c r="B62" s="1" t="s">
        <v>100</v>
      </c>
      <c r="C62" s="2" t="str">
        <f>IF(C13="","",C13)</f>
        <v/>
      </c>
      <c r="D62" s="2">
        <f>IF(D13="","",D13)</f>
        <v>3.8000000000000114</v>
      </c>
      <c r="E62" s="2">
        <f>IF(E13="","",E13)</f>
        <v>0.4000000000000057</v>
      </c>
      <c r="F62" s="2">
        <f>IF(F13="","",F13)</f>
        <v>4.799999999999983</v>
      </c>
      <c r="G62" s="2">
        <f>IF(G13="","",G13)</f>
        <v>6.099999999999994</v>
      </c>
      <c r="H62" s="9">
        <f>IF(H13="","",H13)</f>
        <v>4.8</v>
      </c>
      <c r="I62" s="1"/>
      <c r="J62" s="1"/>
    </row>
    <row r="63">
      <c r="A63" s="1"/>
      <c r="B63" s="1" t="s">
        <v>96</v>
      </c>
      <c r="C63" s="15"/>
      <c r="D63" s="15"/>
      <c r="E63" s="16">
        <f>E62/(Inputs!E207-Inputs!D207)-1</f>
        <v>-1.3076923076923093</v>
      </c>
      <c r="F63" s="16">
        <f>F62/(Inputs!F207-Inputs!E207)-1</f>
        <v>0.02127659574467966</v>
      </c>
      <c r="G63" s="16">
        <f>G62/(Inputs!G207-Inputs!F207)-1</f>
        <v>-0.046875000000001776</v>
      </c>
      <c r="H63" s="19">
        <f>H62/(D14-Inputs!G207)-1</f>
        <v>0.26315789473683826</v>
      </c>
      <c r="I63" s="1"/>
      <c r="J63" s="1"/>
    </row>
    <row r="64">
      <c r="A64" s="1"/>
      <c r="B64" s="1" t="s">
        <v>97</v>
      </c>
      <c r="C64" s="2"/>
      <c r="D64" s="2"/>
      <c r="E64" s="2">
        <f>IFERROR(E62-D62,"")</f>
        <v>-3.4000000000000057</v>
      </c>
      <c r="F64" s="2">
        <f>IFERROR(F62-E62,"")</f>
        <v>4.399999999999977</v>
      </c>
      <c r="G64" s="2">
        <f>IFERROR(G62-F62,"")</f>
        <v>1.3000000000000114</v>
      </c>
      <c r="H64" s="9">
        <f>IFERROR(H62-G62,"")</f>
        <v>-1.2999999999999945</v>
      </c>
      <c r="I64" s="1"/>
      <c r="J64" s="1"/>
    </row>
    <row r="65">
      <c r="A65" s="1"/>
      <c r="B65" s="1"/>
      <c r="C65" s="2"/>
      <c r="D65" s="2"/>
      <c r="E65" s="2"/>
      <c r="F65" s="2"/>
      <c r="G65" s="2"/>
      <c r="H65" s="9"/>
      <c r="I65" s="1"/>
      <c r="J65" s="1"/>
    </row>
    <row r="66">
      <c r="B66" s="8" t="s">
        <v>63</v>
      </c>
      <c r="C66" s="3">
        <f>IF(C14="","",C14)</f>
        <v>243.9</v>
      </c>
      <c r="D66" s="3">
        <f>IF(D14="","",D14)</f>
        <v>243.9</v>
      </c>
      <c r="E66" s="3">
        <f>IF(E14="","",E14)</f>
        <v>244.3</v>
      </c>
      <c r="F66" s="3">
        <f>IF(F14="","",F14)</f>
        <v>249.1</v>
      </c>
      <c r="G66" s="3">
        <f>IF(G14="","",G14)</f>
        <v>255.2</v>
      </c>
      <c r="H66" s="4">
        <f>IF(H14="","",H14)</f>
        <v>260</v>
      </c>
    </row>
    <row r="67">
      <c r="B67" s="1" t="s">
        <v>96</v>
      </c>
      <c r="C67" s="15"/>
      <c r="D67" s="16">
        <f>D66/Inputs!D207-1</f>
        <v>0.05905340859748143</v>
      </c>
      <c r="E67" s="16">
        <f>E66/Inputs!E207-1</f>
        <v>0.06681222707423595</v>
      </c>
      <c r="F67" s="16">
        <f>F66/Inputs!F207-1</f>
        <v>0.06589644843816855</v>
      </c>
      <c r="G67" s="16">
        <f>G66/Inputs!G207-1</f>
        <v>0.06289046230737183</v>
      </c>
      <c r="H67" s="14">
        <f>H66/D66-1</f>
        <v>0.06601066010660106</v>
      </c>
    </row>
    <row r="68">
      <c r="B68" s="1" t="s">
        <v>97</v>
      </c>
      <c r="C68" s="2"/>
      <c r="D68" s="2">
        <f>IFERROR(D66-D52,"")</f>
        <v>3.8000000000000114</v>
      </c>
      <c r="E68" s="2">
        <f>IFERROR(E66-E52,"")</f>
        <v>0.4000000000000057</v>
      </c>
      <c r="F68" s="2">
        <f>IFERROR(F66-F52,"")</f>
        <v>4.799999999999983</v>
      </c>
      <c r="G68" s="2">
        <f>IFERROR(G66-G52,"")</f>
        <v>6.099999999999994</v>
      </c>
      <c r="H68" s="9">
        <f>IFERROR(H66-H52,"")</f>
        <v>4.800000000000011</v>
      </c>
    </row>
    <row r="69">
      <c r="B69" s="1"/>
      <c r="C69" s="2"/>
      <c r="D69" s="2"/>
      <c r="E69" s="2"/>
      <c r="F69" s="2"/>
      <c r="G69" s="2"/>
      <c r="H69" s="9"/>
    </row>
    <row r="70">
      <c r="B70" s="1" t="s">
        <v>66</v>
      </c>
      <c r="C70" s="2" t="str">
        <f>IF(C17="","",C17)</f>
        <v/>
      </c>
      <c r="D70" s="2">
        <f>IF(D17="","",D17)</f>
        <v>242</v>
      </c>
      <c r="E70" s="2">
        <f>IF(E17="","",E17)</f>
        <v>244.10000000000002</v>
      </c>
      <c r="F70" s="2">
        <f>IF(F17="","",F17)</f>
        <v>246.7</v>
      </c>
      <c r="G70" s="2">
        <f>IF(G17="","",G17)</f>
        <v>252.14999999999998</v>
      </c>
      <c r="H70" s="9">
        <f>IF(H17="","",H17)</f>
        <v>257.6</v>
      </c>
    </row>
    <row r="71">
      <c r="B71" s="1" t="s">
        <v>96</v>
      </c>
      <c r="C71" s="15"/>
      <c r="D71" s="15"/>
      <c r="E71" s="16">
        <f>E70/AVERAGE(Inputs!D207,Inputs!E207)-1</f>
        <v>0.06292183757892444</v>
      </c>
      <c r="F71" s="16">
        <f>F70/AVERAGE(Inputs!E207,Inputs!F207)-1</f>
        <v>0.06634968662200125</v>
      </c>
      <c r="G71" s="16">
        <f>G70/AVERAGE(Inputs!F207,Inputs!G207)-1</f>
        <v>0.06437315322921067</v>
      </c>
      <c r="H71" s="14">
        <f>H70/D70-1</f>
        <v>0.06446280991735542</v>
      </c>
    </row>
    <row r="72">
      <c r="B72" s="1" t="s">
        <v>97</v>
      </c>
      <c r="C72" s="2"/>
      <c r="D72" s="2"/>
      <c r="E72" s="2">
        <f>IFERROR(E70-D70,"")</f>
        <v>2.1000000000000227</v>
      </c>
      <c r="F72" s="2">
        <f>IFERROR(F70-E70,"")</f>
        <v>2.599999999999966</v>
      </c>
      <c r="G72" s="2">
        <f>IFERROR(G70-F70,"")</f>
        <v>5.449999999999989</v>
      </c>
      <c r="H72" s="9">
        <f>IFERROR(H70-G70,"")</f>
        <v>5.4500000000000455</v>
      </c>
    </row>
    <row r="73">
      <c r="B73" s="1"/>
      <c r="C73" s="2"/>
      <c r="D73" s="2"/>
      <c r="E73" s="2"/>
      <c r="F73" s="2"/>
      <c r="G73" s="2"/>
      <c r="H73" s="9"/>
    </row>
    <row r="74">
      <c r="B74" s="1" t="s">
        <v>101</v>
      </c>
      <c r="C74" s="17" t="str">
        <f>IF(C18="","",C18)</f>
        <v/>
      </c>
      <c r="D74" s="17">
        <f>IF(D18="","",D18)</f>
        <v>1.0043966942148759</v>
      </c>
      <c r="E74" s="17">
        <f>IF(E18="","",E18)</f>
        <v>1.014797214256452</v>
      </c>
      <c r="F74" s="17">
        <f>IF(F18="","",F18)</f>
        <v>1.0087717875962707</v>
      </c>
      <c r="G74" s="17">
        <f>IF(G18="","",G18)</f>
        <v>1.0111124330755503</v>
      </c>
      <c r="H74" s="34">
        <f>IF(H18="","",H18)</f>
        <v>0.986024844720497</v>
      </c>
    </row>
    <row r="75">
      <c r="B75" s="1" t="s">
        <v>102</v>
      </c>
      <c r="C75" s="2"/>
      <c r="D75" s="2"/>
      <c r="E75" s="5">
        <f>IFERROR((E74-D74)*Inputs!$H$85,"")</f>
        <v>104.00520041576212</v>
      </c>
      <c r="F75" s="5">
        <f>IFERROR((F74-E74)*Inputs!$H$85,"")</f>
        <v>-60.25426660181354</v>
      </c>
      <c r="G75" s="5">
        <f>IFERROR((G74-F74)*Inputs!$H$85,"")</f>
        <v>23.406454792795905</v>
      </c>
      <c r="H75" s="31">
        <f>IFERROR((H74-G74)*Inputs!$H$85,"")</f>
        <v>-250.87588355053313</v>
      </c>
    </row>
    <row r="76">
      <c r="B76" s="1" t="s">
        <v>103</v>
      </c>
      <c r="C76" s="2"/>
      <c r="D76" s="2"/>
      <c r="E76" s="2">
        <f>IFERROR(E74-D74,"")</f>
        <v>0.010400520041576211</v>
      </c>
      <c r="F76" s="2">
        <f>IFERROR(F74-E74,"")</f>
        <v>-0.006025426660181354</v>
      </c>
      <c r="G76" s="2">
        <f>IFERROR(G74-F74,"")</f>
        <v>0.0023406454792795905</v>
      </c>
      <c r="H76" s="9">
        <f>IFERROR(H74-G74,"")</f>
        <v>-0.025087588355053314</v>
      </c>
    </row>
    <row r="77">
      <c r="B77" s="1"/>
      <c r="C77" s="2"/>
      <c r="D77" s="2"/>
      <c r="E77" s="2"/>
      <c r="F77" s="2"/>
      <c r="G77" s="2"/>
      <c r="H77" s="9"/>
    </row>
    <row r="78">
      <c r="B78" s="8" t="s">
        <v>104</v>
      </c>
      <c r="C78" s="3">
        <f>IF(C21="","",C21)</f>
        <v>235.356</v>
      </c>
      <c r="D78" s="3">
        <f>IF(D21="","",D21)</f>
        <v>60.76599999999999</v>
      </c>
      <c r="E78" s="3">
        <f>IF(E21="","",E21)</f>
        <v>61.928</v>
      </c>
      <c r="F78" s="3">
        <f>IF(F21="","",F21)</f>
        <v>62.216</v>
      </c>
      <c r="G78" s="3">
        <f>IF(G21="","",G21)</f>
        <v>63.738</v>
      </c>
      <c r="H78" s="4">
        <f>IF(H21="","",H21)</f>
        <v>63.500000000000014</v>
      </c>
    </row>
    <row r="79">
      <c r="B79" s="1" t="s">
        <v>32</v>
      </c>
      <c r="C79" s="15" t="str">
        <f>IF(C22="","",C22)</f>
        <v/>
      </c>
      <c r="D79" s="15">
        <f>IF(D22="","",D22)</f>
        <v>0.07360424028268531</v>
      </c>
      <c r="E79" s="15">
        <f>IF(E22="","",E22)</f>
        <v>0.07327556325823203</v>
      </c>
      <c r="F79" s="15">
        <f>IF(F22="","",F22)</f>
        <v>0.07991390682496702</v>
      </c>
      <c r="G79" s="15">
        <f>IF(G22="","",G22)</f>
        <v>0.10499999999999998</v>
      </c>
      <c r="H79" s="14">
        <f>IF(H22="","",H22)</f>
        <v>0.0449922654115793</v>
      </c>
    </row>
    <row r="80">
      <c r="B80" s="1" t="s">
        <v>33</v>
      </c>
      <c r="C80" s="15" t="str">
        <f>IF(C23="","",C23)</f>
        <v/>
      </c>
      <c r="D80" s="15">
        <f>IF(D23="","",D23)</f>
        <v>0</v>
      </c>
      <c r="E80" s="15">
        <f>IF(E23="","",E23)</f>
        <v>0</v>
      </c>
      <c r="F80" s="15">
        <f>IF(F23="","",F23)</f>
        <v>0</v>
      </c>
      <c r="G80" s="15">
        <f>IF(G23="","",G23)</f>
        <v>-0.026933297955381352</v>
      </c>
      <c r="H80" s="14">
        <f>IF(H23="","",H23)</f>
        <v>0</v>
      </c>
    </row>
    <row r="81">
      <c r="B81" s="1" t="s">
        <v>34</v>
      </c>
      <c r="C81" s="15" t="str">
        <f>IF(C24="","",C24)</f>
        <v/>
      </c>
      <c r="D81" s="15">
        <f>IF(D24="","",D24)</f>
        <v>0</v>
      </c>
      <c r="E81" s="15">
        <f>IF(E24="","",E24)</f>
        <v>0</v>
      </c>
      <c r="F81" s="15">
        <f>IF(F24="","",F24)</f>
        <v>0</v>
      </c>
      <c r="G81" s="15">
        <f>IF(G24="","",G24)</f>
        <v>0</v>
      </c>
      <c r="H81" s="14">
        <f>IF(H24="","",H24)</f>
        <v>0</v>
      </c>
    </row>
    <row r="82">
      <c r="B82" s="1" t="s">
        <v>35</v>
      </c>
      <c r="C82" s="15" t="str">
        <f>IF(C25="","",C25)</f>
        <v/>
      </c>
      <c r="D82" s="15">
        <f>IF(D25="","",D25)</f>
        <v>0.07360424028268531</v>
      </c>
      <c r="E82" s="15">
        <f>IF(E25="","",E25)</f>
        <v>0.07327556325823203</v>
      </c>
      <c r="F82" s="15">
        <f>IF(F25="","",F25)</f>
        <v>0.07991390682496702</v>
      </c>
      <c r="G82" s="15">
        <f>IF(G25="","",G25)</f>
        <v>0.07523870575930358</v>
      </c>
      <c r="H82" s="14">
        <f>IF(H25="","",H25)</f>
        <v>0.0449922654115793</v>
      </c>
    </row>
    <row r="83">
      <c r="B83" s="1" t="s">
        <v>36</v>
      </c>
      <c r="C83" s="15" t="str">
        <f>IF(C26="","",C26)</f>
        <v/>
      </c>
      <c r="D83" s="15" t="str">
        <f>IF(D26="","",D26)</f>
        <v/>
      </c>
      <c r="E83" s="15">
        <f>IF(E26="","",E26)</f>
        <v>0.019122535628476545</v>
      </c>
      <c r="F83" s="15">
        <f>IF(F26="","",F26)</f>
        <v>0.004650561942901588</v>
      </c>
      <c r="G83" s="15">
        <f>IF(G26="","",G26)</f>
        <v>0.024463160601774447</v>
      </c>
      <c r="H83" s="14">
        <f>IF(H26="","",H26)</f>
        <v>-0.0037340362107374236</v>
      </c>
    </row>
    <row r="84">
      <c r="B84" s="1" t="s">
        <v>105</v>
      </c>
      <c r="C84" s="2"/>
      <c r="D84" s="5">
        <f>D78-Inputs!G187</f>
        <v>1.4879999999999924</v>
      </c>
      <c r="E84" s="2">
        <f>E78-D78</f>
        <v>1.1620000000000061</v>
      </c>
      <c r="F84" s="2">
        <f>F78-E78</f>
        <v>0.2880000000000038</v>
      </c>
      <c r="G84" s="2">
        <f>G78-F78</f>
        <v>1.5219999999999985</v>
      </c>
      <c r="H84" s="9">
        <f>H78-G78</f>
        <v>-0.23799999999998533</v>
      </c>
    </row>
    <row r="85">
      <c r="B85" s="8" t="s">
        <v>75</v>
      </c>
      <c r="C85" s="3">
        <f>IF(C29="","",C29)</f>
        <v>168.338</v>
      </c>
      <c r="D85" s="3">
        <f>IF(D29="","",D29)</f>
        <v>42.479</v>
      </c>
      <c r="E85" s="3">
        <f>IF(E29="","",E29)</f>
        <v>45.384</v>
      </c>
      <c r="F85" s="3">
        <f>IF(F29="","",F29)</f>
        <v>44.518</v>
      </c>
      <c r="G85" s="3">
        <f>IF(G29="","",G29)</f>
        <v>44.532</v>
      </c>
      <c r="H85" s="4">
        <f>IF(H29="","",H29)</f>
        <v>42.151300000000006</v>
      </c>
    </row>
    <row r="86">
      <c r="B86" s="1" t="s">
        <v>96</v>
      </c>
      <c r="C86" s="15"/>
      <c r="D86" s="15"/>
      <c r="E86" s="16">
        <f>E85/Inputs!E210-1</f>
        <v>0.12062026222869693</v>
      </c>
      <c r="F86" s="16">
        <f>F85/Inputs!F210-1</f>
        <v>0.06510036605498004</v>
      </c>
      <c r="G86" s="16">
        <f>G85/Inputs!G210-1</f>
        <v>0.022243647131740207</v>
      </c>
      <c r="H86" s="14">
        <f>H85/D85-1</f>
        <v>-0.007714400056498372</v>
      </c>
    </row>
    <row r="87">
      <c r="B87" s="1" t="s">
        <v>97</v>
      </c>
      <c r="C87" s="2"/>
      <c r="D87" s="2"/>
      <c r="E87" s="2">
        <f>IFERROR(E85-D85,"")</f>
        <v>2.905000000000001</v>
      </c>
      <c r="F87" s="2">
        <f>IFERROR(F85-E85,"")</f>
        <v>-0.8659999999999997</v>
      </c>
      <c r="G87" s="2">
        <f>IFERROR(G85-F85,"")</f>
        <v>0.013999999999995794</v>
      </c>
      <c r="H87" s="9">
        <f>IFERROR(H85-G85,"")</f>
        <v>-2.3806999999999903</v>
      </c>
    </row>
    <row r="88">
      <c r="B88" s="1" t="s">
        <v>76</v>
      </c>
      <c r="C88" s="15">
        <f>IF(C30="","",C30)</f>
        <v>0.7152483896735159</v>
      </c>
      <c r="D88" s="15">
        <f>IF(D30="","",D30)</f>
        <v>0.6990586841325742</v>
      </c>
      <c r="E88" s="15">
        <f>IF(E30="","",E30)</f>
        <v>0.732851052835551</v>
      </c>
      <c r="F88" s="15">
        <f>IF(F30="","",F30)</f>
        <v>0.7155394110839656</v>
      </c>
      <c r="G88" s="15">
        <f>IF(G30="","",G30)</f>
        <v>0.6986726913301327</v>
      </c>
      <c r="H88" s="14">
        <f>IF(H30="","",H30)</f>
        <v>0.6638</v>
      </c>
    </row>
    <row r="89">
      <c r="B89" s="1" t="s">
        <v>102</v>
      </c>
      <c r="C89" s="2"/>
      <c r="D89" s="2"/>
      <c r="E89" s="5">
        <f>IFERROR((E88-D88)*Inputs!$H$85,"")</f>
        <v>337.9236870297675</v>
      </c>
      <c r="F89" s="5">
        <f>IFERROR((F88-E88)*Inputs!$H$85,"")</f>
        <v>-173.11641751585393</v>
      </c>
      <c r="G89" s="5">
        <f>IFERROR((G88-F88)*Inputs!$H$85,"")</f>
        <v>-168.66719753832916</v>
      </c>
      <c r="H89" s="31">
        <f>IFERROR((H88-G88)*Inputs!$H$85,"")</f>
        <v>-348.7269133013271</v>
      </c>
    </row>
    <row r="90">
      <c r="B90" s="1"/>
      <c r="C90" s="2"/>
      <c r="D90" s="2"/>
      <c r="E90" s="2"/>
      <c r="F90" s="2"/>
      <c r="G90" s="2"/>
      <c r="H90" s="9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110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8" t="s">
        <v>111</v>
      </c>
      <c r="C10" s="10">
        <f>'Revenue summary'!C10</f>
        <v>2321.748</v>
      </c>
      <c r="D10" s="10">
        <f>'Revenue summary'!D10</f>
        <v>596.9009999999998</v>
      </c>
      <c r="E10" s="10">
        <f>'Revenue summary'!E10</f>
        <v>607.621</v>
      </c>
      <c r="F10" s="10">
        <f>'Revenue summary'!F10</f>
        <v>611.019</v>
      </c>
      <c r="G10" s="10">
        <f>'Revenue summary'!G10</f>
        <v>622.918</v>
      </c>
      <c r="H10" s="28">
        <f>'Revenue summary'!H10</f>
        <v>627.5000000000001</v>
      </c>
      <c r="I10" s="1"/>
      <c r="J10" s="1"/>
    </row>
    <row r="11">
      <c r="A11" s="1"/>
      <c r="B11" s="1" t="s">
        <v>112</v>
      </c>
      <c r="C11" s="5">
        <f>IF(Inputs!C142="","",Inputs!C142)</f>
        <v>1097.782</v>
      </c>
      <c r="D11" s="5">
        <f>IF(Inputs!D142="","",Inputs!D142)</f>
        <v>288.67</v>
      </c>
      <c r="E11" s="5">
        <f>IF(Inputs!E142="","",Inputs!E142)</f>
        <v>287.916</v>
      </c>
      <c r="F11" s="5">
        <f>IF(Inputs!F142="","",Inputs!F142)</f>
        <v>296.742</v>
      </c>
      <c r="G11" s="5">
        <f>IF(Inputs!G142="","",Inputs!G142)</f>
        <v>312.19</v>
      </c>
      <c r="H11" s="18">
        <v>305.7</v>
      </c>
      <c r="I11" s="1"/>
      <c r="J11" s="1"/>
    </row>
    <row r="12">
      <c r="A12" s="1"/>
      <c r="B12" s="8" t="s">
        <v>113</v>
      </c>
      <c r="C12" s="3">
        <f>C10-C11</f>
        <v>1223.9660000000001</v>
      </c>
      <c r="D12" s="3">
        <f>D10-D11</f>
        <v>308.2309999999998</v>
      </c>
      <c r="E12" s="3">
        <f>E10-E11</f>
        <v>319.705</v>
      </c>
      <c r="F12" s="3">
        <f>F10-F11</f>
        <v>314.277</v>
      </c>
      <c r="G12" s="3">
        <f>G10-G11</f>
        <v>310.728</v>
      </c>
      <c r="H12" s="4">
        <f>H10-H11</f>
        <v>321.8000000000001</v>
      </c>
      <c r="I12" s="1"/>
      <c r="J12" s="1"/>
    </row>
    <row r="13">
      <c r="A13" s="1"/>
      <c r="B13" s="1" t="s">
        <v>114</v>
      </c>
      <c r="C13" s="15">
        <f>C12/C10</f>
        <v>0.5271743531167035</v>
      </c>
      <c r="D13" s="15">
        <f>D12/D10</f>
        <v>0.5163854642562166</v>
      </c>
      <c r="E13" s="15">
        <f>E12/E10</f>
        <v>0.5261585758227579</v>
      </c>
      <c r="F13" s="15">
        <f>F12/F10</f>
        <v>0.5143489809645854</v>
      </c>
      <c r="G13" s="15">
        <f>G12/G10</f>
        <v>0.49882649080617353</v>
      </c>
      <c r="H13" s="14">
        <f>H12/H10</f>
        <v>0.5128286852589643</v>
      </c>
      <c r="I13" s="1"/>
      <c r="J13" s="1"/>
    </row>
    <row r="14">
      <c r="A14" s="1"/>
      <c r="B14" s="1" t="s">
        <v>115</v>
      </c>
      <c r="C14" s="5">
        <f>IF(Inputs!C173="","",Inputs!C173)</f>
        <v>475.663</v>
      </c>
      <c r="D14" s="5">
        <f>IF(Inputs!D173="","",Inputs!D173)</f>
        <v>130.91</v>
      </c>
      <c r="E14" s="5">
        <f>IF(Inputs!E173="","",Inputs!E173)</f>
        <v>127.634</v>
      </c>
      <c r="F14" s="5">
        <f>IF(Inputs!F173="","",Inputs!F173)</f>
        <v>129.316</v>
      </c>
      <c r="G14" s="5">
        <f>IF(Inputs!G173="","",Inputs!G173)</f>
        <v>144.427</v>
      </c>
      <c r="H14" s="18">
        <v>141</v>
      </c>
      <c r="I14" s="1"/>
      <c r="J14" s="1"/>
    </row>
    <row r="15">
      <c r="A15" s="1"/>
      <c r="B15" s="8" t="s">
        <v>116</v>
      </c>
      <c r="C15" s="3">
        <f>SUM(C11,C14)</f>
        <v>1573.445</v>
      </c>
      <c r="D15" s="3">
        <f>SUM(D11,D14)</f>
        <v>419.58000000000004</v>
      </c>
      <c r="E15" s="3">
        <f>SUM(E11,E14)</f>
        <v>415.55</v>
      </c>
      <c r="F15" s="3">
        <f>SUM(F11,F14)</f>
        <v>426.058</v>
      </c>
      <c r="G15" s="3">
        <f>SUM(G11,G14)</f>
        <v>456.61699999999996</v>
      </c>
      <c r="H15" s="4">
        <f>SUM(H11,H14)</f>
        <v>446.7</v>
      </c>
      <c r="I15" s="1"/>
      <c r="J15" s="1"/>
    </row>
    <row r="16">
      <c r="A16" s="1"/>
      <c r="B16" s="1"/>
      <c r="C16" s="2"/>
      <c r="D16" s="2"/>
      <c r="E16" s="2"/>
      <c r="F16" s="2"/>
      <c r="G16" s="2"/>
      <c r="H16" s="9"/>
      <c r="I16" s="1"/>
      <c r="J16" s="1"/>
    </row>
    <row r="17">
      <c r="A17" s="1"/>
      <c r="B17" s="1"/>
      <c r="C17" s="2"/>
      <c r="D17" s="2"/>
      <c r="E17" s="2"/>
      <c r="F17" s="2"/>
      <c r="G17" s="2"/>
      <c r="H17" s="9"/>
      <c r="I17" s="1"/>
      <c r="J17" s="1"/>
    </row>
    <row r="18">
      <c r="A18" s="1"/>
      <c r="B18" s="8" t="s">
        <v>117</v>
      </c>
      <c r="C18" s="3">
        <f>C10-C15</f>
        <v>748.3030000000001</v>
      </c>
      <c r="D18" s="3">
        <f>D10-D15</f>
        <v>177.3209999999998</v>
      </c>
      <c r="E18" s="3">
        <f>E10-E15</f>
        <v>192.07099999999997</v>
      </c>
      <c r="F18" s="3">
        <f>F10-F15</f>
        <v>184.961</v>
      </c>
      <c r="G18" s="3">
        <f>G10-G15</f>
        <v>166.30100000000004</v>
      </c>
      <c r="H18" s="4">
        <f>H10-H15</f>
        <v>180.80000000000013</v>
      </c>
      <c r="I18" s="1"/>
      <c r="J18" s="1"/>
    </row>
    <row r="19">
      <c r="A19" s="1"/>
      <c r="B19" s="1" t="s">
        <v>118</v>
      </c>
      <c r="C19" s="15">
        <f>C18/C10</f>
        <v>0.3223015589977896</v>
      </c>
      <c r="D19" s="15">
        <f>D18/D10</f>
        <v>0.29706936326124406</v>
      </c>
      <c r="E19" s="15">
        <f>E18/E10</f>
        <v>0.3161032946524231</v>
      </c>
      <c r="F19" s="15">
        <f>F18/F10</f>
        <v>0.3027090810596725</v>
      </c>
      <c r="G19" s="15">
        <f>G18/G10</f>
        <v>0.26697093357392154</v>
      </c>
      <c r="H19" s="14">
        <f>H18/H10</f>
        <v>0.2881274900398408</v>
      </c>
      <c r="I19" s="1"/>
      <c r="J19" s="1"/>
    </row>
    <row r="20">
      <c r="A20" s="1"/>
      <c r="B20" s="1" t="s">
        <v>119</v>
      </c>
      <c r="C20" s="5">
        <f>IF(Inputs!C156="","",Inputs!C156)</f>
        <v>6.533</v>
      </c>
      <c r="D20" s="5">
        <f>IF(Inputs!D156="","",Inputs!D156)</f>
        <v>2.05</v>
      </c>
      <c r="E20" s="5">
        <f>IF(Inputs!E156="","",Inputs!E156)</f>
        <v>1.089</v>
      </c>
      <c r="F20" s="5">
        <f>IF(Inputs!F156="","",Inputs!F156)</f>
        <v>0.891</v>
      </c>
      <c r="G20" s="5">
        <f>IF(Inputs!G156="","",Inputs!G156)</f>
        <v>0.642</v>
      </c>
      <c r="H20" s="18">
        <v>0.65</v>
      </c>
      <c r="I20" s="1"/>
      <c r="J20" s="1"/>
    </row>
    <row r="21">
      <c r="A21" s="1"/>
      <c r="B21" s="1" t="s">
        <v>120</v>
      </c>
      <c r="C21" s="5">
        <f>IF(Inputs!C155="","",Inputs!C155)</f>
        <v>-56.324</v>
      </c>
      <c r="D21" s="5">
        <f>IF(Inputs!D155="","",Inputs!D155)</f>
        <v>-12.886</v>
      </c>
      <c r="E21" s="5">
        <f>IF(Inputs!E155="","",Inputs!E155)</f>
        <v>-13.385</v>
      </c>
      <c r="F21" s="5">
        <f>IF(Inputs!F155="","",Inputs!F155)</f>
        <v>-13.062</v>
      </c>
      <c r="G21" s="5">
        <f>IF(Inputs!G155="","",Inputs!G155)</f>
        <v>-13.839</v>
      </c>
      <c r="H21" s="18">
        <v>-13.8</v>
      </c>
      <c r="I21" s="1"/>
      <c r="J21" s="1"/>
    </row>
    <row r="22">
      <c r="A22" s="1"/>
      <c r="B22" s="1" t="s">
        <v>121</v>
      </c>
      <c r="C22" s="5">
        <f>IF(Inputs!C163="","",Inputs!C163)</f>
        <v>22.446</v>
      </c>
      <c r="D22" s="5">
        <f>IF(Inputs!D163="","",Inputs!D163)</f>
        <v>22.466</v>
      </c>
      <c r="E22" s="5">
        <f>IF(Inputs!E163="","",Inputs!E163)</f>
        <v>10.338</v>
      </c>
      <c r="F22" s="5">
        <f>IF(Inputs!F163="","",Inputs!F163)</f>
        <v>-11.679</v>
      </c>
      <c r="G22" s="5">
        <f>IF(Inputs!G163="","",Inputs!G163)</f>
        <v>1.017</v>
      </c>
      <c r="H22" s="18">
        <v>-1.1</v>
      </c>
      <c r="I22" s="1"/>
      <c r="J22" s="1"/>
    </row>
    <row r="23">
      <c r="A23" s="1"/>
      <c r="B23" s="8" t="s">
        <v>122</v>
      </c>
      <c r="C23" s="3">
        <f>SUM(C18,C20:C22)</f>
        <v>720.9580000000001</v>
      </c>
      <c r="D23" s="3">
        <f>SUM(D18,D20:D22)</f>
        <v>188.9509999999998</v>
      </c>
      <c r="E23" s="3">
        <f>SUM(E18,E20:E22)</f>
        <v>190.11299999999997</v>
      </c>
      <c r="F23" s="3">
        <f>SUM(F18,F20:F22)</f>
        <v>161.11100000000002</v>
      </c>
      <c r="G23" s="3">
        <f>SUM(G18,G20:G22)</f>
        <v>154.12100000000004</v>
      </c>
      <c r="H23" s="4">
        <f>SUM(H18,H20:H22)</f>
        <v>166.55000000000013</v>
      </c>
      <c r="I23" s="1"/>
      <c r="J23" s="1"/>
    </row>
    <row r="24">
      <c r="A24" s="1"/>
      <c r="B24" s="1" t="s">
        <v>123</v>
      </c>
      <c r="C24" s="5">
        <f>IF(Inputs!C174="","",Inputs!C174)</f>
        <v>123.918</v>
      </c>
      <c r="D24" s="5">
        <f>IF(Inputs!D174="","",Inputs!D174)</f>
        <v>35.335</v>
      </c>
      <c r="E24" s="5">
        <f>IF(Inputs!E174="","",Inputs!E174)</f>
        <v>37.533</v>
      </c>
      <c r="F24" s="5">
        <f>IF(Inputs!F174="","",Inputs!F174)</f>
        <v>28.055</v>
      </c>
      <c r="G24" s="5">
        <f>IF(Inputs!G174="","",Inputs!G174)</f>
        <v>27.403</v>
      </c>
      <c r="H24" s="9">
        <f>H23*H25</f>
        <v>30.81175000000002</v>
      </c>
      <c r="I24" s="1"/>
      <c r="J24" s="1"/>
    </row>
    <row r="25">
      <c r="A25" s="1"/>
      <c r="B25" s="1" t="s">
        <v>124</v>
      </c>
      <c r="C25" s="15">
        <f>C24/C23</f>
        <v>0.17187963792620373</v>
      </c>
      <c r="D25" s="15">
        <f>D24/D23</f>
        <v>0.18700615503490345</v>
      </c>
      <c r="E25" s="15">
        <f>E24/E23</f>
        <v>0.19742468952675518</v>
      </c>
      <c r="F25" s="15">
        <f>F24/F23</f>
        <v>0.17413460285145022</v>
      </c>
      <c r="G25" s="15">
        <f>G24/G23</f>
        <v>0.1778018569825007</v>
      </c>
      <c r="H25" s="30">
        <v>0.185</v>
      </c>
      <c r="I25" s="1"/>
      <c r="J25" s="1"/>
    </row>
    <row r="26">
      <c r="A26" s="1"/>
      <c r="B26" s="8" t="s">
        <v>125</v>
      </c>
      <c r="C26" s="3">
        <f>C23-C24</f>
        <v>597.0400000000001</v>
      </c>
      <c r="D26" s="3">
        <f>D23-D24</f>
        <v>153.6159999999998</v>
      </c>
      <c r="E26" s="3">
        <f>E23-E24</f>
        <v>152.57999999999998</v>
      </c>
      <c r="F26" s="3">
        <f>F23-F24</f>
        <v>133.056</v>
      </c>
      <c r="G26" s="3">
        <f>G23-G24</f>
        <v>126.71800000000005</v>
      </c>
      <c r="H26" s="4">
        <f>H23-H24</f>
        <v>135.7382500000001</v>
      </c>
      <c r="I26" s="1"/>
      <c r="J26" s="1"/>
    </row>
    <row r="27">
      <c r="A27" s="1"/>
      <c r="B27" s="1" t="s">
        <v>126</v>
      </c>
      <c r="C27" s="15">
        <f>C26/C10</f>
        <v>0.2571510775501907</v>
      </c>
      <c r="D27" s="15">
        <f>D26/D10</f>
        <v>0.2573559099415143</v>
      </c>
      <c r="E27" s="15">
        <f>E26/E10</f>
        <v>0.25111047840677</v>
      </c>
      <c r="F27" s="15">
        <f>F26/F10</f>
        <v>0.21776082249488152</v>
      </c>
      <c r="G27" s="15">
        <f>G26/G10</f>
        <v>0.20342645420424527</v>
      </c>
      <c r="H27" s="14">
        <f>H26/H10</f>
        <v>0.21631593625498022</v>
      </c>
      <c r="I27" s="1"/>
      <c r="J27" s="1"/>
    </row>
    <row r="28">
      <c r="A28" s="1"/>
      <c r="B28" s="1" t="s">
        <v>127</v>
      </c>
      <c r="C28" s="5">
        <f>'Share Count'!C14</f>
        <v>37.924</v>
      </c>
      <c r="D28" s="5">
        <f>'Share Count'!D14</f>
        <v>37.757</v>
      </c>
      <c r="E28" s="5">
        <f>'Share Count'!E14</f>
        <v>37.409</v>
      </c>
      <c r="F28" s="5">
        <f>'Share Count'!F14</f>
        <v>36.927</v>
      </c>
      <c r="G28" s="5">
        <f>'Share Count'!G14</f>
        <v>36.122</v>
      </c>
      <c r="H28" s="31">
        <f>'Share Count'!H14</f>
        <v>35.652453</v>
      </c>
      <c r="I28" s="1"/>
      <c r="J28" s="1"/>
    </row>
    <row r="29">
      <c r="A29" s="1"/>
      <c r="B29" s="1" t="s">
        <v>128</v>
      </c>
      <c r="C29" s="5">
        <f>'Share Count'!C19</f>
        <v>38.385</v>
      </c>
      <c r="D29" s="5">
        <f>'Share Count'!D19</f>
        <v>38.158</v>
      </c>
      <c r="E29" s="5">
        <f>'Share Count'!E19</f>
        <v>37.615</v>
      </c>
      <c r="F29" s="5">
        <f>'Share Count'!F19</f>
        <v>37.063</v>
      </c>
      <c r="G29" s="5">
        <f>'Share Count'!G19</f>
        <v>36.191</v>
      </c>
      <c r="H29" s="31">
        <f>'Share Count'!H19</f>
        <v>35.752453</v>
      </c>
      <c r="I29" s="1"/>
      <c r="J29" s="1"/>
    </row>
    <row r="30">
      <c r="A30" s="1"/>
      <c r="B30" s="1" t="s">
        <v>129</v>
      </c>
      <c r="C30" s="38">
        <f>C26/C28</f>
        <v>15.74306507752347</v>
      </c>
      <c r="D30" s="38">
        <f>D26/D28</f>
        <v>4.068543581322663</v>
      </c>
      <c r="E30" s="38">
        <f>E26/E28</f>
        <v>4.078697639605442</v>
      </c>
      <c r="F30" s="38">
        <f>F26/F28</f>
        <v>3.603217158176944</v>
      </c>
      <c r="G30" s="38">
        <f>G26/G28</f>
        <v>3.5080560323348666</v>
      </c>
      <c r="H30" s="37">
        <f>H26/H28</f>
        <v>3.807262574611629</v>
      </c>
      <c r="I30" s="1"/>
      <c r="J30" s="1"/>
    </row>
    <row r="31">
      <c r="A31" s="1"/>
      <c r="B31" s="8" t="s">
        <v>22</v>
      </c>
      <c r="C31" s="24">
        <f>C26/C29</f>
        <v>15.553992444965484</v>
      </c>
      <c r="D31" s="24">
        <f>D26/D29</f>
        <v>4.025787515068918</v>
      </c>
      <c r="E31" s="24">
        <f>E26/E29</f>
        <v>4.056360494483583</v>
      </c>
      <c r="F31" s="24">
        <f>F26/F29</f>
        <v>3.589995413215336</v>
      </c>
      <c r="G31" s="24">
        <f>G26/G29</f>
        <v>3.50136774336161</v>
      </c>
      <c r="H31" s="36">
        <f>H26/H29</f>
        <v>3.796613619770372</v>
      </c>
      <c r="I31" s="1"/>
      <c r="J31" s="1"/>
    </row>
    <row r="32">
      <c r="A32" s="1"/>
      <c r="B32" s="1" t="s">
        <v>130</v>
      </c>
      <c r="C32" s="2">
        <f>C31-C26/C29</f>
        <v>0</v>
      </c>
      <c r="D32" s="2">
        <f>D31-D26/D29</f>
        <v>0</v>
      </c>
      <c r="E32" s="2">
        <f>E31-E26/E29</f>
        <v>0</v>
      </c>
      <c r="F32" s="2">
        <f>F31-F26/F29</f>
        <v>0</v>
      </c>
      <c r="G32" s="2">
        <f>G31-G26/G29</f>
        <v>0</v>
      </c>
      <c r="H32" s="9">
        <f>H31-H26/H29</f>
        <v>0</v>
      </c>
      <c r="I32" s="1"/>
      <c r="J32" s="1"/>
    </row>
    <row r="33">
      <c r="A33" s="1"/>
      <c r="B33" s="1"/>
      <c r="C33" s="2"/>
      <c r="D33" s="2"/>
      <c r="E33" s="2"/>
      <c r="F33" s="2"/>
      <c r="G33" s="2"/>
      <c r="H33" s="9"/>
      <c r="I33" s="1"/>
      <c r="J33" s="1"/>
    </row>
    <row r="34">
      <c r="A34" s="1"/>
      <c r="B34" s="1" t="s">
        <v>131</v>
      </c>
      <c r="C34" s="2"/>
      <c r="D34" s="2"/>
      <c r="E34" s="2"/>
      <c r="F34" s="2"/>
      <c r="G34" s="2"/>
      <c r="H34" s="9"/>
      <c r="I34" s="1"/>
      <c r="J34" s="1"/>
    </row>
    <row r="35">
      <c r="A35" s="1"/>
      <c r="B35" s="1" t="s">
        <v>132</v>
      </c>
      <c r="C35" s="5">
        <f>IF(Inputs!C92="","",Inputs!C92)</f>
        <v>54.074</v>
      </c>
      <c r="D35" s="5">
        <f>IF(Inputs!D92="","",Inputs!D92)</f>
        <v>16.301</v>
      </c>
      <c r="E35" s="5">
        <f>IF(Inputs!E92="","",Inputs!E92)</f>
        <v>15.404</v>
      </c>
      <c r="F35" s="5">
        <f>IF(Inputs!F92="","",Inputs!F92)</f>
        <v>15.121</v>
      </c>
      <c r="G35" s="5">
        <f>IF(Inputs!G92="","",Inputs!G92)</f>
        <v>14.534</v>
      </c>
      <c r="H35" s="18">
        <v>14.4</v>
      </c>
      <c r="I35" s="1"/>
      <c r="J35" s="1"/>
    </row>
    <row r="36">
      <c r="A36" s="1"/>
      <c r="B36" s="1" t="s">
        <v>133</v>
      </c>
      <c r="C36" s="5">
        <f>IF(Inputs!C102="","",Inputs!C102)</f>
        <v>0.192</v>
      </c>
      <c r="D36" s="5">
        <f>IF(Inputs!D102="","",Inputs!D102)</f>
        <v>0.491</v>
      </c>
      <c r="E36" s="5">
        <f>IF(Inputs!E102="","",Inputs!E102)</f>
        <v>-0.402</v>
      </c>
      <c r="F36" s="5">
        <f>IF(Inputs!F102="","",Inputs!F102)</f>
        <v>0.135</v>
      </c>
      <c r="G36" s="5">
        <f>IF(Inputs!G102="","",Inputs!G102)</f>
        <v>15.03</v>
      </c>
      <c r="H36" s="18">
        <v>1.4</v>
      </c>
      <c r="I36" s="1"/>
      <c r="J36" s="1"/>
    </row>
    <row r="37">
      <c r="A37" s="1"/>
      <c r="B37" s="1" t="s">
        <v>134</v>
      </c>
      <c r="C37" s="5" t="str">
        <f>IF(Inputs!C95="","",Inputs!C95)</f>
        <v/>
      </c>
      <c r="D37" s="5" t="str">
        <f>IF(Inputs!D95="","",Inputs!D95)</f>
        <v/>
      </c>
      <c r="E37" s="5">
        <f>IF(Inputs!E95="","",Inputs!E95)</f>
        <v>5.376</v>
      </c>
      <c r="F37" s="5">
        <f>IF(Inputs!F95="","",Inputs!F95)</f>
        <v>3.109</v>
      </c>
      <c r="G37" s="5">
        <f>IF(Inputs!G95="","",Inputs!G95)</f>
        <v>3.309</v>
      </c>
      <c r="H37" s="18">
        <v>0</v>
      </c>
      <c r="I37" s="1"/>
      <c r="J37" s="1"/>
    </row>
    <row r="38">
      <c r="A38" s="1"/>
      <c r="B38" s="1" t="s">
        <v>135</v>
      </c>
      <c r="C38" s="5">
        <f>IF(Inputs!C91="","",Inputs!C91)</f>
        <v>13.15</v>
      </c>
      <c r="D38" s="5">
        <f>IF(Inputs!D91="","",Inputs!D91)</f>
        <v>2.55</v>
      </c>
      <c r="E38" s="5">
        <f>IF(Inputs!E91="","",Inputs!E91)</f>
        <v>2.14</v>
      </c>
      <c r="F38" s="5">
        <f>IF(Inputs!F91="","",Inputs!F91)</f>
        <v>1.611</v>
      </c>
      <c r="G38" s="5">
        <f>IF(Inputs!G91="","",Inputs!G91)</f>
        <v>1.355</v>
      </c>
      <c r="H38" s="18">
        <v>0.2</v>
      </c>
      <c r="I38" s="1"/>
      <c r="J38" s="1"/>
    </row>
    <row r="39">
      <c r="A39" s="1"/>
      <c r="B39" s="1" t="s">
        <v>136</v>
      </c>
      <c r="C39" s="5" t="str">
        <f>IF(Inputs!C98="","",Inputs!C98)</f>
        <v/>
      </c>
      <c r="D39" s="5" t="str">
        <f>IF(Inputs!D98="","",Inputs!D98)</f>
        <v/>
      </c>
      <c r="E39" s="5" t="str">
        <f>IF(Inputs!E98="","",Inputs!E98)</f>
        <v/>
      </c>
      <c r="F39" s="5">
        <f>IF(Inputs!F98="","",Inputs!F98)</f>
        <v>10.249</v>
      </c>
      <c r="G39" s="5">
        <f>IF(Inputs!G98="","",Inputs!G98)</f>
        <v>2.297</v>
      </c>
      <c r="H39" s="18">
        <v>0</v>
      </c>
      <c r="I39" s="1"/>
      <c r="J39" s="1"/>
    </row>
    <row r="40">
      <c r="A40" s="1"/>
      <c r="B40" s="1" t="s">
        <v>137</v>
      </c>
      <c r="C40" s="5" t="str">
        <f>IF(Inputs!C94="","",Inputs!C94)</f>
        <v/>
      </c>
      <c r="D40" s="5" t="str">
        <f>IF(Inputs!D94="","",Inputs!D94)</f>
        <v/>
      </c>
      <c r="E40" s="5" t="str">
        <f>IF(Inputs!E94="","",Inputs!E94)</f>
        <v/>
      </c>
      <c r="F40" s="5" t="str">
        <f>IF(Inputs!F94="","",Inputs!F94)</f>
        <v/>
      </c>
      <c r="G40" s="5">
        <f>IF(Inputs!G94="","",Inputs!G94)</f>
        <v>0.574</v>
      </c>
      <c r="H40" s="18">
        <v>0</v>
      </c>
      <c r="I40" s="1"/>
      <c r="J40" s="1"/>
    </row>
    <row r="41">
      <c r="A41" s="1"/>
      <c r="B41" s="1" t="s">
        <v>138</v>
      </c>
      <c r="C41" s="5" t="str">
        <f>IF(Inputs!C100="","",Inputs!C100)</f>
        <v/>
      </c>
      <c r="D41" s="5" t="str">
        <f>IF(Inputs!D100="","",Inputs!D100)</f>
        <v/>
      </c>
      <c r="E41" s="5" t="str">
        <f>IF(Inputs!E100="","",Inputs!E100)</f>
        <v/>
      </c>
      <c r="F41" s="5">
        <f>IF(Inputs!F100="","",Inputs!F100)</f>
        <v>2.273</v>
      </c>
      <c r="G41" s="5">
        <f>IF(Inputs!G100="","",Inputs!G100)</f>
        <v>0</v>
      </c>
      <c r="H41" s="18">
        <v>0</v>
      </c>
      <c r="I41" s="1"/>
      <c r="J41" s="1"/>
    </row>
    <row r="42">
      <c r="A42" s="1"/>
      <c r="B42" s="1" t="s">
        <v>139</v>
      </c>
      <c r="C42" s="5">
        <f>IF(Inputs!C93="","",Inputs!C93)</f>
        <v>0</v>
      </c>
      <c r="D42" s="5">
        <f>IF(Inputs!D93="","",Inputs!D93)</f>
        <v>0</v>
      </c>
      <c r="E42" s="5" t="str">
        <f>IF(Inputs!E93="","",Inputs!E93)</f>
        <v/>
      </c>
      <c r="F42" s="5">
        <f>IF(Inputs!F93="","",Inputs!F93)</f>
        <v>0.699</v>
      </c>
      <c r="G42" s="5">
        <f>IF(Inputs!G93="","",Inputs!G93)</f>
        <v>0</v>
      </c>
      <c r="H42" s="18">
        <v>0</v>
      </c>
      <c r="I42" s="1"/>
      <c r="J42" s="1"/>
    </row>
    <row r="43">
      <c r="A43" s="1"/>
      <c r="B43" s="1" t="s">
        <v>140</v>
      </c>
      <c r="C43" s="5">
        <f>IF(Inputs!C103="","",Inputs!C103)</f>
        <v>1.775</v>
      </c>
      <c r="D43" s="5">
        <f>IF(Inputs!D103="","",Inputs!D103)</f>
        <v>0</v>
      </c>
      <c r="E43" s="5">
        <f>IF(Inputs!E103="","",Inputs!E103)</f>
        <v>0</v>
      </c>
      <c r="F43" s="5">
        <f>IF(Inputs!F103="","",Inputs!F103)</f>
        <v>0</v>
      </c>
      <c r="G43" s="5">
        <f>IF(Inputs!G103="","",Inputs!G103)</f>
        <v>0</v>
      </c>
      <c r="H43" s="18">
        <v>0</v>
      </c>
      <c r="I43" s="1"/>
      <c r="J43" s="1"/>
    </row>
    <row r="44">
      <c r="A44" s="1"/>
      <c r="B44" s="1" t="s">
        <v>141</v>
      </c>
      <c r="C44" s="5">
        <f>IF(Inputs!C96="","",Inputs!C96)</f>
        <v>-17.205</v>
      </c>
      <c r="D44" s="5">
        <f>IF(Inputs!D96="","",Inputs!D96)</f>
        <v>-19.795</v>
      </c>
      <c r="E44" s="5" t="str">
        <f>IF(Inputs!E96="","",Inputs!E96)</f>
        <v/>
      </c>
      <c r="F44" s="5" t="str">
        <f>IF(Inputs!F96="","",Inputs!F96)</f>
        <v/>
      </c>
      <c r="G44" s="5" t="str">
        <f>IF(Inputs!G96="","",Inputs!G96)</f>
        <v/>
      </c>
      <c r="H44" s="18">
        <v>0</v>
      </c>
      <c r="I44" s="1"/>
      <c r="J44" s="1"/>
    </row>
    <row r="45">
      <c r="A45" s="1"/>
      <c r="B45" s="1" t="s">
        <v>142</v>
      </c>
      <c r="C45" s="5" t="str">
        <f>IF(Inputs!C101="","",Inputs!C101)</f>
        <v/>
      </c>
      <c r="D45" s="5" t="str">
        <f>IF(Inputs!D101="","",Inputs!D101)</f>
        <v/>
      </c>
      <c r="E45" s="5">
        <f>IF(Inputs!E101="","",Inputs!E101)</f>
        <v>-0.301</v>
      </c>
      <c r="F45" s="5">
        <f>IF(Inputs!F101="","",Inputs!F101)</f>
        <v>-0.13</v>
      </c>
      <c r="G45" s="5">
        <f>IF(Inputs!G101="","",Inputs!G101)</f>
        <v>-0.048</v>
      </c>
      <c r="H45" s="18">
        <v>0</v>
      </c>
      <c r="I45" s="1"/>
      <c r="J45" s="1"/>
    </row>
    <row r="46">
      <c r="A46" s="1"/>
      <c r="B46" s="1" t="s">
        <v>143</v>
      </c>
      <c r="C46" s="5">
        <f>IF(Inputs!C104="","",Inputs!C104)</f>
        <v>1.351</v>
      </c>
      <c r="D46" s="5">
        <f>IF(Inputs!D104="","",Inputs!D104)</f>
        <v>0</v>
      </c>
      <c r="E46" s="5">
        <f>IF(Inputs!E104="","",Inputs!E104)</f>
        <v>0</v>
      </c>
      <c r="F46" s="5">
        <f>IF(Inputs!F104="","",Inputs!F104)</f>
        <v>-0.852</v>
      </c>
      <c r="G46" s="5">
        <f>IF(Inputs!G104="","",Inputs!G104)</f>
        <v>0</v>
      </c>
      <c r="H46" s="18">
        <v>0</v>
      </c>
      <c r="I46" s="1"/>
      <c r="J46" s="1"/>
    </row>
    <row r="47">
      <c r="A47" s="1"/>
      <c r="B47" s="1" t="s">
        <v>144</v>
      </c>
      <c r="C47" s="5">
        <f>IF(Inputs!C97="","",Inputs!C97)</f>
        <v>1.24</v>
      </c>
      <c r="D47" s="5">
        <f>IF(Inputs!D97="","",Inputs!D97)</f>
        <v>1.427</v>
      </c>
      <c r="E47" s="5" t="str">
        <f>IF(Inputs!E97="","",Inputs!E97)</f>
        <v/>
      </c>
      <c r="F47" s="5" t="str">
        <f>IF(Inputs!F97="","",Inputs!F97)</f>
        <v/>
      </c>
      <c r="G47" s="5" t="str">
        <f>IF(Inputs!G97="","",Inputs!G97)</f>
        <v/>
      </c>
      <c r="H47" s="18">
        <v>0</v>
      </c>
      <c r="I47" s="1"/>
      <c r="J47" s="1"/>
    </row>
    <row r="48">
      <c r="A48" s="1"/>
      <c r="B48" s="1" t="s">
        <v>145</v>
      </c>
      <c r="C48" s="5" t="str">
        <f>IF(Inputs!C99="","",Inputs!C99)</f>
        <v/>
      </c>
      <c r="D48" s="5" t="str">
        <f>IF(Inputs!D99="","",Inputs!D99)</f>
        <v/>
      </c>
      <c r="E48" s="5">
        <f>IF(Inputs!E99="","",Inputs!E99)</f>
        <v>-5.226</v>
      </c>
      <c r="F48" s="5">
        <f>IF(Inputs!F99="","",Inputs!F99)</f>
        <v>0</v>
      </c>
      <c r="G48" s="5" t="str">
        <f>IF(Inputs!G99="","",Inputs!G99)</f>
        <v/>
      </c>
      <c r="H48" s="18">
        <v>0</v>
      </c>
      <c r="I48" s="1"/>
      <c r="J48" s="1"/>
    </row>
    <row r="49">
      <c r="A49" s="1"/>
      <c r="B49" s="8" t="s">
        <v>146</v>
      </c>
      <c r="C49" s="3">
        <f>SUM(C26,C35:C48)</f>
        <v>651.6170000000001</v>
      </c>
      <c r="D49" s="3">
        <f>SUM(D26,D35:D48)</f>
        <v>154.58999999999978</v>
      </c>
      <c r="E49" s="3">
        <f>SUM(E26,E35:E48)</f>
        <v>169.571</v>
      </c>
      <c r="F49" s="3">
        <f>SUM(F26,F35:F48)</f>
        <v>165.27100000000002</v>
      </c>
      <c r="G49" s="3">
        <f>SUM(G26,G35:G48)</f>
        <v>163.76900000000003</v>
      </c>
      <c r="H49" s="4">
        <f>SUM(H26,H35:H48)</f>
        <v>151.7382500000001</v>
      </c>
      <c r="I49" s="1"/>
      <c r="J49" s="1"/>
    </row>
    <row r="50">
      <c r="A50" s="1"/>
      <c r="B50" s="8" t="s">
        <v>21</v>
      </c>
      <c r="C50" s="24">
        <f>C49/C29</f>
        <v>16.975823889540187</v>
      </c>
      <c r="D50" s="24">
        <f>D49/D29</f>
        <v>4.051312961895271</v>
      </c>
      <c r="E50" s="24">
        <f>E49/E29</f>
        <v>4.5080685896583805</v>
      </c>
      <c r="F50" s="24">
        <f>F49/F29</f>
        <v>4.459191107033969</v>
      </c>
      <c r="G50" s="24">
        <f>G49/G29</f>
        <v>4.525130557320882</v>
      </c>
      <c r="H50" s="36">
        <f>H49/H29</f>
        <v>4.244135360446459</v>
      </c>
      <c r="I50" s="1"/>
      <c r="J50" s="1"/>
    </row>
    <row r="51">
      <c r="A51" s="1"/>
      <c r="B51" s="1" t="s">
        <v>147</v>
      </c>
      <c r="C51" s="2">
        <f>C49-SUM(C26,C35:C48)</f>
        <v>0</v>
      </c>
      <c r="D51" s="2">
        <f>D49-SUM(D26,D35:D48)</f>
        <v>0</v>
      </c>
      <c r="E51" s="2">
        <f>E49-SUM(E26,E35:E48)</f>
        <v>0</v>
      </c>
      <c r="F51" s="2">
        <f>F49-SUM(F26,F35:F48)</f>
        <v>0</v>
      </c>
      <c r="G51" s="2">
        <f>G49-SUM(G26,G35:G48)</f>
        <v>0</v>
      </c>
      <c r="H51" s="9">
        <f>H49-SUM(H26,H35:H48)</f>
        <v>0</v>
      </c>
      <c r="I51" s="1"/>
      <c r="J51" s="1"/>
    </row>
    <row r="52">
      <c r="A52" s="1"/>
      <c r="B52" s="1" t="s">
        <v>148</v>
      </c>
      <c r="C52" s="15"/>
      <c r="D52" s="15"/>
      <c r="E52" s="15"/>
      <c r="F52" s="15"/>
      <c r="G52" s="15"/>
      <c r="H52" s="14">
        <f>H50/D50-1</f>
        <v>0.04759503903173723</v>
      </c>
      <c r="I52" s="1"/>
      <c r="J52" s="1"/>
    </row>
    <row r="53">
      <c r="A53" s="1"/>
      <c r="B53" s="1" t="s">
        <v>149</v>
      </c>
      <c r="C53" s="15"/>
      <c r="D53" s="15"/>
      <c r="E53" s="15"/>
      <c r="F53" s="15"/>
      <c r="G53" s="15"/>
      <c r="H53" s="14">
        <f>H10/D10-1</f>
        <v>0.05126310728244765</v>
      </c>
      <c r="I53" s="1"/>
      <c r="J53" s="1"/>
    </row>
    <row r="54">
      <c r="A54" s="1"/>
      <c r="B54" s="1" t="s">
        <v>150</v>
      </c>
      <c r="C54" s="15"/>
      <c r="D54" s="15"/>
      <c r="E54" s="15"/>
      <c r="F54" s="15"/>
      <c r="G54" s="15"/>
      <c r="H54" s="14">
        <f>H26/D26-1</f>
        <v>-0.11637947870013343</v>
      </c>
      <c r="I54" s="1"/>
      <c r="J54" s="1"/>
    </row>
    <row r="55">
      <c r="A55" s="1"/>
      <c r="B55" s="1" t="s">
        <v>151</v>
      </c>
      <c r="C55" s="15"/>
      <c r="D55" s="15"/>
      <c r="E55" s="15"/>
      <c r="F55" s="15"/>
      <c r="G55" s="15"/>
      <c r="H55" s="14">
        <f>H31/D31-1</f>
        <v>-0.056926475736915005</v>
      </c>
      <c r="I55" s="1"/>
      <c r="J55" s="1"/>
    </row>
    <row r="56">
      <c r="A56" s="1"/>
      <c r="B56" s="1" t="s">
        <v>152</v>
      </c>
      <c r="C56" s="16">
        <f>Inputs!C180/C10</f>
        <v>0.36327456726569807</v>
      </c>
      <c r="D56" s="16">
        <f>Inputs!D180/D10</f>
        <v>0.3379136573736684</v>
      </c>
      <c r="E56" s="16">
        <f>Inputs!E180/E10</f>
        <v>0.3622225038305128</v>
      </c>
      <c r="F56" s="16">
        <f>Inputs!F180/F10</f>
        <v>0.35034589759074597</v>
      </c>
      <c r="G56" s="16">
        <f>Inputs!G180/G10</f>
        <v>0.33993559344889696</v>
      </c>
      <c r="H56" s="14">
        <f>(H18+SUM(H57:H59))/H10</f>
        <v>0.32007968127490055</v>
      </c>
      <c r="I56" s="1"/>
      <c r="J56" s="1"/>
    </row>
    <row r="57">
      <c r="A57" s="1"/>
      <c r="B57" s="1" t="s">
        <v>153</v>
      </c>
      <c r="C57" s="2"/>
      <c r="D57" s="2"/>
      <c r="E57" s="2"/>
      <c r="F57" s="2"/>
      <c r="G57" s="2"/>
      <c r="H57" s="18">
        <v>18</v>
      </c>
      <c r="I57" s="1"/>
      <c r="J57" s="1"/>
    </row>
    <row r="58">
      <c r="A58" s="1"/>
      <c r="B58" s="1" t="s">
        <v>154</v>
      </c>
      <c r="C58" s="2"/>
      <c r="D58" s="2"/>
      <c r="E58" s="2"/>
      <c r="F58" s="2"/>
      <c r="G58" s="2"/>
      <c r="H58" s="18">
        <v>1.8</v>
      </c>
      <c r="I58" s="1"/>
      <c r="J58" s="1"/>
    </row>
    <row r="59">
      <c r="A59" s="1"/>
      <c r="B59" s="1" t="s">
        <v>155</v>
      </c>
      <c r="C59" s="2"/>
      <c r="D59" s="2"/>
      <c r="E59" s="2"/>
      <c r="F59" s="2"/>
      <c r="G59" s="2"/>
      <c r="H59" s="18">
        <v>0.25</v>
      </c>
      <c r="I59" s="1"/>
      <c r="J59" s="1"/>
    </row>
    <row r="60">
      <c r="A60" s="1"/>
      <c r="B60" s="8" t="s">
        <v>156</v>
      </c>
      <c r="C60" s="10">
        <f>SUM('Segment - Americas'!C29,'Segment - EMEA'!C29,'Segment - Asia Pacific'!C29)-C18</f>
        <v>0</v>
      </c>
      <c r="D60" s="10">
        <f>SUM('Segment - Americas'!D29,'Segment - EMEA'!D29,'Segment - Asia Pacific'!D29)-D18</f>
        <v>0</v>
      </c>
      <c r="E60" s="10">
        <f>SUM('Segment - Americas'!E29,'Segment - EMEA'!E29,'Segment - Asia Pacific'!E29)-E18</f>
        <v>0</v>
      </c>
      <c r="F60" s="10">
        <f>SUM('Segment - Americas'!F29,'Segment - EMEA'!F29,'Segment - Asia Pacific'!F29)-F18</f>
        <v>0</v>
      </c>
      <c r="G60" s="10">
        <f>SUM('Segment - Americas'!G29,'Segment - EMEA'!G29,'Segment - Asia Pacific'!G29)-G18</f>
        <v>0</v>
      </c>
      <c r="H60" s="28">
        <f>SUM('Segment - Americas'!H29,'Segment - EMEA'!H29,'Segment - Asia Pacific'!H29)-H18</f>
        <v>0</v>
      </c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157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158</v>
      </c>
      <c r="C10" s="5">
        <f>IF(Inputs!C114="",0,Inputs!C114)</f>
        <v>337.651</v>
      </c>
      <c r="D10" s="5">
        <f>IF(Inputs!D114="",0,Inputs!D114)</f>
        <v>337.651</v>
      </c>
      <c r="E10" s="5">
        <f>IF(Inputs!E114="",0,Inputs!E114)</f>
        <v>275.448</v>
      </c>
      <c r="F10" s="5">
        <f>IF(Inputs!F114="",0,Inputs!F114)</f>
        <v>268.338</v>
      </c>
      <c r="G10" s="5">
        <f>IF(Inputs!G114="",0,Inputs!G114)</f>
        <v>288.114</v>
      </c>
      <c r="H10" s="31">
        <f>G10+'Cash Flow Statement'!H43-SUM('Cash Flow Statement'!H46,'Cash Flow Statement'!H47)+SUM('Cash Flow Statement'!G46,'Cash Flow Statement'!G47)</f>
        <v>344.6022500000001</v>
      </c>
      <c r="I10" s="1"/>
      <c r="J10" s="1"/>
    </row>
    <row r="11">
      <c r="A11" s="1"/>
      <c r="B11" s="1" t="s">
        <v>159</v>
      </c>
      <c r="C11" s="5">
        <f>IF(Inputs!C157="",0,Inputs!C157)</f>
        <v>17.445</v>
      </c>
      <c r="D11" s="5">
        <f>IF(Inputs!D157="",0,Inputs!D157)</f>
        <v>17.445</v>
      </c>
      <c r="E11" s="5">
        <f>IF(Inputs!E157="",0,Inputs!E157)</f>
        <v>17.233</v>
      </c>
      <c r="F11" s="5">
        <f>IF(Inputs!F157="",0,Inputs!F157)</f>
        <v>16.929</v>
      </c>
      <c r="G11" s="5">
        <f>IF(Inputs!G157="",0,Inputs!G157)</f>
        <v>16.122</v>
      </c>
      <c r="H11" s="9">
        <f>G11</f>
        <v>16.122</v>
      </c>
      <c r="I11" s="1"/>
      <c r="J11" s="1"/>
    </row>
    <row r="12">
      <c r="A12" s="1"/>
      <c r="B12" s="1" t="s">
        <v>160</v>
      </c>
      <c r="C12" s="5">
        <f>IF(Inputs!C108="",0,Inputs!C108)</f>
        <v>270.684</v>
      </c>
      <c r="D12" s="5">
        <f>IF(Inputs!D108="",0,Inputs!D108)</f>
        <v>270.684</v>
      </c>
      <c r="E12" s="5">
        <f>IF(Inputs!E108="",0,Inputs!E108)</f>
        <v>289</v>
      </c>
      <c r="F12" s="5">
        <f>IF(Inputs!F108="",0,Inputs!F108)</f>
        <v>320.233</v>
      </c>
      <c r="G12" s="5">
        <f>IF(Inputs!G108="",0,Inputs!G108)</f>
        <v>289.99</v>
      </c>
      <c r="H12" s="31">
        <f>G12-'Cash Flow Statement'!H16</f>
        <v>294.99</v>
      </c>
      <c r="I12" s="1"/>
      <c r="J12" s="1"/>
    </row>
    <row r="13">
      <c r="A13" s="1"/>
      <c r="B13" s="1" t="s">
        <v>161</v>
      </c>
      <c r="C13" s="5">
        <f>IF(Inputs!C167="",0,Inputs!C167)</f>
        <v>33.6</v>
      </c>
      <c r="D13" s="5">
        <f>IF(Inputs!D167="",0,Inputs!D167)</f>
        <v>33.6</v>
      </c>
      <c r="E13" s="5">
        <f>IF(Inputs!E167="",0,Inputs!E167)</f>
        <v>26.04</v>
      </c>
      <c r="F13" s="5">
        <f>IF(Inputs!F167="",0,Inputs!F167)</f>
        <v>28.681</v>
      </c>
      <c r="G13" s="5">
        <f>IF(Inputs!G167="",0,Inputs!G167)</f>
        <v>58.325</v>
      </c>
      <c r="H13" s="9">
        <f>G13</f>
        <v>58.325</v>
      </c>
      <c r="I13" s="1"/>
      <c r="J13" s="1"/>
    </row>
    <row r="14">
      <c r="A14" s="1"/>
      <c r="B14" s="1" t="s">
        <v>162</v>
      </c>
      <c r="C14" s="5">
        <f>IF(Inputs!C166="",0,Inputs!C166)</f>
        <v>70.379</v>
      </c>
      <c r="D14" s="5">
        <f>IF(Inputs!D166="",0,Inputs!D166)</f>
        <v>70.379</v>
      </c>
      <c r="E14" s="5">
        <f>IF(Inputs!E166="",0,Inputs!E166)</f>
        <v>100.851</v>
      </c>
      <c r="F14" s="5">
        <f>IF(Inputs!F166="",0,Inputs!F166)</f>
        <v>89.997</v>
      </c>
      <c r="G14" s="5">
        <f>IF(Inputs!G166="",0,Inputs!G166)</f>
        <v>74.968</v>
      </c>
      <c r="H14" s="31">
        <f>G14-'Cash Flow Statement'!H17</f>
        <v>79.968</v>
      </c>
      <c r="I14" s="1"/>
      <c r="J14" s="1"/>
    </row>
    <row r="15">
      <c r="A15" s="1"/>
      <c r="B15" s="8" t="s">
        <v>163</v>
      </c>
      <c r="C15" s="3">
        <f>SUM(C10:C14)</f>
        <v>729.759</v>
      </c>
      <c r="D15" s="3">
        <f>SUM(D10:D14)</f>
        <v>729.759</v>
      </c>
      <c r="E15" s="3">
        <f>SUM(E10:E14)</f>
        <v>708.572</v>
      </c>
      <c r="F15" s="3">
        <f>SUM(F10:F14)</f>
        <v>724.178</v>
      </c>
      <c r="G15" s="3">
        <f>SUM(G10:G14)</f>
        <v>727.519</v>
      </c>
      <c r="H15" s="4">
        <f>SUM(H10:H14)</f>
        <v>794.0072500000001</v>
      </c>
      <c r="I15" s="1"/>
      <c r="J15" s="1"/>
    </row>
    <row r="16">
      <c r="A16" s="1"/>
      <c r="B16" s="1"/>
      <c r="C16" s="2"/>
      <c r="D16" s="2"/>
      <c r="E16" s="2"/>
      <c r="F16" s="2"/>
      <c r="G16" s="2"/>
      <c r="H16" s="9"/>
      <c r="I16" s="1"/>
      <c r="J16" s="1"/>
    </row>
    <row r="17">
      <c r="A17" s="1"/>
      <c r="B17" s="1" t="s">
        <v>164</v>
      </c>
      <c r="C17" s="5">
        <f>IF(Inputs!C165="",0,Inputs!C165)</f>
        <v>85.203</v>
      </c>
      <c r="D17" s="5">
        <f>IF(Inputs!D165="",0,Inputs!D165)</f>
        <v>85.203</v>
      </c>
      <c r="E17" s="5">
        <f>IF(Inputs!E165="",0,Inputs!E165)</f>
        <v>84.964</v>
      </c>
      <c r="F17" s="5">
        <f>IF(Inputs!F165="",0,Inputs!F165)</f>
        <v>84.427</v>
      </c>
      <c r="G17" s="5">
        <f>IF(Inputs!G165="",0,Inputs!G165)</f>
        <v>82.319</v>
      </c>
      <c r="H17" s="31">
        <f>G17-'Cash Flow Statement'!H26-('Cash Flow Statement'!H11-'Income Statement'!H57)</f>
        <v>85.319</v>
      </c>
      <c r="I17" s="1"/>
      <c r="J17" s="1"/>
    </row>
    <row r="18">
      <c r="A18" s="1"/>
      <c r="B18" s="1" t="s">
        <v>165</v>
      </c>
      <c r="C18" s="5">
        <f>IF(Inputs!C153="",0,Inputs!C153)</f>
        <v>1284.708</v>
      </c>
      <c r="D18" s="5">
        <f>IF(Inputs!D153="",0,Inputs!D153)</f>
        <v>1284.708</v>
      </c>
      <c r="E18" s="5">
        <f>IF(Inputs!E153="",0,Inputs!E153)</f>
        <v>1279.593</v>
      </c>
      <c r="F18" s="5">
        <f>IF(Inputs!F153="",0,Inputs!F153)</f>
        <v>1287.221</v>
      </c>
      <c r="G18" s="5">
        <f>IF(Inputs!G153="",0,Inputs!G153)</f>
        <v>1283.377</v>
      </c>
      <c r="H18" s="9">
        <f>G18</f>
        <v>1283.377</v>
      </c>
      <c r="I18" s="1"/>
      <c r="J18" s="1"/>
    </row>
    <row r="19">
      <c r="A19" s="1"/>
      <c r="B19" s="1" t="s">
        <v>166</v>
      </c>
      <c r="C19" s="5">
        <f>IF(Inputs!C154="",0,Inputs!C154)</f>
        <v>1916.102</v>
      </c>
      <c r="D19" s="5">
        <f>IF(Inputs!D154="",0,Inputs!D154)</f>
        <v>1916.102</v>
      </c>
      <c r="E19" s="5">
        <f>IF(Inputs!E154="",0,Inputs!E154)</f>
        <v>1899.838</v>
      </c>
      <c r="F19" s="5">
        <f>IF(Inputs!F154="",0,Inputs!F154)</f>
        <v>1884.91</v>
      </c>
      <c r="G19" s="5">
        <f>IF(Inputs!G154="",0,Inputs!G154)</f>
        <v>1868.418</v>
      </c>
      <c r="H19" s="31">
        <f>G19-'Income Statement'!H57</f>
        <v>1850.418</v>
      </c>
      <c r="I19" s="1"/>
      <c r="J19" s="1"/>
    </row>
    <row r="20">
      <c r="A20" s="1"/>
      <c r="B20" s="1" t="s">
        <v>167</v>
      </c>
      <c r="C20" s="5">
        <f>IF(Inputs!C149="",0,Inputs!C149)</f>
        <v>61.226</v>
      </c>
      <c r="D20" s="5">
        <f>IF(Inputs!D149="",0,Inputs!D149)</f>
        <v>61.226</v>
      </c>
      <c r="E20" s="5">
        <f>IF(Inputs!E149="",0,Inputs!E149)</f>
        <v>59.533</v>
      </c>
      <c r="F20" s="5">
        <f>IF(Inputs!F149="",0,Inputs!F149)</f>
        <v>61.495</v>
      </c>
      <c r="G20" s="5">
        <f>IF(Inputs!G149="",0,Inputs!G149)</f>
        <v>41.945</v>
      </c>
      <c r="H20" s="9">
        <f>G20</f>
        <v>41.945</v>
      </c>
      <c r="I20" s="1"/>
      <c r="J20" s="1"/>
    </row>
    <row r="21">
      <c r="A21" s="1"/>
      <c r="B21" s="1" t="s">
        <v>168</v>
      </c>
      <c r="C21" s="5">
        <f>IF(Inputs!C172="",0,Inputs!C172)</f>
        <v>121.776</v>
      </c>
      <c r="D21" s="5">
        <f>IF(Inputs!D172="",0,Inputs!D172)</f>
        <v>121.776</v>
      </c>
      <c r="E21" s="5">
        <f>IF(Inputs!E172="",0,Inputs!E172)</f>
        <v>125.603</v>
      </c>
      <c r="F21" s="5">
        <f>IF(Inputs!F172="",0,Inputs!F172)</f>
        <v>120.46</v>
      </c>
      <c r="G21" s="5">
        <f>IF(Inputs!G172="",0,Inputs!G172)</f>
        <v>119.364</v>
      </c>
      <c r="H21" s="31">
        <f>G21-'Cash Flow Statement'!H12</f>
        <v>111.364</v>
      </c>
      <c r="I21" s="1"/>
      <c r="J21" s="1"/>
    </row>
    <row r="22">
      <c r="A22" s="1"/>
      <c r="B22" s="1" t="s">
        <v>169</v>
      </c>
      <c r="C22" s="5">
        <f>IF(Inputs!C162="",0,Inputs!C162)</f>
        <v>105.498</v>
      </c>
      <c r="D22" s="5">
        <f>IF(Inputs!D162="",0,Inputs!D162)</f>
        <v>105.498</v>
      </c>
      <c r="E22" s="5">
        <f>IF(Inputs!E162="",0,Inputs!E162)</f>
        <v>62.681</v>
      </c>
      <c r="F22" s="5">
        <f>IF(Inputs!F162="",0,Inputs!F162)</f>
        <v>57.139</v>
      </c>
      <c r="G22" s="5">
        <f>IF(Inputs!G162="",0,Inputs!G162)</f>
        <v>69.055</v>
      </c>
      <c r="H22" s="9">
        <f>G22</f>
        <v>69.055</v>
      </c>
      <c r="I22" s="1"/>
      <c r="J22" s="1" t="s">
        <v>170</v>
      </c>
    </row>
    <row r="23">
      <c r="A23" s="1"/>
      <c r="B23" s="1"/>
      <c r="C23" s="2"/>
      <c r="D23" s="2"/>
      <c r="E23" s="2"/>
      <c r="F23" s="2"/>
      <c r="G23" s="2"/>
      <c r="H23" s="9"/>
      <c r="I23" s="1"/>
      <c r="J23" s="1"/>
    </row>
    <row r="24">
      <c r="A24" s="1"/>
      <c r="B24" s="8" t="s">
        <v>171</v>
      </c>
      <c r="C24" s="3">
        <f>SUM(C15,C17:C22)</f>
        <v>4304.272</v>
      </c>
      <c r="D24" s="3">
        <f>SUM(D15,D17:D22)</f>
        <v>4304.272</v>
      </c>
      <c r="E24" s="3">
        <f>SUM(E15,E17:E22)</f>
        <v>4220.784</v>
      </c>
      <c r="F24" s="3">
        <f>SUM(F15,F17:F22)</f>
        <v>4219.83</v>
      </c>
      <c r="G24" s="3">
        <f>SUM(G15,G17:G22)</f>
        <v>4191.996999999999</v>
      </c>
      <c r="H24" s="4">
        <f>SUM(H15,H17:H22)</f>
        <v>4235.48525</v>
      </c>
      <c r="I24" s="1"/>
      <c r="J24" s="1"/>
    </row>
    <row r="25">
      <c r="A25" s="1"/>
      <c r="B25" s="1"/>
      <c r="C25" s="2"/>
      <c r="D25" s="2"/>
      <c r="E25" s="2"/>
      <c r="F25" s="2"/>
      <c r="G25" s="2"/>
      <c r="H25" s="9"/>
      <c r="I25" s="1"/>
      <c r="J25" s="1"/>
    </row>
    <row r="26">
      <c r="A26" s="1"/>
      <c r="B26" s="1"/>
      <c r="C26" s="2"/>
      <c r="D26" s="2"/>
      <c r="E26" s="2"/>
      <c r="F26" s="2"/>
      <c r="G26" s="2"/>
      <c r="H26" s="9"/>
      <c r="I26" s="1"/>
      <c r="J26" s="1"/>
    </row>
    <row r="27">
      <c r="A27" s="1"/>
      <c r="B27" s="1" t="s">
        <v>172</v>
      </c>
      <c r="C27" s="5">
        <f>IF(Inputs!C106="",0,Inputs!C106)</f>
        <v>135.262</v>
      </c>
      <c r="D27" s="5">
        <f>IF(Inputs!D106="",0,Inputs!D106)</f>
        <v>135.262</v>
      </c>
      <c r="E27" s="5">
        <f>IF(Inputs!E106="",0,Inputs!E106)</f>
        <v>149.277</v>
      </c>
      <c r="F27" s="5">
        <f>IF(Inputs!F106="",0,Inputs!F106)</f>
        <v>149.243</v>
      </c>
      <c r="G27" s="5">
        <f>IF(Inputs!G106="",0,Inputs!G106)</f>
        <v>163.982</v>
      </c>
      <c r="H27" s="31">
        <f>G27+'Cash Flow Statement'!H18</f>
        <v>168.982</v>
      </c>
      <c r="I27" s="1"/>
      <c r="J27" s="1"/>
    </row>
    <row r="28">
      <c r="A28" s="1"/>
      <c r="B28" s="1" t="s">
        <v>173</v>
      </c>
      <c r="C28" s="5">
        <f>IF(Inputs!C143="",0,Inputs!C143)</f>
        <v>0</v>
      </c>
      <c r="D28" s="5">
        <f>IF(Inputs!D143="",0,Inputs!D143)</f>
        <v>0</v>
      </c>
      <c r="E28" s="5">
        <f>IF(Inputs!E143="",0,Inputs!E143)</f>
        <v>0</v>
      </c>
      <c r="F28" s="5">
        <f>IF(Inputs!F143="",0,Inputs!F143)</f>
        <v>0</v>
      </c>
      <c r="G28" s="5">
        <f>IF(Inputs!G143="",0,Inputs!G143)</f>
        <v>499.159</v>
      </c>
      <c r="H28" s="9">
        <f>G28</f>
        <v>499.159</v>
      </c>
      <c r="I28" s="1"/>
      <c r="J28" s="1"/>
    </row>
    <row r="29">
      <c r="A29" s="1"/>
      <c r="B29" s="1" t="s">
        <v>174</v>
      </c>
      <c r="C29" s="5">
        <f>IF(Inputs!C144="",0,Inputs!C144)</f>
        <v>33.145</v>
      </c>
      <c r="D29" s="5">
        <f>IF(Inputs!D144="",0,Inputs!D144)</f>
        <v>33.145</v>
      </c>
      <c r="E29" s="5">
        <f>IF(Inputs!E144="",0,Inputs!E144)</f>
        <v>32.609</v>
      </c>
      <c r="F29" s="5">
        <f>IF(Inputs!F144="",0,Inputs!F144)</f>
        <v>33.575</v>
      </c>
      <c r="G29" s="5">
        <f>IF(Inputs!G144="",0,Inputs!G144)</f>
        <v>33.963</v>
      </c>
      <c r="H29" s="31">
        <f>G29+'Cash Flow Statement'!H22</f>
        <v>28.963</v>
      </c>
      <c r="I29" s="1"/>
      <c r="J29" s="1"/>
    </row>
    <row r="30">
      <c r="A30" s="1"/>
      <c r="B30" s="1" t="s">
        <v>175</v>
      </c>
      <c r="C30" s="5">
        <f>IF(Inputs!C90="",0,Inputs!C90)</f>
        <v>130.596</v>
      </c>
      <c r="D30" s="5">
        <f>IF(Inputs!D90="",0,Inputs!D90)</f>
        <v>130.596</v>
      </c>
      <c r="E30" s="5">
        <f>IF(Inputs!E90="",0,Inputs!E90)</f>
        <v>59.627</v>
      </c>
      <c r="F30" s="5">
        <f>IF(Inputs!F90="",0,Inputs!F90)</f>
        <v>88.479</v>
      </c>
      <c r="G30" s="5">
        <f>IF(Inputs!G90="",0,Inputs!G90)</f>
        <v>137.431</v>
      </c>
      <c r="H30" s="31">
        <f>G30+'Cash Flow Statement'!H19</f>
        <v>137.431</v>
      </c>
      <c r="I30" s="1"/>
      <c r="J30" s="1"/>
    </row>
    <row r="31">
      <c r="A31" s="1"/>
      <c r="B31" s="1" t="s">
        <v>176</v>
      </c>
      <c r="C31" s="5">
        <f>IF(Inputs!C146="",0,Inputs!C146)</f>
        <v>167.852</v>
      </c>
      <c r="D31" s="5">
        <f>IF(Inputs!D146="",0,Inputs!D146)</f>
        <v>167.852</v>
      </c>
      <c r="E31" s="5">
        <f>IF(Inputs!E146="",0,Inputs!E146)</f>
        <v>162.586</v>
      </c>
      <c r="F31" s="5">
        <f>IF(Inputs!F146="",0,Inputs!F146)</f>
        <v>188.722</v>
      </c>
      <c r="G31" s="5">
        <f>IF(Inputs!G146="",0,Inputs!G146)</f>
        <v>183.494</v>
      </c>
      <c r="H31" s="31">
        <f>G31+'Cash Flow Statement'!H20</f>
        <v>183.494</v>
      </c>
      <c r="I31" s="1"/>
      <c r="J31" s="1"/>
    </row>
    <row r="32">
      <c r="A32" s="1"/>
      <c r="B32" s="1" t="s">
        <v>177</v>
      </c>
      <c r="C32" s="5">
        <f>IF(Inputs!C145="",0,Inputs!C145)</f>
        <v>13.041</v>
      </c>
      <c r="D32" s="5">
        <f>IF(Inputs!D145="",0,Inputs!D145)</f>
        <v>13.041</v>
      </c>
      <c r="E32" s="5">
        <f>IF(Inputs!E145="",0,Inputs!E145)</f>
        <v>13.704</v>
      </c>
      <c r="F32" s="5">
        <f>IF(Inputs!F145="",0,Inputs!F145)</f>
        <v>5.607</v>
      </c>
      <c r="G32" s="5">
        <f>IF(Inputs!G145="",0,Inputs!G145)</f>
        <v>5.182</v>
      </c>
      <c r="H32" s="31">
        <f>G32+'Cash Flow Statement'!H21</f>
        <v>5.182</v>
      </c>
      <c r="I32" s="1"/>
      <c r="J32" s="1"/>
    </row>
    <row r="33">
      <c r="A33" s="1"/>
      <c r="B33" s="1" t="s">
        <v>178</v>
      </c>
      <c r="C33" s="5">
        <f>IF(Inputs!C148="",0,Inputs!C148)</f>
        <v>41.41</v>
      </c>
      <c r="D33" s="5">
        <f>IF(Inputs!D148="",0,Inputs!D148)</f>
        <v>41.41</v>
      </c>
      <c r="E33" s="5">
        <f>IF(Inputs!E148="",0,Inputs!E148)</f>
        <v>40.969</v>
      </c>
      <c r="F33" s="5">
        <f>IF(Inputs!F148="",0,Inputs!F148)</f>
        <v>40.305</v>
      </c>
      <c r="G33" s="5">
        <f>IF(Inputs!G148="",0,Inputs!G148)</f>
        <v>41.5</v>
      </c>
      <c r="H33" s="9">
        <f>G33</f>
        <v>41.5</v>
      </c>
      <c r="I33" s="1"/>
      <c r="J33" s="1"/>
    </row>
    <row r="34">
      <c r="A34" s="1"/>
      <c r="B34" s="8" t="s">
        <v>179</v>
      </c>
      <c r="C34" s="3">
        <f>SUM(C27:C33)</f>
        <v>521.306</v>
      </c>
      <c r="D34" s="3">
        <f>SUM(D27:D33)</f>
        <v>521.306</v>
      </c>
      <c r="E34" s="3">
        <f>SUM(E27:E33)</f>
        <v>458.772</v>
      </c>
      <c r="F34" s="3">
        <f>SUM(F27:F33)</f>
        <v>505.931</v>
      </c>
      <c r="G34" s="3">
        <f>SUM(G27:G33)</f>
        <v>1064.711</v>
      </c>
      <c r="H34" s="4">
        <f>SUM(H27:H33)</f>
        <v>1064.711</v>
      </c>
      <c r="I34" s="1"/>
      <c r="J34" s="1"/>
    </row>
    <row r="35">
      <c r="A35" s="1"/>
      <c r="B35" s="1" t="s">
        <v>180</v>
      </c>
      <c r="C35" s="5">
        <f>IF(Inputs!C158="",0,Inputs!C158)</f>
        <v>1368.26</v>
      </c>
      <c r="D35" s="5">
        <f>IF(Inputs!D158="",0,Inputs!D158)</f>
        <v>1368.26</v>
      </c>
      <c r="E35" s="5">
        <f>IF(Inputs!E158="",0,Inputs!E158)</f>
        <v>1368.738</v>
      </c>
      <c r="F35" s="5">
        <f>IF(Inputs!F158="",0,Inputs!F158)</f>
        <v>1369.216</v>
      </c>
      <c r="G35" s="5">
        <f>IF(Inputs!G158="",0,Inputs!G158)</f>
        <v>890.542</v>
      </c>
      <c r="H35" s="9">
        <f>G35</f>
        <v>890.542</v>
      </c>
      <c r="I35" s="1"/>
      <c r="J35" s="1"/>
    </row>
    <row r="36">
      <c r="A36" s="1"/>
      <c r="B36" s="1" t="s">
        <v>181</v>
      </c>
      <c r="C36" s="5">
        <f>IF(Inputs!C150="",0,Inputs!C150)</f>
        <v>14.902</v>
      </c>
      <c r="D36" s="5">
        <f>IF(Inputs!D150="",0,Inputs!D150)</f>
        <v>14.902</v>
      </c>
      <c r="E36" s="5">
        <f>IF(Inputs!E150="",0,Inputs!E150)</f>
        <v>15.125</v>
      </c>
      <c r="F36" s="5">
        <f>IF(Inputs!F150="",0,Inputs!F150)</f>
        <v>14.728</v>
      </c>
      <c r="G36" s="5">
        <f>IF(Inputs!G150="",0,Inputs!G150)</f>
        <v>13.04</v>
      </c>
      <c r="H36" s="9">
        <f>G36</f>
        <v>13.04</v>
      </c>
      <c r="I36" s="1"/>
      <c r="J36" s="1"/>
    </row>
    <row r="37">
      <c r="A37" s="1"/>
      <c r="B37" s="1" t="s">
        <v>182</v>
      </c>
      <c r="C37" s="5">
        <f>IF(Inputs!C160="",0,Inputs!C160)</f>
        <v>45.095</v>
      </c>
      <c r="D37" s="5">
        <f>IF(Inputs!D160="",0,Inputs!D160)</f>
        <v>45.095</v>
      </c>
      <c r="E37" s="5">
        <f>IF(Inputs!E160="",0,Inputs!E160)</f>
        <v>44.513</v>
      </c>
      <c r="F37" s="5">
        <f>IF(Inputs!F160="",0,Inputs!F160)</f>
        <v>41.387</v>
      </c>
      <c r="G37" s="5">
        <f>IF(Inputs!G160="",0,Inputs!G160)</f>
        <v>41.315</v>
      </c>
      <c r="H37" s="9">
        <f>G37</f>
        <v>41.315</v>
      </c>
      <c r="I37" s="1"/>
      <c r="J37" s="1"/>
    </row>
    <row r="38">
      <c r="A38" s="1"/>
      <c r="B38" s="1" t="s">
        <v>183</v>
      </c>
      <c r="C38" s="5">
        <f>IF(Inputs!C159="",0,Inputs!C159)</f>
        <v>157.104</v>
      </c>
      <c r="D38" s="5">
        <f>IF(Inputs!D159="",0,Inputs!D159)</f>
        <v>157.104</v>
      </c>
      <c r="E38" s="5">
        <f>IF(Inputs!E159="",0,Inputs!E159)</f>
        <v>158.687</v>
      </c>
      <c r="F38" s="5">
        <f>IF(Inputs!F159="",0,Inputs!F159)</f>
        <v>150.866</v>
      </c>
      <c r="G38" s="5">
        <f>IF(Inputs!G159="",0,Inputs!G159)</f>
        <v>146.978</v>
      </c>
      <c r="H38" s="9">
        <f>G38</f>
        <v>146.978</v>
      </c>
      <c r="I38" s="1"/>
      <c r="J38" s="1"/>
    </row>
    <row r="39">
      <c r="A39" s="1"/>
      <c r="B39" s="1" t="s">
        <v>184</v>
      </c>
      <c r="C39" s="5">
        <f>IF(Inputs!C164="",0,Inputs!C164)</f>
        <v>11.192</v>
      </c>
      <c r="D39" s="5">
        <f>IF(Inputs!D164="",0,Inputs!D164)</f>
        <v>11.192</v>
      </c>
      <c r="E39" s="5">
        <f>IF(Inputs!E164="",0,Inputs!E164)</f>
        <v>7.065</v>
      </c>
      <c r="F39" s="5">
        <f>IF(Inputs!F164="",0,Inputs!F164)</f>
        <v>8.59</v>
      </c>
      <c r="G39" s="5">
        <f>IF(Inputs!G164="",0,Inputs!G164)</f>
        <v>3.121</v>
      </c>
      <c r="H39" s="9">
        <f>G39</f>
        <v>3.121</v>
      </c>
      <c r="I39" s="1"/>
      <c r="J39" s="1"/>
    </row>
    <row r="40">
      <c r="A40" s="1"/>
      <c r="B40" s="8" t="s">
        <v>185</v>
      </c>
      <c r="C40" s="3">
        <f>SUM(C34:C39)</f>
        <v>2117.859</v>
      </c>
      <c r="D40" s="3">
        <f>SUM(D34:D39)</f>
        <v>2117.859</v>
      </c>
      <c r="E40" s="3">
        <f>SUM(E34:E39)</f>
        <v>2052.9</v>
      </c>
      <c r="F40" s="3">
        <f>SUM(F34:F39)</f>
        <v>2090.718</v>
      </c>
      <c r="G40" s="3">
        <f>SUM(G34:G39)</f>
        <v>2159.707</v>
      </c>
      <c r="H40" s="4">
        <f>SUM(H34:H39)</f>
        <v>2159.707</v>
      </c>
      <c r="I40" s="1"/>
      <c r="J40" s="1"/>
    </row>
    <row r="41">
      <c r="A41" s="1"/>
      <c r="B41" s="1"/>
      <c r="C41" s="2"/>
      <c r="D41" s="2"/>
      <c r="E41" s="2"/>
      <c r="F41" s="2"/>
      <c r="G41" s="2"/>
      <c r="H41" s="9"/>
      <c r="I41" s="1"/>
      <c r="J41" s="1"/>
    </row>
    <row r="42">
      <c r="A42" s="1"/>
      <c r="B42" s="8" t="s">
        <v>186</v>
      </c>
      <c r="C42" s="10">
        <f>IF(Inputs!C152="",0,Inputs!C152)</f>
        <v>2186.413</v>
      </c>
      <c r="D42" s="10">
        <f>IF(Inputs!D152="",0,Inputs!D152)</f>
        <v>2186.413</v>
      </c>
      <c r="E42" s="10">
        <f>IF(Inputs!E152="",0,Inputs!E152)</f>
        <v>2167.884</v>
      </c>
      <c r="F42" s="10">
        <f>IF(Inputs!F152="",0,Inputs!F152)</f>
        <v>2129.112</v>
      </c>
      <c r="G42" s="10">
        <f>IF(Inputs!G152="",0,Inputs!G152)</f>
        <v>2032.29</v>
      </c>
      <c r="H42" s="28">
        <f>G42+'Income Statement'!H26+'Cash Flow Statement'!H13+'Cash Flow Statement'!H35+'Cash Flow Statement'!H36+'Cash Flow Statement'!H37</f>
        <v>2075.7782500000003</v>
      </c>
      <c r="I42" s="1"/>
      <c r="J42" s="1"/>
    </row>
    <row r="43">
      <c r="A43" s="1"/>
      <c r="B43" s="8" t="s">
        <v>187</v>
      </c>
      <c r="C43" s="3">
        <f>C24-C40-C42</f>
        <v>0</v>
      </c>
      <c r="D43" s="3">
        <f>D24-D40-D42</f>
        <v>0</v>
      </c>
      <c r="E43" s="3">
        <f>E24-E40-E42</f>
        <v>0</v>
      </c>
      <c r="F43" s="3">
        <f>F24-F40-F42</f>
        <v>0</v>
      </c>
      <c r="G43" s="3">
        <f>G24-G40-G42</f>
        <v>0</v>
      </c>
      <c r="H43" s="4">
        <f>H24-H40-H42</f>
        <v>0</v>
      </c>
      <c r="I43" s="1"/>
      <c r="J43" s="1"/>
    </row>
    <row r="44">
      <c r="A44" s="1"/>
      <c r="B44" s="1"/>
      <c r="C44" s="2"/>
      <c r="D44" s="2"/>
      <c r="E44" s="2"/>
      <c r="F44" s="2"/>
      <c r="G44" s="2"/>
      <c r="H44" s="9"/>
      <c r="I44" s="1"/>
      <c r="J44" s="1"/>
    </row>
    <row r="45">
      <c r="A45" s="1"/>
      <c r="B45" s="1" t="s">
        <v>188</v>
      </c>
      <c r="C45" s="2"/>
      <c r="D45" s="2"/>
      <c r="E45" s="2"/>
      <c r="F45" s="2"/>
      <c r="G45" s="2"/>
      <c r="H45" s="31">
        <f>H10-'Cash Flow Statement'!H49</f>
        <v>0</v>
      </c>
      <c r="I45" s="1"/>
      <c r="J45" s="1"/>
    </row>
    <row r="46">
      <c r="A46" s="1"/>
      <c r="B46" s="1" t="s">
        <v>189</v>
      </c>
      <c r="C46" s="2"/>
      <c r="D46" s="2"/>
      <c r="E46" s="2"/>
      <c r="F46" s="2"/>
      <c r="G46" s="2"/>
      <c r="H46" s="9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190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191</v>
      </c>
      <c r="C10" s="5">
        <f>'Income Statement'!C26</f>
        <v>597.0400000000001</v>
      </c>
      <c r="D10" s="5">
        <f>'Income Statement'!D26</f>
        <v>153.6159999999998</v>
      </c>
      <c r="E10" s="5">
        <f>'Income Statement'!E26</f>
        <v>152.57999999999998</v>
      </c>
      <c r="F10" s="5">
        <f>'Income Statement'!F26</f>
        <v>133.056</v>
      </c>
      <c r="G10" s="5">
        <f>'Income Statement'!G26</f>
        <v>126.71800000000005</v>
      </c>
      <c r="H10" s="31">
        <f>'Income Statement'!H26</f>
        <v>135.7382500000001</v>
      </c>
      <c r="I10" s="1"/>
      <c r="J10" s="1"/>
    </row>
    <row r="11">
      <c r="A11" s="1"/>
      <c r="B11" s="1" t="s">
        <v>192</v>
      </c>
      <c r="C11" s="5">
        <f>IF(Inputs!C126="",0,Inputs!C126)</f>
        <v>157.691</v>
      </c>
      <c r="D11" s="5">
        <f>IF(Inputs!D126="",0,Inputs!D126)</f>
        <v>42.71900000000001</v>
      </c>
      <c r="E11" s="5">
        <f>IF(Inputs!E126="",0,Inputs!E126)</f>
        <v>44.148</v>
      </c>
      <c r="F11" s="5">
        <f>IF(Inputs!F126="",0,Inputs!F126)</f>
        <v>43.69</v>
      </c>
      <c r="G11" s="5">
        <f>IF(Inputs!G126="",0,Inputs!G126)</f>
        <v>45.87</v>
      </c>
      <c r="H11" s="18">
        <v>45</v>
      </c>
      <c r="I11" s="1"/>
      <c r="J11" s="1"/>
    </row>
    <row r="12">
      <c r="A12" s="1"/>
      <c r="B12" s="1" t="s">
        <v>193</v>
      </c>
      <c r="C12" s="5">
        <f>IF(Inputs!C137="",0,Inputs!C137)</f>
        <v>30.982</v>
      </c>
      <c r="D12" s="5">
        <f>IF(Inputs!D137="",0,Inputs!D137)</f>
        <v>7.829999999999998</v>
      </c>
      <c r="E12" s="5">
        <f>IF(Inputs!E137="",0,Inputs!E137)</f>
        <v>7.997</v>
      </c>
      <c r="F12" s="5">
        <f>IF(Inputs!F137="",0,Inputs!F137)</f>
        <v>8.188</v>
      </c>
      <c r="G12" s="5">
        <f>IF(Inputs!G137="",0,Inputs!G137)</f>
        <v>8.084</v>
      </c>
      <c r="H12" s="18">
        <v>8</v>
      </c>
      <c r="I12" s="1"/>
      <c r="J12" s="1"/>
    </row>
    <row r="13">
      <c r="A13" s="1"/>
      <c r="B13" s="1" t="s">
        <v>194</v>
      </c>
      <c r="C13" s="5">
        <f>IF(Inputs!C139="",0,Inputs!C139)</f>
        <v>61.229</v>
      </c>
      <c r="D13" s="5">
        <f>IF(Inputs!D139="",0,Inputs!D139)</f>
        <v>14.074999999999996</v>
      </c>
      <c r="E13" s="5">
        <f>IF(Inputs!E139="",0,Inputs!E139)</f>
        <v>18.457</v>
      </c>
      <c r="F13" s="5">
        <f>IF(Inputs!F139="",0,Inputs!F139)</f>
        <v>20.867</v>
      </c>
      <c r="G13" s="5">
        <f>IF(Inputs!G139="",0,Inputs!G139)</f>
        <v>22.217</v>
      </c>
      <c r="H13" s="18">
        <v>20</v>
      </c>
      <c r="I13" s="1"/>
      <c r="J13" s="1"/>
    </row>
    <row r="14">
      <c r="A14" s="1"/>
      <c r="B14" s="1" t="s">
        <v>195</v>
      </c>
      <c r="C14" s="5">
        <f>IF(Inputs!C130="",0,Inputs!C130)</f>
        <v>-3.545</v>
      </c>
      <c r="D14" s="5">
        <f>IF(Inputs!D130="",0,Inputs!D130)</f>
        <v>-6.699</v>
      </c>
      <c r="E14" s="5">
        <f>IF(Inputs!E130="",0,Inputs!E130)</f>
        <v>3.039</v>
      </c>
      <c r="F14" s="5">
        <f>IF(Inputs!F130="",0,Inputs!F130)</f>
        <v>-0.658</v>
      </c>
      <c r="G14" s="5">
        <f>IF(Inputs!G130="",0,Inputs!G130)</f>
        <v>18.427</v>
      </c>
      <c r="H14" s="18">
        <v>0</v>
      </c>
      <c r="I14" s="1"/>
      <c r="J14" s="1"/>
    </row>
    <row r="15">
      <c r="A15" s="1"/>
      <c r="B15" s="1" t="s">
        <v>196</v>
      </c>
      <c r="C15" s="5">
        <f>IF(Inputs!C133="",0,Inputs!C133)</f>
        <v>-11.371</v>
      </c>
      <c r="D15" s="5">
        <f>IF(Inputs!D133="",0,Inputs!D133)</f>
        <v>-18.799</v>
      </c>
      <c r="E15" s="5">
        <f>IF(Inputs!E133="",0,Inputs!E133)</f>
        <v>-5.894</v>
      </c>
      <c r="F15" s="5">
        <f>IF(Inputs!F133="",0,Inputs!F133)</f>
        <v>14.283</v>
      </c>
      <c r="G15" s="5">
        <f>IF(Inputs!G133="",0,Inputs!G133)</f>
        <v>6.047</v>
      </c>
      <c r="H15" s="18">
        <v>0</v>
      </c>
      <c r="I15" s="1"/>
      <c r="J15" s="1"/>
    </row>
    <row r="16">
      <c r="A16" s="1"/>
      <c r="B16" s="1" t="s">
        <v>197</v>
      </c>
      <c r="C16" s="5">
        <f>IF(Inputs!C120="",0,Inputs!C120)</f>
        <v>-42.54</v>
      </c>
      <c r="D16" s="5">
        <f>IF(Inputs!D120="",0,Inputs!D120)</f>
        <v>-1.0480000000000018</v>
      </c>
      <c r="E16" s="5">
        <f>IF(Inputs!E120="",0,Inputs!E120)</f>
        <v>-19.232</v>
      </c>
      <c r="F16" s="5">
        <f>IF(Inputs!F120="",0,Inputs!F120)</f>
        <v>-31.783</v>
      </c>
      <c r="G16" s="5">
        <f>IF(Inputs!G120="",0,Inputs!G120)</f>
        <v>26.639</v>
      </c>
      <c r="H16" s="18">
        <v>-5</v>
      </c>
      <c r="I16" s="1"/>
      <c r="J16" s="1"/>
    </row>
    <row r="17">
      <c r="A17" s="1"/>
      <c r="B17" s="1" t="s">
        <v>198</v>
      </c>
      <c r="C17" s="5">
        <f>IF(Inputs!C124="",0,Inputs!C124)</f>
        <v>0.065</v>
      </c>
      <c r="D17" s="5">
        <f>IF(Inputs!D124="",0,Inputs!D124)</f>
        <v>-6.6339999999999995</v>
      </c>
      <c r="E17" s="5">
        <f>IF(Inputs!E124="",0,Inputs!E124)</f>
        <v>-23.113</v>
      </c>
      <c r="F17" s="5">
        <f>IF(Inputs!F124="",0,Inputs!F124)</f>
        <v>4.116</v>
      </c>
      <c r="G17" s="5">
        <f>IF(Inputs!G124="",0,Inputs!G124)</f>
        <v>15.238</v>
      </c>
      <c r="H17" s="18">
        <v>-5</v>
      </c>
      <c r="I17" s="1"/>
      <c r="J17" s="1"/>
    </row>
    <row r="18">
      <c r="A18" s="1"/>
      <c r="B18" s="1" t="s">
        <v>199</v>
      </c>
      <c r="C18" s="5">
        <f>IF(Inputs!C119="",0,Inputs!C119)</f>
        <v>-59.4</v>
      </c>
      <c r="D18" s="5">
        <f>IF(Inputs!D119="",0,Inputs!D119)</f>
        <v>-9.683</v>
      </c>
      <c r="E18" s="5">
        <f>IF(Inputs!E119="",0,Inputs!E119)</f>
        <v>22.225</v>
      </c>
      <c r="F18" s="5">
        <f>IF(Inputs!F119="",0,Inputs!F119)</f>
        <v>-10.277</v>
      </c>
      <c r="G18" s="5">
        <f>IF(Inputs!G119="",0,Inputs!G119)</f>
        <v>10.845</v>
      </c>
      <c r="H18" s="18">
        <v>5</v>
      </c>
      <c r="I18" s="1"/>
      <c r="J18" s="1"/>
    </row>
    <row r="19">
      <c r="A19" s="1"/>
      <c r="B19" s="1" t="s">
        <v>200</v>
      </c>
      <c r="C19" s="5">
        <f>IF(Inputs!C121="",0,Inputs!C121)</f>
        <v>35.666</v>
      </c>
      <c r="D19" s="5">
        <f>IF(Inputs!D121="",0,Inputs!D121)</f>
        <v>31.876999999999995</v>
      </c>
      <c r="E19" s="5">
        <f>IF(Inputs!E121="",0,Inputs!E121)</f>
        <v>-70.313</v>
      </c>
      <c r="F19" s="5">
        <f>IF(Inputs!F121="",0,Inputs!F121)</f>
        <v>28.072</v>
      </c>
      <c r="G19" s="5">
        <f>IF(Inputs!G121="",0,Inputs!G121)</f>
        <v>49.782</v>
      </c>
      <c r="H19" s="18">
        <v>0</v>
      </c>
      <c r="I19" s="1"/>
      <c r="J19" s="1"/>
    </row>
    <row r="20">
      <c r="A20" s="1"/>
      <c r="B20" s="1" t="s">
        <v>201</v>
      </c>
      <c r="C20" s="5">
        <f>IF(Inputs!C122="",0,Inputs!C122)</f>
        <v>2.249</v>
      </c>
      <c r="D20" s="5">
        <f>IF(Inputs!D122="",0,Inputs!D122)</f>
        <v>-2.706</v>
      </c>
      <c r="E20" s="5">
        <f>IF(Inputs!E122="",0,Inputs!E122)</f>
        <v>-5.793</v>
      </c>
      <c r="F20" s="5">
        <f>IF(Inputs!F122="",0,Inputs!F122)</f>
        <v>26.015</v>
      </c>
      <c r="G20" s="5">
        <f>IF(Inputs!G122="",0,Inputs!G122)</f>
        <v>-5.192</v>
      </c>
      <c r="H20" s="18">
        <v>0</v>
      </c>
      <c r="I20" s="1"/>
      <c r="J20" s="1"/>
    </row>
    <row r="21">
      <c r="A21" s="1"/>
      <c r="B21" s="1" t="s">
        <v>202</v>
      </c>
      <c r="C21" s="5">
        <f>IF(Inputs!C125="",0,Inputs!C125)</f>
        <v>-1.161</v>
      </c>
      <c r="D21" s="5">
        <f>IF(Inputs!D125="",0,Inputs!D125)</f>
        <v>17.947</v>
      </c>
      <c r="E21" s="5">
        <f>IF(Inputs!E125="",0,Inputs!E125)</f>
        <v>7.712</v>
      </c>
      <c r="F21" s="5">
        <f>IF(Inputs!F125="",0,Inputs!F125)</f>
        <v>-13.813</v>
      </c>
      <c r="G21" s="5">
        <f>IF(Inputs!G125="",0,Inputs!G125)</f>
        <v>-30.219</v>
      </c>
      <c r="H21" s="18">
        <v>0</v>
      </c>
      <c r="I21" s="1"/>
      <c r="J21" s="1"/>
    </row>
    <row r="22">
      <c r="A22" s="1"/>
      <c r="B22" s="1" t="s">
        <v>203</v>
      </c>
      <c r="C22" s="5">
        <f>IF(Inputs!C123="",0,Inputs!C123)</f>
        <v>-40.645</v>
      </c>
      <c r="D22" s="5">
        <f>IF(Inputs!D123="",0,Inputs!D123)</f>
        <v>-10.395000000000003</v>
      </c>
      <c r="E22" s="5">
        <f>IF(Inputs!E123="",0,Inputs!E123)</f>
        <v>-10.529</v>
      </c>
      <c r="F22" s="5">
        <f>IF(Inputs!F123="",0,Inputs!F123)</f>
        <v>-10.068</v>
      </c>
      <c r="G22" s="5">
        <f>IF(Inputs!G123="",0,Inputs!G123)</f>
        <v>-9.936</v>
      </c>
      <c r="H22" s="18">
        <v>-5</v>
      </c>
      <c r="I22" s="1"/>
      <c r="J22" s="1"/>
    </row>
    <row r="23">
      <c r="A23" s="1"/>
      <c r="B23" s="8" t="s">
        <v>204</v>
      </c>
      <c r="C23" s="3">
        <f>SUM(C10:C22)</f>
        <v>726.2600000000001</v>
      </c>
      <c r="D23" s="3">
        <f>SUM(D10:D22)</f>
        <v>212.0999999999998</v>
      </c>
      <c r="E23" s="3">
        <f>SUM(E10:E22)</f>
        <v>121.28399999999999</v>
      </c>
      <c r="F23" s="3">
        <f>SUM(F10:F22)</f>
        <v>211.68800000000002</v>
      </c>
      <c r="G23" s="3">
        <f>SUM(G10:G22)</f>
        <v>284.52000000000004</v>
      </c>
      <c r="H23" s="4">
        <f>SUM(H10:H22)</f>
        <v>198.7382500000001</v>
      </c>
      <c r="I23" s="1"/>
      <c r="J23" s="1"/>
    </row>
    <row r="24">
      <c r="A24" s="1"/>
      <c r="B24" s="1"/>
      <c r="C24" s="2"/>
      <c r="D24" s="2"/>
      <c r="E24" s="2"/>
      <c r="F24" s="2"/>
      <c r="G24" s="2"/>
      <c r="H24" s="9"/>
      <c r="I24" s="1"/>
      <c r="J24" s="1"/>
    </row>
    <row r="25">
      <c r="A25" s="1"/>
      <c r="B25" s="1"/>
      <c r="C25" s="2"/>
      <c r="D25" s="2"/>
      <c r="E25" s="2"/>
      <c r="F25" s="2"/>
      <c r="G25" s="2"/>
      <c r="H25" s="9"/>
      <c r="I25" s="1"/>
      <c r="J25" s="1"/>
    </row>
    <row r="26">
      <c r="A26" s="1"/>
      <c r="B26" s="1" t="s">
        <v>205</v>
      </c>
      <c r="C26" s="5">
        <f>IF(Inputs!C118="",0,Inputs!C118)</f>
        <v>-108.806</v>
      </c>
      <c r="D26" s="5">
        <f>IF(Inputs!D118="",0,Inputs!D118)</f>
        <v>-33.965999999999994</v>
      </c>
      <c r="E26" s="5">
        <f>IF(Inputs!E118="",0,Inputs!E118)</f>
        <v>-30.847</v>
      </c>
      <c r="F26" s="5">
        <f>IF(Inputs!F118="",0,Inputs!F118)</f>
        <v>-25.997</v>
      </c>
      <c r="G26" s="5">
        <f>IF(Inputs!G118="",0,Inputs!G118)</f>
        <v>-30.475</v>
      </c>
      <c r="H26" s="18">
        <v>-30</v>
      </c>
      <c r="I26" s="1"/>
      <c r="J26" s="1"/>
    </row>
    <row r="27">
      <c r="A27" s="1"/>
      <c r="B27" s="1" t="s">
        <v>206</v>
      </c>
      <c r="C27" s="5">
        <f>IF(Inputs!C115="",0,Inputs!C115)</f>
        <v>-348.255</v>
      </c>
      <c r="D27" s="5">
        <f>IF(Inputs!D115="",0,Inputs!D115)</f>
        <v>0</v>
      </c>
      <c r="E27" s="5">
        <f>IF(Inputs!E115="",0,Inputs!E115)</f>
        <v>0</v>
      </c>
      <c r="F27" s="5">
        <f>IF(Inputs!F115="",0,Inputs!F115)</f>
        <v>0</v>
      </c>
      <c r="G27" s="5">
        <f>IF(Inputs!G115="",0,Inputs!G115)</f>
        <v>0</v>
      </c>
      <c r="H27" s="18">
        <v>0</v>
      </c>
      <c r="I27" s="1"/>
      <c r="J27" s="1"/>
    </row>
    <row r="28">
      <c r="A28" s="1"/>
      <c r="B28" s="1" t="s">
        <v>207</v>
      </c>
      <c r="C28" s="5">
        <f>IF(Inputs!C116="",0,Inputs!C116)</f>
        <v>-18.867</v>
      </c>
      <c r="D28" s="5">
        <f>IF(Inputs!D116="",0,Inputs!D116)</f>
        <v>-14.434</v>
      </c>
      <c r="E28" s="5">
        <f>IF(Inputs!E116="",0,Inputs!E116)</f>
        <v>-0.875</v>
      </c>
      <c r="F28" s="5">
        <f>IF(Inputs!F116="",0,Inputs!F116)</f>
        <v>-0.229</v>
      </c>
      <c r="G28" s="5">
        <f>IF(Inputs!G116="",0,Inputs!G116)</f>
        <v>-16.982</v>
      </c>
      <c r="H28" s="18">
        <v>0</v>
      </c>
      <c r="I28" s="1"/>
      <c r="J28" s="1"/>
    </row>
    <row r="29">
      <c r="A29" s="1"/>
      <c r="B29" s="1" t="s">
        <v>208</v>
      </c>
      <c r="C29" s="5">
        <f>IF(Inputs!C138="",0,Inputs!C138)</f>
        <v>83.155</v>
      </c>
      <c r="D29" s="5">
        <f>IF(Inputs!D138="",0,Inputs!D138)</f>
        <v>25</v>
      </c>
      <c r="E29" s="5">
        <f>IF(Inputs!E138="",0,Inputs!E138)</f>
        <v>36.05</v>
      </c>
      <c r="F29" s="5">
        <f>IF(Inputs!F138="",0,Inputs!F138)</f>
        <v>0</v>
      </c>
      <c r="G29" s="5">
        <f>IF(Inputs!G138="",0,Inputs!G138)</f>
        <v>0</v>
      </c>
      <c r="H29" s="18">
        <v>0</v>
      </c>
      <c r="I29" s="1"/>
      <c r="J29" s="1"/>
    </row>
    <row r="30">
      <c r="A30" s="1"/>
      <c r="B30" s="8" t="s">
        <v>209</v>
      </c>
      <c r="C30" s="3">
        <f>SUM(C26:C29)</f>
        <v>-392.77299999999997</v>
      </c>
      <c r="D30" s="3">
        <f>SUM(D26:D29)</f>
        <v>-23.39999999999999</v>
      </c>
      <c r="E30" s="3">
        <f>SUM(E26:E29)</f>
        <v>4.327999999999996</v>
      </c>
      <c r="F30" s="3">
        <f>SUM(F26:F29)</f>
        <v>-26.226</v>
      </c>
      <c r="G30" s="3">
        <f>SUM(G26:G29)</f>
        <v>-47.457</v>
      </c>
      <c r="H30" s="4">
        <f>SUM(H26:H29)</f>
        <v>-30</v>
      </c>
      <c r="I30" s="1"/>
      <c r="J30" s="1"/>
    </row>
    <row r="31">
      <c r="A31" s="1"/>
      <c r="B31" s="1"/>
      <c r="C31" s="2"/>
      <c r="D31" s="2"/>
      <c r="E31" s="2"/>
      <c r="F31" s="2"/>
      <c r="G31" s="2"/>
      <c r="H31" s="9"/>
      <c r="I31" s="1"/>
      <c r="J31" s="1"/>
    </row>
    <row r="32">
      <c r="A32" s="1"/>
      <c r="B32" s="1"/>
      <c r="C32" s="2"/>
      <c r="D32" s="2"/>
      <c r="E32" s="2"/>
      <c r="F32" s="2"/>
      <c r="G32" s="2"/>
      <c r="H32" s="9"/>
      <c r="I32" s="1"/>
      <c r="J32" s="1"/>
    </row>
    <row r="33">
      <c r="A33" s="1"/>
      <c r="B33" s="1" t="s">
        <v>210</v>
      </c>
      <c r="C33" s="5">
        <f>IF(Inputs!C127="",0,Inputs!C127)</f>
        <v>803.41</v>
      </c>
      <c r="D33" s="5">
        <f>IF(Inputs!D127="",0,Inputs!D127)</f>
        <v>0</v>
      </c>
      <c r="E33" s="5">
        <f>IF(Inputs!E127="",0,Inputs!E127)</f>
        <v>0</v>
      </c>
      <c r="F33" s="5">
        <f>IF(Inputs!F127="",0,Inputs!F127)</f>
        <v>0</v>
      </c>
      <c r="G33" s="5">
        <f>IF(Inputs!G127="",0,Inputs!G127)</f>
        <v>95</v>
      </c>
      <c r="H33" s="18">
        <v>0</v>
      </c>
      <c r="I33" s="1"/>
      <c r="J33" s="1"/>
    </row>
    <row r="34">
      <c r="A34" s="1"/>
      <c r="B34" s="1" t="s">
        <v>211</v>
      </c>
      <c r="C34" s="5">
        <f>IF(Inputs!C128="",0,Inputs!C128)</f>
        <v>-805</v>
      </c>
      <c r="D34" s="5">
        <f>IF(Inputs!D128="",0,Inputs!D128)</f>
        <v>-62.5</v>
      </c>
      <c r="E34" s="5">
        <f>IF(Inputs!E128="",0,Inputs!E128)</f>
        <v>0</v>
      </c>
      <c r="F34" s="5">
        <f>IF(Inputs!F128="",0,Inputs!F128)</f>
        <v>0</v>
      </c>
      <c r="G34" s="5">
        <f>IF(Inputs!G128="",0,Inputs!G128)</f>
        <v>-75</v>
      </c>
      <c r="H34" s="18">
        <v>0</v>
      </c>
      <c r="I34" s="1"/>
      <c r="J34" s="1"/>
    </row>
    <row r="35">
      <c r="A35" s="1"/>
      <c r="B35" s="1" t="s">
        <v>212</v>
      </c>
      <c r="C35" s="5">
        <f>IF(Inputs!C131="",0,Inputs!C131)</f>
        <v>-159.973</v>
      </c>
      <c r="D35" s="5">
        <f>IF(Inputs!D131="",0,Inputs!D131)</f>
        <v>-41.64400000000002</v>
      </c>
      <c r="E35" s="5">
        <f>IF(Inputs!E131="",0,Inputs!E131)</f>
        <v>-41.411</v>
      </c>
      <c r="F35" s="5">
        <f>IF(Inputs!F131="",0,Inputs!F131)</f>
        <v>-40.968</v>
      </c>
      <c r="G35" s="5">
        <f>IF(Inputs!G131="",0,Inputs!G131)</f>
        <v>-40.305</v>
      </c>
      <c r="H35" s="18">
        <v>-41.5</v>
      </c>
      <c r="I35" s="1"/>
      <c r="J35" s="1"/>
    </row>
    <row r="36">
      <c r="A36" s="1"/>
      <c r="B36" s="1" t="s">
        <v>213</v>
      </c>
      <c r="C36" s="5">
        <f>IF(Inputs!C140="",0,Inputs!C140)</f>
        <v>81.688</v>
      </c>
      <c r="D36" s="5">
        <f>IF(Inputs!D140="",0,Inputs!D140)</f>
        <v>9.072000000000005</v>
      </c>
      <c r="E36" s="5">
        <f>IF(Inputs!E140="",0,Inputs!E140)</f>
        <v>8.545</v>
      </c>
      <c r="F36" s="5">
        <f>IF(Inputs!F140="",0,Inputs!F140)</f>
        <v>8.118</v>
      </c>
      <c r="G36" s="5">
        <f>IF(Inputs!G140="",0,Inputs!G140)</f>
        <v>10.871</v>
      </c>
      <c r="H36" s="18">
        <v>8</v>
      </c>
      <c r="I36" s="1"/>
      <c r="J36" s="1"/>
    </row>
    <row r="37">
      <c r="A37" s="1"/>
      <c r="B37" s="1" t="s">
        <v>214</v>
      </c>
      <c r="C37" s="5">
        <f>IF(Inputs!C117="",0,Inputs!C117)</f>
        <v>-300.457</v>
      </c>
      <c r="D37" s="5">
        <f>IF(Inputs!D117="",0,Inputs!D117)</f>
        <v>-106.619</v>
      </c>
      <c r="E37" s="5">
        <f>IF(Inputs!E117="",0,Inputs!E117)</f>
        <v>-139.899</v>
      </c>
      <c r="F37" s="5">
        <f>IF(Inputs!F117="",0,Inputs!F117)</f>
        <v>-163.031</v>
      </c>
      <c r="G37" s="5">
        <f>IF(Inputs!G117="",0,Inputs!G117)</f>
        <v>-203.07</v>
      </c>
      <c r="H37" s="31">
        <f>-'Share Count'!H22</f>
        <v>-78.75</v>
      </c>
      <c r="I37" s="1"/>
      <c r="J37" s="1"/>
    </row>
    <row r="38">
      <c r="A38" s="1"/>
      <c r="B38" s="1" t="s">
        <v>215</v>
      </c>
      <c r="C38" s="5">
        <f>IF(Inputs!C129="",0,Inputs!C129)</f>
        <v>0</v>
      </c>
      <c r="D38" s="5">
        <f>IF(Inputs!D129="",0,Inputs!D129)</f>
        <v>0</v>
      </c>
      <c r="E38" s="5">
        <f>IF(Inputs!E129="",0,Inputs!E129)</f>
        <v>-12.052</v>
      </c>
      <c r="F38" s="5">
        <f>IF(Inputs!F129="",0,Inputs!F129)</f>
        <v>0</v>
      </c>
      <c r="G38" s="5">
        <f>IF(Inputs!G129="",0,Inputs!G129)</f>
        <v>-4.124</v>
      </c>
      <c r="H38" s="18">
        <v>0</v>
      </c>
      <c r="I38" s="1"/>
      <c r="J38" s="1"/>
    </row>
    <row r="39">
      <c r="A39" s="1"/>
      <c r="B39" s="1" t="s">
        <v>216</v>
      </c>
      <c r="C39" s="5">
        <f>IF(Inputs!C134="",0,Inputs!C134)</f>
        <v>-27.489</v>
      </c>
      <c r="D39" s="5">
        <f>IF(Inputs!D134="",0,Inputs!D134)</f>
        <v>-6.803</v>
      </c>
      <c r="E39" s="5">
        <f>IF(Inputs!E134="",0,Inputs!E134)</f>
        <v>-5.695</v>
      </c>
      <c r="F39" s="5">
        <f>IF(Inputs!F134="",0,Inputs!F134)</f>
        <v>-0.263</v>
      </c>
      <c r="G39" s="5">
        <f>IF(Inputs!G134="",0,Inputs!G134)</f>
        <v>-0.46</v>
      </c>
      <c r="H39" s="18">
        <v>0</v>
      </c>
      <c r="I39" s="1"/>
      <c r="J39" s="1"/>
    </row>
    <row r="40">
      <c r="A40" s="1"/>
      <c r="B40" s="8" t="s">
        <v>217</v>
      </c>
      <c r="C40" s="3">
        <f>SUM(C33:C39)</f>
        <v>-407.821</v>
      </c>
      <c r="D40" s="3">
        <f>SUM(D33:D39)</f>
        <v>-208.49400000000003</v>
      </c>
      <c r="E40" s="3">
        <f>SUM(E33:E39)</f>
        <v>-190.512</v>
      </c>
      <c r="F40" s="3">
        <f>SUM(F33:F39)</f>
        <v>-196.144</v>
      </c>
      <c r="G40" s="3">
        <f>SUM(G33:G39)</f>
        <v>-217.088</v>
      </c>
      <c r="H40" s="4">
        <f>SUM(H33:H39)</f>
        <v>-112.25</v>
      </c>
      <c r="I40" s="1"/>
      <c r="J40" s="1"/>
    </row>
    <row r="41">
      <c r="A41" s="1"/>
      <c r="B41" s="1"/>
      <c r="C41" s="2"/>
      <c r="D41" s="2"/>
      <c r="E41" s="2"/>
      <c r="F41" s="2"/>
      <c r="G41" s="2"/>
      <c r="H41" s="9"/>
      <c r="I41" s="1"/>
      <c r="J41" s="1"/>
    </row>
    <row r="42">
      <c r="A42" s="1"/>
      <c r="B42" s="1" t="s">
        <v>218</v>
      </c>
      <c r="C42" s="5">
        <f>IF(Inputs!C132="",0,Inputs!C132)</f>
        <v>3.05</v>
      </c>
      <c r="D42" s="5">
        <f>IF(Inputs!D132="",0,Inputs!D132)</f>
        <v>1.084</v>
      </c>
      <c r="E42" s="5">
        <f>IF(Inputs!E132="",0,Inputs!E132)</f>
        <v>-2.273</v>
      </c>
      <c r="F42" s="5">
        <f>IF(Inputs!F132="",0,Inputs!F132)</f>
        <v>3.572</v>
      </c>
      <c r="G42" s="5">
        <f>IF(Inputs!G132="",0,Inputs!G132)</f>
        <v>-2.977</v>
      </c>
      <c r="H42" s="18">
        <v>0</v>
      </c>
      <c r="I42" s="1"/>
      <c r="J42" s="1"/>
    </row>
    <row r="43">
      <c r="A43" s="1"/>
      <c r="B43" s="8" t="s">
        <v>219</v>
      </c>
      <c r="C43" s="3">
        <f>SUM(C23,C30,C40,C42)</f>
        <v>-71.28399999999989</v>
      </c>
      <c r="D43" s="3">
        <f>SUM(D23,D30,D40,D42)</f>
        <v>-18.71000000000021</v>
      </c>
      <c r="E43" s="3">
        <f>SUM(E23,E30,E40,E42)</f>
        <v>-67.173</v>
      </c>
      <c r="F43" s="3">
        <f>SUM(F23,F30,F40,F42)</f>
        <v>-7.109999999999988</v>
      </c>
      <c r="G43" s="3">
        <f>SUM(G23,G30,G40,G42)</f>
        <v>16.99800000000005</v>
      </c>
      <c r="H43" s="4">
        <f>SUM(H23,H30,H40,H42)</f>
        <v>56.48825000000011</v>
      </c>
      <c r="I43" s="1"/>
      <c r="J43" s="1"/>
    </row>
    <row r="44">
      <c r="A44" s="1"/>
      <c r="B44" s="1" t="s">
        <v>220</v>
      </c>
      <c r="C44" s="27">
        <v>422.979</v>
      </c>
      <c r="D44" s="27">
        <v>370.405</v>
      </c>
      <c r="E44" s="2">
        <f>D45</f>
        <v>351.69499999999977</v>
      </c>
      <c r="F44" s="2">
        <f>E45</f>
        <v>284.52199999999976</v>
      </c>
      <c r="G44" s="2">
        <f>F45</f>
        <v>277.41199999999975</v>
      </c>
      <c r="H44" s="9">
        <f>G45</f>
        <v>294.4099999999998</v>
      </c>
      <c r="I44" s="1"/>
      <c r="J44" s="1" t="s">
        <v>221</v>
      </c>
    </row>
    <row r="45">
      <c r="A45" s="1"/>
      <c r="B45" s="8" t="s">
        <v>222</v>
      </c>
      <c r="C45" s="3">
        <f>SUM(C44,C43)</f>
        <v>351.6950000000001</v>
      </c>
      <c r="D45" s="3">
        <f>SUM(D44,D43)</f>
        <v>351.69499999999977</v>
      </c>
      <c r="E45" s="3">
        <f>SUM(E44,E43)</f>
        <v>284.52199999999976</v>
      </c>
      <c r="F45" s="3">
        <f>SUM(F44,F43)</f>
        <v>277.41199999999975</v>
      </c>
      <c r="G45" s="3">
        <f>SUM(G44,G43)</f>
        <v>294.4099999999998</v>
      </c>
      <c r="H45" s="4">
        <f>SUM(H44,H43)</f>
        <v>350.8982499999999</v>
      </c>
      <c r="I45" s="1"/>
      <c r="J45" s="1"/>
    </row>
    <row r="46">
      <c r="A46" s="1"/>
      <c r="B46" s="1" t="s">
        <v>223</v>
      </c>
      <c r="C46" s="27">
        <v>6.522</v>
      </c>
      <c r="D46" s="2">
        <f>C46</f>
        <v>6.522</v>
      </c>
      <c r="E46" s="27">
        <v>5.139</v>
      </c>
      <c r="F46" s="27">
        <v>3.202</v>
      </c>
      <c r="G46" s="27">
        <v>5.296</v>
      </c>
      <c r="H46" s="9">
        <f>G46</f>
        <v>5.296</v>
      </c>
      <c r="I46" s="1"/>
      <c r="J46" s="1"/>
    </row>
    <row r="47">
      <c r="A47" s="1"/>
      <c r="B47" s="1" t="s">
        <v>224</v>
      </c>
      <c r="C47" s="27">
        <v>7.522</v>
      </c>
      <c r="D47" s="2">
        <f>C47</f>
        <v>7.522</v>
      </c>
      <c r="E47" s="27">
        <v>3.935</v>
      </c>
      <c r="F47" s="27">
        <v>5.872</v>
      </c>
      <c r="G47" s="27">
        <v>1</v>
      </c>
      <c r="H47" s="9">
        <f>G47</f>
        <v>1</v>
      </c>
      <c r="I47" s="1"/>
      <c r="J47" s="1"/>
    </row>
    <row r="48">
      <c r="A48" s="1"/>
      <c r="B48" s="1" t="s">
        <v>225</v>
      </c>
      <c r="C48" s="5">
        <f>'Balance Sheet'!C10+C46+C47</f>
        <v>351.695</v>
      </c>
      <c r="D48" s="5">
        <f>'Balance Sheet'!D10+D46+D47</f>
        <v>351.695</v>
      </c>
      <c r="E48" s="5">
        <f>'Balance Sheet'!E10+E46+E47</f>
        <v>284.522</v>
      </c>
      <c r="F48" s="5">
        <f>'Balance Sheet'!F10+F46+F47</f>
        <v>277.41200000000003</v>
      </c>
      <c r="G48" s="5">
        <f>'Balance Sheet'!G10+G46+G47</f>
        <v>294.40999999999997</v>
      </c>
      <c r="H48" s="31">
        <f>'Balance Sheet'!H10+H46+H47</f>
        <v>350.8982500000001</v>
      </c>
      <c r="I48" s="1"/>
      <c r="J48" s="1"/>
    </row>
    <row r="49">
      <c r="A49" s="1"/>
      <c r="B49" s="8" t="s">
        <v>226</v>
      </c>
      <c r="C49" s="3">
        <f>C45-C46-C47</f>
        <v>337.6510000000001</v>
      </c>
      <c r="D49" s="3">
        <f>D45-D46-D47</f>
        <v>337.6509999999998</v>
      </c>
      <c r="E49" s="3">
        <f>E45-E46-E47</f>
        <v>275.44799999999975</v>
      </c>
      <c r="F49" s="3">
        <f>F45-F46-F47</f>
        <v>268.33799999999974</v>
      </c>
      <c r="G49" s="3">
        <f>G45-G46-G47</f>
        <v>288.1139999999998</v>
      </c>
      <c r="H49" s="4">
        <f>H45-H46-H47</f>
        <v>344.6022499999999</v>
      </c>
      <c r="I49" s="1"/>
      <c r="J49" s="1"/>
    </row>
    <row r="50">
      <c r="A50" s="1"/>
      <c r="B50" s="8" t="s">
        <v>227</v>
      </c>
      <c r="C50" s="10">
        <f>C49-'Balance Sheet'!C10</f>
        <v>0</v>
      </c>
      <c r="D50" s="10">
        <f>D49-'Balance Sheet'!D10</f>
        <v>0</v>
      </c>
      <c r="E50" s="10">
        <f>E49-'Balance Sheet'!E10</f>
        <v>0</v>
      </c>
      <c r="F50" s="10">
        <f>F49-'Balance Sheet'!F10</f>
        <v>0</v>
      </c>
      <c r="G50" s="10">
        <f>G49-'Balance Sheet'!G10</f>
        <v>0</v>
      </c>
      <c r="H50" s="28">
        <f>H49-'Balance Sheet'!H10</f>
        <v>0</v>
      </c>
      <c r="I50" s="1"/>
      <c r="J50" s="1"/>
    </row>
    <row r="51">
      <c r="A51" s="1"/>
      <c r="B51" s="1"/>
      <c r="C51" s="2"/>
      <c r="D51" s="2"/>
      <c r="E51" s="2"/>
      <c r="F51" s="2"/>
      <c r="G51" s="2"/>
      <c r="H51" s="9"/>
      <c r="I51" s="1"/>
      <c r="J51" s="1"/>
    </row>
    <row r="52">
      <c r="A52" s="1"/>
      <c r="B52" s="8" t="s">
        <v>228</v>
      </c>
      <c r="C52" s="3">
        <f>SUM(C23,C26)</f>
        <v>617.4540000000001</v>
      </c>
      <c r="D52" s="3">
        <f>SUM(D23,D26)</f>
        <v>178.1339999999998</v>
      </c>
      <c r="E52" s="3">
        <f>SUM(E23,E26)</f>
        <v>90.43699999999998</v>
      </c>
      <c r="F52" s="3">
        <f>SUM(F23,F26)</f>
        <v>185.69100000000003</v>
      </c>
      <c r="G52" s="3">
        <f>SUM(G23,G26)</f>
        <v>254.04500000000004</v>
      </c>
      <c r="H52" s="4">
        <f>SUM(H23,H26)</f>
        <v>168.7382500000001</v>
      </c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229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8" t="s">
        <v>230</v>
      </c>
      <c r="C10" s="10">
        <f>'Segment - Americas'!C21</f>
        <v>1506.108</v>
      </c>
      <c r="D10" s="10">
        <f>'Segment - Americas'!D21</f>
        <v>388.7039999999999</v>
      </c>
      <c r="E10" s="10">
        <f>'Segment - Americas'!E21</f>
        <v>396.176</v>
      </c>
      <c r="F10" s="10">
        <f>'Segment - Americas'!F21</f>
        <v>399.683</v>
      </c>
      <c r="G10" s="10">
        <f>'Segment - Americas'!G21</f>
        <v>407.24</v>
      </c>
      <c r="H10" s="28">
        <f>'Segment - Americas'!H21</f>
        <v>415.00000000000006</v>
      </c>
      <c r="I10" s="1"/>
      <c r="J10" s="1" t="s">
        <v>231</v>
      </c>
    </row>
    <row r="11">
      <c r="A11" s="1"/>
      <c r="B11" s="1" t="s">
        <v>232</v>
      </c>
      <c r="C11" s="16">
        <f>C10/'Revenue summary'!C10</f>
        <v>0.6486957240837506</v>
      </c>
      <c r="D11" s="16">
        <f>D10/'Revenue summary'!D10</f>
        <v>0.6512034659013807</v>
      </c>
      <c r="E11" s="16">
        <f>E10/'Revenue summary'!E10</f>
        <v>0.6520116980815344</v>
      </c>
      <c r="F11" s="16">
        <f>F10/'Revenue summary'!F10</f>
        <v>0.6541253217985038</v>
      </c>
      <c r="G11" s="16">
        <f>G10/'Revenue summary'!G10</f>
        <v>0.6537618113459557</v>
      </c>
      <c r="H11" s="19">
        <f>H10/'Revenue summary'!H10</f>
        <v>0.6613545816733067</v>
      </c>
      <c r="I11" s="1"/>
      <c r="J11" s="1"/>
    </row>
    <row r="12">
      <c r="A12" s="1"/>
      <c r="B12" s="1" t="s">
        <v>233</v>
      </c>
      <c r="C12" s="5">
        <f>IF('Segment - Americas'!C14="","",'Segment - Americas'!C14)</f>
        <v>1570.1</v>
      </c>
      <c r="D12" s="5">
        <f>IF('Segment - Americas'!D14="","",'Segment - Americas'!D14)</f>
        <v>1570.1</v>
      </c>
      <c r="E12" s="5">
        <f>IF('Segment - Americas'!E14="","",'Segment - Americas'!E14)</f>
        <v>1575.8</v>
      </c>
      <c r="F12" s="5">
        <f>IF('Segment - Americas'!F14="","",'Segment - Americas'!F14)</f>
        <v>1605.9</v>
      </c>
      <c r="G12" s="5">
        <f>IF('Segment - Americas'!G14="","",'Segment - Americas'!G14)</f>
        <v>1621</v>
      </c>
      <c r="H12" s="31">
        <f>IF('Segment - Americas'!H14="","",'Segment - Americas'!H14)</f>
        <v>1647</v>
      </c>
      <c r="I12" s="1"/>
      <c r="J12" s="1"/>
    </row>
    <row r="13">
      <c r="A13" s="1"/>
      <c r="B13" s="1" t="s">
        <v>234</v>
      </c>
      <c r="C13" s="15">
        <f>IFERROR(C10/C12,"")</f>
        <v>0.9592433602955226</v>
      </c>
      <c r="D13" s="15">
        <f>IFERROR(D10/D12,"")</f>
        <v>0.24756639704477418</v>
      </c>
      <c r="E13" s="15">
        <f>IFERROR(E10/E12,"")</f>
        <v>0.2514126158141896</v>
      </c>
      <c r="F13" s="15">
        <f>IFERROR(F10/F12,"")</f>
        <v>0.248884114826577</v>
      </c>
      <c r="G13" s="15">
        <f>IFERROR(G10/G12,"")</f>
        <v>0.25122763726095004</v>
      </c>
      <c r="H13" s="14">
        <f>IFERROR(H10/H12,"")</f>
        <v>0.25197328476017006</v>
      </c>
      <c r="I13" s="1"/>
      <c r="J13" s="1"/>
    </row>
    <row r="14">
      <c r="A14" s="1"/>
      <c r="B14" s="1" t="s">
        <v>235</v>
      </c>
      <c r="C14" s="5">
        <f>'Segment - Americas'!C29</f>
        <v>305.963</v>
      </c>
      <c r="D14" s="5">
        <f>'Segment - Americas'!D29</f>
        <v>69.47300000000001</v>
      </c>
      <c r="E14" s="5">
        <f>'Segment - Americas'!E29</f>
        <v>78.533</v>
      </c>
      <c r="F14" s="5">
        <f>'Segment - Americas'!F29</f>
        <v>74.201</v>
      </c>
      <c r="G14" s="5">
        <f>'Segment - Americas'!G29</f>
        <v>63.587</v>
      </c>
      <c r="H14" s="31">
        <f>'Segment - Americas'!H29</f>
        <v>74.53400000000002</v>
      </c>
      <c r="I14" s="1"/>
      <c r="J14" s="1"/>
    </row>
    <row r="15">
      <c r="A15" s="1"/>
      <c r="B15" s="1" t="s">
        <v>236</v>
      </c>
      <c r="C15" s="15">
        <f>C14/C10</f>
        <v>0.20314811421226103</v>
      </c>
      <c r="D15" s="15">
        <f>D14/D10</f>
        <v>0.1787298304108011</v>
      </c>
      <c r="E15" s="15">
        <f>E14/E10</f>
        <v>0.19822755542990994</v>
      </c>
      <c r="F15" s="15">
        <f>F14/F10</f>
        <v>0.18564962732965873</v>
      </c>
      <c r="G15" s="15">
        <f>G14/G10</f>
        <v>0.15614134171495925</v>
      </c>
      <c r="H15" s="14">
        <f>H14/H10</f>
        <v>0.17960000000000004</v>
      </c>
      <c r="I15" s="1"/>
      <c r="J15" s="1"/>
    </row>
    <row r="16">
      <c r="A16" s="1"/>
      <c r="B16" s="1"/>
      <c r="C16" s="2"/>
      <c r="D16" s="2"/>
      <c r="E16" s="2"/>
      <c r="F16" s="2"/>
      <c r="G16" s="2"/>
      <c r="H16" s="9"/>
      <c r="I16" s="1"/>
      <c r="J16" s="1"/>
    </row>
    <row r="17">
      <c r="A17" s="1"/>
      <c r="B17" s="8" t="s">
        <v>237</v>
      </c>
      <c r="C17" s="10">
        <f>'Segment - EMEA'!C21</f>
        <v>580.284</v>
      </c>
      <c r="D17" s="10">
        <f>'Segment - EMEA'!D21</f>
        <v>147.43099999999998</v>
      </c>
      <c r="E17" s="10">
        <f>'Segment - EMEA'!E21</f>
        <v>149.517</v>
      </c>
      <c r="F17" s="10">
        <f>'Segment - EMEA'!F21</f>
        <v>149.12</v>
      </c>
      <c r="G17" s="10">
        <f>'Segment - EMEA'!G21</f>
        <v>151.94</v>
      </c>
      <c r="H17" s="28">
        <f>'Segment - EMEA'!H21</f>
        <v>149.00000000000003</v>
      </c>
      <c r="I17" s="1"/>
      <c r="J17" s="1"/>
    </row>
    <row r="18">
      <c r="A18" s="1"/>
      <c r="B18" s="1" t="s">
        <v>232</v>
      </c>
      <c r="C18" s="16">
        <f>C17/'Revenue summary'!C10</f>
        <v>0.24993410137534305</v>
      </c>
      <c r="D18" s="16">
        <f>D17/'Revenue summary'!D10</f>
        <v>0.2469940576410494</v>
      </c>
      <c r="E18" s="16">
        <f>E17/'Revenue summary'!E10</f>
        <v>0.24606950714343315</v>
      </c>
      <c r="F18" s="16">
        <f>F17/'Revenue summary'!F10</f>
        <v>0.2440513306460192</v>
      </c>
      <c r="G18" s="16">
        <f>G17/'Revenue summary'!G10</f>
        <v>0.2439165347605945</v>
      </c>
      <c r="H18" s="19">
        <f>H17/'Revenue summary'!H10</f>
        <v>0.23745019920318725</v>
      </c>
      <c r="I18" s="1"/>
      <c r="J18" s="1"/>
    </row>
    <row r="19">
      <c r="A19" s="1"/>
      <c r="B19" s="1" t="s">
        <v>233</v>
      </c>
      <c r="C19" s="5">
        <f>IF('Segment - EMEA'!C14="","",'Segment - EMEA'!C14)</f>
        <v>591.6</v>
      </c>
      <c r="D19" s="5">
        <f>IF('Segment - EMEA'!D14="","",'Segment - EMEA'!D14)</f>
        <v>591.6</v>
      </c>
      <c r="E19" s="5">
        <f>IF('Segment - EMEA'!E14="","",'Segment - EMEA'!E14)</f>
        <v>591</v>
      </c>
      <c r="F19" s="5">
        <f>IF('Segment - EMEA'!F14="","",'Segment - EMEA'!F14)</f>
        <v>595.2</v>
      </c>
      <c r="G19" s="5">
        <f>IF('Segment - EMEA'!G14="","",'Segment - EMEA'!G14)</f>
        <v>608.1</v>
      </c>
      <c r="H19" s="31">
        <f>IF('Segment - EMEA'!H14="","",'Segment - EMEA'!H14)</f>
        <v>614.1</v>
      </c>
      <c r="I19" s="1"/>
      <c r="J19" s="1"/>
    </row>
    <row r="20">
      <c r="A20" s="1"/>
      <c r="B20" s="1" t="s">
        <v>234</v>
      </c>
      <c r="C20" s="15">
        <f>IFERROR(C17/C19,"")</f>
        <v>0.9808722109533468</v>
      </c>
      <c r="D20" s="15">
        <f>IFERROR(D17/D19,"")</f>
        <v>0.24920723461798508</v>
      </c>
      <c r="E20" s="15">
        <f>IFERROR(E17/E19,"")</f>
        <v>0.252989847715736</v>
      </c>
      <c r="F20" s="15">
        <f>IFERROR(F17/F19,"")</f>
        <v>0.25053763440860216</v>
      </c>
      <c r="G20" s="15">
        <f>IFERROR(G17/G19,"")</f>
        <v>0.24986022035849365</v>
      </c>
      <c r="H20" s="14">
        <f>IFERROR(H17/H19,"")</f>
        <v>0.242631493242143</v>
      </c>
      <c r="I20" s="1"/>
      <c r="J20" s="1"/>
    </row>
    <row r="21">
      <c r="A21" s="1"/>
      <c r="B21" s="1" t="s">
        <v>235</v>
      </c>
      <c r="C21" s="5">
        <f>'Segment - EMEA'!C29</f>
        <v>274.002</v>
      </c>
      <c r="D21" s="5">
        <f>'Segment - EMEA'!D29</f>
        <v>65.369</v>
      </c>
      <c r="E21" s="5">
        <f>'Segment - EMEA'!E29</f>
        <v>68.154</v>
      </c>
      <c r="F21" s="5">
        <f>'Segment - EMEA'!F29</f>
        <v>66.242</v>
      </c>
      <c r="G21" s="5">
        <f>'Segment - EMEA'!G29</f>
        <v>58.182</v>
      </c>
      <c r="H21" s="31">
        <f>'Segment - EMEA'!H29</f>
        <v>64.11470000000001</v>
      </c>
      <c r="I21" s="1"/>
      <c r="J21" s="1"/>
    </row>
    <row r="22">
      <c r="A22" s="1"/>
      <c r="B22" s="1" t="s">
        <v>236</v>
      </c>
      <c r="C22" s="15">
        <f>C21/C17</f>
        <v>0.4721860330458879</v>
      </c>
      <c r="D22" s="15">
        <f>D21/D17</f>
        <v>0.4433870759880894</v>
      </c>
      <c r="E22" s="15">
        <f>E21/E17</f>
        <v>0.4558277654046028</v>
      </c>
      <c r="F22" s="15">
        <f>F21/F17</f>
        <v>0.4442194206008584</v>
      </c>
      <c r="G22" s="15">
        <f>G21/G17</f>
        <v>0.38292747137027777</v>
      </c>
      <c r="H22" s="14">
        <f>H21/H17</f>
        <v>0.4303</v>
      </c>
      <c r="I22" s="1"/>
      <c r="J22" s="1"/>
    </row>
    <row r="23">
      <c r="A23" s="1"/>
      <c r="B23" s="1"/>
      <c r="C23" s="2"/>
      <c r="D23" s="2"/>
      <c r="E23" s="2"/>
      <c r="F23" s="2"/>
      <c r="G23" s="2"/>
      <c r="H23" s="9"/>
      <c r="I23" s="1"/>
      <c r="J23" s="1"/>
    </row>
    <row r="24">
      <c r="A24" s="1"/>
      <c r="B24" s="8" t="s">
        <v>238</v>
      </c>
      <c r="C24" s="10">
        <f>'Segment - Asia Pacific'!C21</f>
        <v>235.356</v>
      </c>
      <c r="D24" s="10">
        <f>'Segment - Asia Pacific'!D21</f>
        <v>60.76599999999999</v>
      </c>
      <c r="E24" s="10">
        <f>'Segment - Asia Pacific'!E21</f>
        <v>61.928</v>
      </c>
      <c r="F24" s="10">
        <f>'Segment - Asia Pacific'!F21</f>
        <v>62.216</v>
      </c>
      <c r="G24" s="10">
        <f>'Segment - Asia Pacific'!G21</f>
        <v>63.738</v>
      </c>
      <c r="H24" s="28">
        <f>'Segment - Asia Pacific'!H21</f>
        <v>63.500000000000014</v>
      </c>
      <c r="I24" s="1"/>
      <c r="J24" s="1"/>
    </row>
    <row r="25">
      <c r="A25" s="1"/>
      <c r="B25" s="1" t="s">
        <v>232</v>
      </c>
      <c r="C25" s="16">
        <f>C24/'Revenue summary'!C10</f>
        <v>0.10137017454090624</v>
      </c>
      <c r="D25" s="16">
        <f>D24/'Revenue summary'!D10</f>
        <v>0.10180247645757003</v>
      </c>
      <c r="E25" s="16">
        <f>E24/'Revenue summary'!E10</f>
        <v>0.10191879477503246</v>
      </c>
      <c r="F25" s="16">
        <f>F24/'Revenue summary'!F10</f>
        <v>0.10182334755547699</v>
      </c>
      <c r="G25" s="16">
        <f>G24/'Revenue summary'!G10</f>
        <v>0.10232165389344985</v>
      </c>
      <c r="H25" s="19">
        <f>H24/'Revenue summary'!H10</f>
        <v>0.10119521912350599</v>
      </c>
      <c r="I25" s="1"/>
      <c r="J25" s="1"/>
    </row>
    <row r="26">
      <c r="A26" s="1"/>
      <c r="B26" s="1" t="s">
        <v>233</v>
      </c>
      <c r="C26" s="5">
        <f>IF('Segment - Asia Pacific'!C14="","",'Segment - Asia Pacific'!C14)</f>
        <v>243.9</v>
      </c>
      <c r="D26" s="5">
        <f>IF('Segment - Asia Pacific'!D14="","",'Segment - Asia Pacific'!D14)</f>
        <v>243.9</v>
      </c>
      <c r="E26" s="5">
        <f>IF('Segment - Asia Pacific'!E14="","",'Segment - Asia Pacific'!E14)</f>
        <v>244.3</v>
      </c>
      <c r="F26" s="5">
        <f>IF('Segment - Asia Pacific'!F14="","",'Segment - Asia Pacific'!F14)</f>
        <v>249.1</v>
      </c>
      <c r="G26" s="5">
        <f>IF('Segment - Asia Pacific'!G14="","",'Segment - Asia Pacific'!G14)</f>
        <v>255.2</v>
      </c>
      <c r="H26" s="31">
        <f>IF('Segment - Asia Pacific'!H14="","",'Segment - Asia Pacific'!H14)</f>
        <v>260</v>
      </c>
      <c r="I26" s="1"/>
      <c r="J26" s="1"/>
    </row>
    <row r="27">
      <c r="A27" s="1"/>
      <c r="B27" s="1" t="s">
        <v>234</v>
      </c>
      <c r="C27" s="15">
        <f>IFERROR(C24/C26,"")</f>
        <v>0.9649692496924969</v>
      </c>
      <c r="D27" s="15">
        <f>IFERROR(D24/D26,"")</f>
        <v>0.24914309143091426</v>
      </c>
      <c r="E27" s="15">
        <f>IFERROR(E24/E26,"")</f>
        <v>0.2534916086778551</v>
      </c>
      <c r="F27" s="15">
        <f>IFERROR(F24/F26,"")</f>
        <v>0.2497631473303894</v>
      </c>
      <c r="G27" s="15">
        <f>IFERROR(G24/G26,"")</f>
        <v>0.24975705329153605</v>
      </c>
      <c r="H27" s="14">
        <f>IFERROR(H24/H26,"")</f>
        <v>0.24423076923076928</v>
      </c>
      <c r="I27" s="1"/>
      <c r="J27" s="1"/>
    </row>
    <row r="28">
      <c r="A28" s="1"/>
      <c r="B28" s="1" t="s">
        <v>235</v>
      </c>
      <c r="C28" s="5">
        <f>'Segment - Asia Pacific'!C29</f>
        <v>168.338</v>
      </c>
      <c r="D28" s="5">
        <f>'Segment - Asia Pacific'!D29</f>
        <v>42.479</v>
      </c>
      <c r="E28" s="5">
        <f>'Segment - Asia Pacific'!E29</f>
        <v>45.384</v>
      </c>
      <c r="F28" s="5">
        <f>'Segment - Asia Pacific'!F29</f>
        <v>44.518</v>
      </c>
      <c r="G28" s="5">
        <f>'Segment - Asia Pacific'!G29</f>
        <v>44.532</v>
      </c>
      <c r="H28" s="31">
        <f>'Segment - Asia Pacific'!H29</f>
        <v>42.151300000000006</v>
      </c>
      <c r="I28" s="1"/>
      <c r="J28" s="1"/>
    </row>
    <row r="29">
      <c r="A29" s="1"/>
      <c r="B29" s="1" t="s">
        <v>236</v>
      </c>
      <c r="C29" s="15">
        <f>C28/C24</f>
        <v>0.7152483896735159</v>
      </c>
      <c r="D29" s="15">
        <f>D28/D24</f>
        <v>0.6990586841325742</v>
      </c>
      <c r="E29" s="15">
        <f>E28/E24</f>
        <v>0.732851052835551</v>
      </c>
      <c r="F29" s="15">
        <f>F28/F24</f>
        <v>0.7155394110839656</v>
      </c>
      <c r="G29" s="15">
        <f>G28/G24</f>
        <v>0.6986726913301327</v>
      </c>
      <c r="H29" s="14">
        <f>H28/H24</f>
        <v>0.6638</v>
      </c>
      <c r="I29" s="1"/>
      <c r="J29" s="1"/>
    </row>
    <row r="30">
      <c r="A30" s="1"/>
      <c r="B30" s="1"/>
      <c r="C30" s="2"/>
      <c r="D30" s="2"/>
      <c r="E30" s="2"/>
      <c r="F30" s="2"/>
      <c r="G30" s="2"/>
      <c r="H30" s="9"/>
      <c r="I30" s="1"/>
      <c r="J30" s="1"/>
    </row>
    <row r="31">
      <c r="A31" s="1"/>
      <c r="B31" s="8" t="s">
        <v>239</v>
      </c>
      <c r="C31" s="10">
        <f>SUM(C10,C17,C24)-'Revenue summary'!C10</f>
        <v>0</v>
      </c>
      <c r="D31" s="10">
        <f>SUM(D10,D17,D24)-'Revenue summary'!D10</f>
        <v>0</v>
      </c>
      <c r="E31" s="10">
        <f>SUM(E10,E17,E24)-'Revenue summary'!E10</f>
        <v>0</v>
      </c>
      <c r="F31" s="10">
        <f>SUM(F10,F17,F24)-'Revenue summary'!F10</f>
        <v>0</v>
      </c>
      <c r="G31" s="10">
        <f>SUM(G10,G17,G24)-'Revenue summary'!G10</f>
        <v>0</v>
      </c>
      <c r="H31" s="28">
        <f>SUM(H10,H17,H24)-'Revenue summary'!H10</f>
        <v>0</v>
      </c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2" t="s">
        <v>240</v>
      </c>
      <c r="C34" s="12"/>
      <c r="D34" s="12"/>
      <c r="E34" s="12"/>
      <c r="F34" s="12"/>
      <c r="G34" s="12"/>
      <c r="H34" s="12"/>
      <c r="I34" s="1"/>
      <c r="J34" s="1"/>
    </row>
    <row r="35">
      <c r="A35" s="1"/>
      <c r="B35" s="1"/>
      <c r="C35" s="1"/>
      <c r="D35" s="1"/>
      <c r="E35" s="1"/>
      <c r="F35" s="1"/>
      <c r="G35" s="1"/>
      <c r="H35" s="44"/>
      <c r="I35" s="1"/>
      <c r="J35" s="1"/>
    </row>
    <row r="36">
      <c r="A36" s="1"/>
      <c r="B36" s="1" t="s">
        <v>241</v>
      </c>
      <c r="C36" s="1"/>
      <c r="D36" s="1"/>
      <c r="E36" s="1"/>
      <c r="F36" s="1"/>
      <c r="G36" s="1"/>
      <c r="H36" s="9">
        <f>H10-D10</f>
        <v>26.296000000000163</v>
      </c>
      <c r="I36" s="1"/>
      <c r="J36" s="1"/>
    </row>
    <row r="37">
      <c r="A37" s="1"/>
      <c r="B37" s="1" t="s">
        <v>242</v>
      </c>
      <c r="C37" s="1"/>
      <c r="D37" s="1"/>
      <c r="E37" s="1"/>
      <c r="F37" s="1"/>
      <c r="G37" s="1"/>
      <c r="H37" s="9">
        <f>H17-D17</f>
        <v>1.5690000000000452</v>
      </c>
      <c r="I37" s="1"/>
      <c r="J37" s="1"/>
    </row>
    <row r="38">
      <c r="A38" s="1"/>
      <c r="B38" s="1" t="s">
        <v>243</v>
      </c>
      <c r="C38" s="1"/>
      <c r="D38" s="1"/>
      <c r="E38" s="1"/>
      <c r="F38" s="1"/>
      <c r="G38" s="1"/>
      <c r="H38" s="9">
        <f>H24-D24</f>
        <v>2.734000000000023</v>
      </c>
      <c r="I38" s="1"/>
      <c r="J38" s="1"/>
    </row>
    <row r="39">
      <c r="A39" s="1"/>
      <c r="B39" s="1" t="s">
        <v>244</v>
      </c>
      <c r="C39" s="1"/>
      <c r="D39" s="1"/>
      <c r="E39" s="1"/>
      <c r="F39" s="1"/>
      <c r="G39" s="1"/>
      <c r="H39" s="44">
        <f>SUM(H36:H38)</f>
        <v>30.59900000000023</v>
      </c>
      <c r="I39" s="1"/>
      <c r="J39" s="1"/>
    </row>
    <row r="40">
      <c r="A40" s="1"/>
      <c r="B40" s="1" t="s">
        <v>245</v>
      </c>
      <c r="C40" s="15"/>
      <c r="D40" s="15"/>
      <c r="E40" s="15"/>
      <c r="F40" s="15"/>
      <c r="G40" s="15"/>
      <c r="H40" s="14">
        <f>H36/H39</f>
        <v>0.8593744893623962</v>
      </c>
      <c r="I40" s="1"/>
      <c r="J40" s="1"/>
    </row>
    <row r="41">
      <c r="A41" s="1"/>
      <c r="B41" s="1" t="s">
        <v>246</v>
      </c>
      <c r="C41" s="15"/>
      <c r="D41" s="15"/>
      <c r="E41" s="15"/>
      <c r="F41" s="15"/>
      <c r="G41" s="15"/>
      <c r="H41" s="14">
        <f>H37/H39</f>
        <v>0.05127618549625914</v>
      </c>
      <c r="I41" s="1"/>
      <c r="J41" s="1"/>
    </row>
    <row r="42">
      <c r="A42" s="1"/>
      <c r="B42" s="1" t="s">
        <v>247</v>
      </c>
      <c r="C42" s="15"/>
      <c r="D42" s="15"/>
      <c r="E42" s="15"/>
      <c r="F42" s="15"/>
      <c r="G42" s="15"/>
      <c r="H42" s="14">
        <f>H38/H39</f>
        <v>0.08934932514134457</v>
      </c>
      <c r="I42" s="1"/>
      <c r="J42" s="1"/>
    </row>
    <row r="43">
      <c r="A43" s="1"/>
      <c r="B43" s="1"/>
      <c r="C43" s="1"/>
      <c r="D43" s="1"/>
      <c r="E43" s="1"/>
      <c r="F43" s="1"/>
      <c r="G43" s="1"/>
      <c r="H43" s="44"/>
      <c r="I43" s="1"/>
      <c r="J43" s="1"/>
    </row>
    <row r="44">
      <c r="A44" s="1"/>
      <c r="B44" s="1" t="s">
        <v>248</v>
      </c>
      <c r="C44" s="1"/>
      <c r="D44" s="1"/>
      <c r="E44" s="1"/>
      <c r="F44" s="1"/>
      <c r="G44" s="1"/>
      <c r="H44" s="44"/>
      <c r="I44" s="1"/>
      <c r="J44" s="1"/>
    </row>
    <row r="45">
      <c r="A45" s="1"/>
      <c r="B45" s="1" t="s">
        <v>249</v>
      </c>
      <c r="C45" s="43">
        <f>(C15-'Income Statement'!C19)*Inputs!$H$85</f>
        <v>-1191.5344478552859</v>
      </c>
      <c r="D45" s="43">
        <f>(D15-'Income Statement'!D19)*Inputs!$H$85</f>
        <v>-1183.3953285044297</v>
      </c>
      <c r="E45" s="43">
        <f>(E15-'Income Statement'!E19)*Inputs!$H$85</f>
        <v>-1178.7573922251315</v>
      </c>
      <c r="F45" s="43">
        <f>(F15-'Income Statement'!F19)*Inputs!$H$85</f>
        <v>-1170.5945373001375</v>
      </c>
      <c r="G45" s="43">
        <f>(G15-'Income Statement'!G19)*Inputs!$H$85</f>
        <v>-1108.295918589623</v>
      </c>
      <c r="H45" s="32">
        <f>(H15-'Income Statement'!H19)*Inputs!$H$85</f>
        <v>-1085.2749003984075</v>
      </c>
      <c r="I45" s="1"/>
      <c r="J45" s="1"/>
    </row>
    <row r="46">
      <c r="A46" s="1"/>
      <c r="B46" s="1" t="s">
        <v>250</v>
      </c>
      <c r="C46" s="43">
        <f>(C22-'Income Statement'!C19)*Inputs!$H$85</f>
        <v>1498.8447404809829</v>
      </c>
      <c r="D46" s="43">
        <f>(D22-'Income Statement'!D19)*Inputs!$H$85</f>
        <v>1463.1771272684534</v>
      </c>
      <c r="E46" s="43">
        <f>(E22-'Income Statement'!E19)*Inputs!$H$85</f>
        <v>1397.244707521797</v>
      </c>
      <c r="F46" s="43">
        <f>(F22-'Income Statement'!F19)*Inputs!$H$85</f>
        <v>1415.103395411859</v>
      </c>
      <c r="G46" s="43">
        <f>(G22-'Income Statement'!G19)*Inputs!$H$85</f>
        <v>1159.5653779635622</v>
      </c>
      <c r="H46" s="32">
        <f>(H22-'Income Statement'!H19)*Inputs!$H$85</f>
        <v>1421.7250996015923</v>
      </c>
      <c r="I46" s="1"/>
      <c r="J46" s="1"/>
    </row>
    <row r="47">
      <c r="A47" s="1"/>
      <c r="B47" s="1" t="s">
        <v>251</v>
      </c>
      <c r="C47" s="43">
        <f>(C29-'Income Statement'!C19)*Inputs!$H$85</f>
        <v>3929.468306757263</v>
      </c>
      <c r="D47" s="43">
        <f>(D29-'Income Statement'!D19)*Inputs!$H$85</f>
        <v>4019.8932087133016</v>
      </c>
      <c r="E47" s="43">
        <f>(E29-'Income Statement'!E19)*Inputs!$H$85</f>
        <v>4167.477581831278</v>
      </c>
      <c r="F47" s="43">
        <f>(F29-'Income Statement'!F19)*Inputs!$H$85</f>
        <v>4128.303300242931</v>
      </c>
      <c r="G47" s="43">
        <f>(G29-'Income Statement'!G19)*Inputs!$H$85</f>
        <v>4317.017577562111</v>
      </c>
      <c r="H47" s="32">
        <f>(H29-'Income Statement'!H19)*Inputs!$H$85</f>
        <v>3756.7250996015914</v>
      </c>
      <c r="I47" s="1"/>
      <c r="J47" s="1"/>
    </row>
    <row r="48">
      <c r="A48" s="1"/>
      <c r="B48" s="1"/>
      <c r="C48" s="1"/>
      <c r="D48" s="1"/>
      <c r="E48" s="1"/>
      <c r="F48" s="1"/>
      <c r="G48" s="1"/>
      <c r="H48" s="44"/>
      <c r="I48" s="1"/>
      <c r="J48" s="1"/>
    </row>
    <row r="49">
      <c r="A49" s="1"/>
      <c r="B49" s="1" t="s">
        <v>252</v>
      </c>
      <c r="C49" s="1"/>
      <c r="D49" s="1"/>
      <c r="E49" s="1"/>
      <c r="F49" s="1"/>
      <c r="G49" s="1"/>
      <c r="H49" s="44"/>
      <c r="I49" s="1"/>
      <c r="J49" s="1"/>
    </row>
    <row r="50">
      <c r="A50" s="1"/>
      <c r="B50" s="1" t="s">
        <v>253</v>
      </c>
      <c r="C50" s="16">
        <f>IFERROR(C12/'Revenue summary'!C41,"")</f>
        <v>0.6526854007316262</v>
      </c>
      <c r="D50" s="16">
        <f>IFERROR(D12/'Revenue summary'!D41,"")</f>
        <v>0.6526854007316262</v>
      </c>
      <c r="E50" s="16">
        <f>IFERROR(E12/'Revenue summary'!E41,"")</f>
        <v>0.6535606154867073</v>
      </c>
      <c r="F50" s="16">
        <f>IFERROR(F12/'Revenue summary'!F41,"")</f>
        <v>0.6554158844175987</v>
      </c>
      <c r="G50" s="16">
        <f>IFERROR(G12/'Revenue summary'!G41,"")</f>
        <v>0.6524976854647184</v>
      </c>
      <c r="H50" s="19">
        <f>IFERROR(H12/'Revenue summary'!H41,"")</f>
        <v>0.6532862639324105</v>
      </c>
      <c r="I50" s="1"/>
      <c r="J50" s="1"/>
    </row>
    <row r="51">
      <c r="A51" s="1"/>
      <c r="B51" s="1" t="s">
        <v>254</v>
      </c>
      <c r="C51" s="16">
        <f>IFERROR(C19/'Revenue summary'!C41,"")</f>
        <v>0.2459261722647157</v>
      </c>
      <c r="D51" s="16">
        <f>IFERROR(D19/'Revenue summary'!D41,"")</f>
        <v>0.2459261722647157</v>
      </c>
      <c r="E51" s="16">
        <f>IFERROR(E19/'Revenue summary'!E41,"")</f>
        <v>0.2451163369416449</v>
      </c>
      <c r="F51" s="16">
        <f>IFERROR(F19/'Revenue summary'!F41,"")</f>
        <v>0.24291894539221293</v>
      </c>
      <c r="G51" s="16">
        <f>IFERROR(G19/'Revenue summary'!G41,"")</f>
        <v>0.24477720082115687</v>
      </c>
      <c r="H51" s="19">
        <f>IFERROR(H19/'Revenue summary'!H41,"")</f>
        <v>0.2435841497758915</v>
      </c>
      <c r="I51" s="1"/>
      <c r="J51" s="1"/>
    </row>
    <row r="52">
      <c r="A52" s="1"/>
      <c r="B52" s="1" t="s">
        <v>255</v>
      </c>
      <c r="C52" s="16">
        <f>IFERROR(C26/'Revenue summary'!C41,"")</f>
        <v>0.10138842700365813</v>
      </c>
      <c r="D52" s="16">
        <f>IFERROR(D26/'Revenue summary'!D41,"")</f>
        <v>0.10138842700365813</v>
      </c>
      <c r="E52" s="16">
        <f>IFERROR(E26/'Revenue summary'!E41,"")</f>
        <v>0.1013230475716478</v>
      </c>
      <c r="F52" s="16">
        <f>IFERROR(F26/'Revenue summary'!F41,"")</f>
        <v>0.10166517019018856</v>
      </c>
      <c r="G52" s="16">
        <f>IFERROR(G26/'Revenue summary'!G41,"")</f>
        <v>0.1027251137141247</v>
      </c>
      <c r="H52" s="19">
        <f>IFERROR(H26/'Revenue summary'!H41,"")</f>
        <v>0.10312958629169808</v>
      </c>
      <c r="I52" s="1"/>
      <c r="J52" s="1"/>
    </row>
    <row r="53">
      <c r="A53" s="1"/>
      <c r="B53" s="1" t="s">
        <v>256</v>
      </c>
      <c r="C53" s="15">
        <f>IFERROR(SUM(C50:C52)-1,"")</f>
        <v>0</v>
      </c>
      <c r="D53" s="15">
        <f>IFERROR(SUM(D50:D52)-1,"")</f>
        <v>0</v>
      </c>
      <c r="E53" s="15">
        <f>IFERROR(SUM(E50:E52)-1,"")</f>
        <v>0</v>
      </c>
      <c r="F53" s="15">
        <f>IFERROR(SUM(F50:F52)-1,"")</f>
        <v>0</v>
      </c>
      <c r="G53" s="15">
        <f>IFERROR(SUM(G50:G52)-1,"")</f>
        <v>0</v>
      </c>
      <c r="H53" s="14">
        <f>IFERROR(SUM(H50:H52)-1,"")</f>
        <v>0</v>
      </c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257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258</v>
      </c>
      <c r="C10" s="2"/>
      <c r="D10" s="2"/>
      <c r="E10" s="2">
        <f>D13</f>
        <v>37.64587</v>
      </c>
      <c r="F10" s="2">
        <f>E13</f>
        <v>37.243824</v>
      </c>
      <c r="G10" s="2">
        <f>F13</f>
        <v>36.640727</v>
      </c>
      <c r="H10" s="9">
        <f>G13</f>
        <v>35.777453</v>
      </c>
      <c r="I10" s="1"/>
      <c r="J10" s="1"/>
    </row>
    <row r="11">
      <c r="A11" s="1"/>
      <c r="B11" s="1" t="s">
        <v>259</v>
      </c>
      <c r="C11" s="2"/>
      <c r="D11" s="2"/>
      <c r="E11" s="2">
        <f>E13-E10-E12</f>
        <v>0.07605399999999435</v>
      </c>
      <c r="F11" s="2">
        <f>F13-F10-F12</f>
        <v>0.048653000000001834</v>
      </c>
      <c r="G11" s="2">
        <f>G13-G10-G12</f>
        <v>0.06309600000000304</v>
      </c>
      <c r="H11" s="18">
        <v>0.1</v>
      </c>
      <c r="I11" s="1"/>
      <c r="J11" s="1"/>
    </row>
    <row r="12">
      <c r="A12" s="1"/>
      <c r="B12" s="1" t="s">
        <v>260</v>
      </c>
      <c r="C12" s="2"/>
      <c r="D12" s="5">
        <f>Inputs!D183</f>
        <v>-0.259721</v>
      </c>
      <c r="E12" s="5">
        <f>Inputs!E183</f>
        <v>-0.4781</v>
      </c>
      <c r="F12" s="5">
        <f>Inputs!F183</f>
        <v>-0.65175</v>
      </c>
      <c r="G12" s="5">
        <f>Inputs!G183</f>
        <v>-0.92637</v>
      </c>
      <c r="H12" s="18">
        <v>-0.35</v>
      </c>
      <c r="I12" s="1"/>
      <c r="J12" s="1" t="s">
        <v>261</v>
      </c>
    </row>
    <row r="13">
      <c r="A13" s="1"/>
      <c r="B13" s="8" t="s">
        <v>262</v>
      </c>
      <c r="C13" s="3"/>
      <c r="D13" s="10">
        <f>Inputs!D182</f>
        <v>37.64587</v>
      </c>
      <c r="E13" s="10">
        <f>Inputs!E182</f>
        <v>37.243824</v>
      </c>
      <c r="F13" s="10">
        <f>Inputs!F182</f>
        <v>36.640727</v>
      </c>
      <c r="G13" s="10">
        <f>Inputs!G182</f>
        <v>35.777453</v>
      </c>
      <c r="H13" s="4">
        <f>SUM(H10:H12)</f>
        <v>35.527453</v>
      </c>
      <c r="I13" s="1"/>
      <c r="J13" s="1"/>
    </row>
    <row r="14">
      <c r="A14" s="1"/>
      <c r="B14" s="1" t="s">
        <v>263</v>
      </c>
      <c r="C14" s="5">
        <f>Inputs!C113</f>
        <v>37.924</v>
      </c>
      <c r="D14" s="5">
        <f>Inputs!D113</f>
        <v>37.757</v>
      </c>
      <c r="E14" s="5">
        <f>Inputs!E113</f>
        <v>37.409</v>
      </c>
      <c r="F14" s="5">
        <f>Inputs!F113</f>
        <v>36.927</v>
      </c>
      <c r="G14" s="5">
        <f>Inputs!G113</f>
        <v>36.122</v>
      </c>
      <c r="H14" s="9">
        <f>AVERAGE(H10,H13)</f>
        <v>35.652453</v>
      </c>
      <c r="I14" s="1"/>
      <c r="J14" s="1"/>
    </row>
    <row r="15">
      <c r="A15" s="1"/>
      <c r="B15" s="1" t="s">
        <v>264</v>
      </c>
      <c r="C15" s="2">
        <f>C19-C14</f>
        <v>0.4609999999999985</v>
      </c>
      <c r="D15" s="2">
        <f>D19-D14</f>
        <v>0.40100000000000335</v>
      </c>
      <c r="E15" s="2">
        <f>E19-E14</f>
        <v>0.20600000000000307</v>
      </c>
      <c r="F15" s="2">
        <f>F19-F14</f>
        <v>0.13600000000000279</v>
      </c>
      <c r="G15" s="2">
        <f>G19-G14</f>
        <v>0.06900000000000261</v>
      </c>
      <c r="H15" s="18">
        <v>0.1</v>
      </c>
      <c r="I15" s="1"/>
      <c r="J15" s="1"/>
    </row>
    <row r="16">
      <c r="A16" s="1"/>
      <c r="B16" s="1"/>
      <c r="C16" s="2"/>
      <c r="D16" s="2"/>
      <c r="E16" s="2"/>
      <c r="F16" s="2"/>
      <c r="G16" s="2"/>
      <c r="H16" s="9"/>
      <c r="I16" s="1"/>
      <c r="J16" s="1"/>
    </row>
    <row r="17">
      <c r="A17" s="1"/>
      <c r="B17" s="1"/>
      <c r="C17" s="2"/>
      <c r="D17" s="2"/>
      <c r="E17" s="2"/>
      <c r="F17" s="2"/>
      <c r="G17" s="2"/>
      <c r="H17" s="9"/>
      <c r="I17" s="1"/>
      <c r="J17" s="1"/>
    </row>
    <row r="18">
      <c r="A18" s="1"/>
      <c r="B18" s="1"/>
      <c r="C18" s="2"/>
      <c r="D18" s="2"/>
      <c r="E18" s="2"/>
      <c r="F18" s="2"/>
      <c r="G18" s="2"/>
      <c r="H18" s="9"/>
      <c r="I18" s="1"/>
      <c r="J18" s="1"/>
    </row>
    <row r="19">
      <c r="A19" s="1"/>
      <c r="B19" s="8" t="s">
        <v>265</v>
      </c>
      <c r="C19" s="10">
        <f>Inputs!C147</f>
        <v>38.385</v>
      </c>
      <c r="D19" s="10">
        <f>Inputs!D147</f>
        <v>38.158</v>
      </c>
      <c r="E19" s="10">
        <f>Inputs!E147</f>
        <v>37.615</v>
      </c>
      <c r="F19" s="10">
        <f>Inputs!F147</f>
        <v>37.063</v>
      </c>
      <c r="G19" s="10">
        <f>Inputs!G147</f>
        <v>36.191</v>
      </c>
      <c r="H19" s="4">
        <f>SUM(H14:H15)</f>
        <v>35.752453</v>
      </c>
      <c r="I19" s="1"/>
      <c r="J19" s="1"/>
    </row>
    <row r="20">
      <c r="A20" s="1"/>
      <c r="B20" s="1" t="s">
        <v>266</v>
      </c>
      <c r="C20" s="15"/>
      <c r="D20" s="15"/>
      <c r="E20" s="15"/>
      <c r="F20" s="15"/>
      <c r="G20" s="15"/>
      <c r="H20" s="14">
        <f>H14/D14-1</f>
        <v>-0.05573925364832999</v>
      </c>
      <c r="I20" s="1"/>
      <c r="J20" s="1"/>
    </row>
    <row r="21">
      <c r="A21" s="1"/>
      <c r="B21" s="1" t="s">
        <v>267</v>
      </c>
      <c r="C21" s="15"/>
      <c r="D21" s="15"/>
      <c r="E21" s="15"/>
      <c r="F21" s="15"/>
      <c r="G21" s="15"/>
      <c r="H21" s="14">
        <f>H19/D19-1</f>
        <v>-0.06304174747104141</v>
      </c>
      <c r="I21" s="1"/>
      <c r="J21" s="1"/>
    </row>
    <row r="22">
      <c r="A22" s="1"/>
      <c r="B22" s="1" t="s">
        <v>268</v>
      </c>
      <c r="C22" s="5">
        <f>-Inputs!C117</f>
        <v>300.457</v>
      </c>
      <c r="D22" s="5">
        <f>-Inputs!D117</f>
        <v>106.619</v>
      </c>
      <c r="E22" s="5">
        <f>-Inputs!E117</f>
        <v>139.899</v>
      </c>
      <c r="F22" s="5">
        <f>-Inputs!F117</f>
        <v>163.031</v>
      </c>
      <c r="G22" s="5">
        <f>-Inputs!G117</f>
        <v>203.07</v>
      </c>
      <c r="H22" s="9">
        <f>H23*-H12</f>
        <v>78.75</v>
      </c>
      <c r="I22" s="1"/>
      <c r="J22" s="1"/>
    </row>
    <row r="23">
      <c r="A23" s="1"/>
      <c r="B23" s="1" t="s">
        <v>269</v>
      </c>
      <c r="C23" s="2"/>
      <c r="D23" s="2">
        <f>D22/-D12</f>
        <v>410.5135895826676</v>
      </c>
      <c r="E23" s="2">
        <f>E22/-E12</f>
        <v>292.6145157916754</v>
      </c>
      <c r="F23" s="2">
        <f>F22/-F12</f>
        <v>250.1434599156118</v>
      </c>
      <c r="G23" s="2">
        <f>G22/-G12</f>
        <v>219.21046666018975</v>
      </c>
      <c r="H23" s="18">
        <v>225</v>
      </c>
      <c r="I23" s="1"/>
      <c r="J23" s="1"/>
    </row>
    <row r="24">
      <c r="A24" s="1"/>
      <c r="B24" s="8" t="s">
        <v>270</v>
      </c>
      <c r="C24" s="3"/>
      <c r="D24" s="3"/>
      <c r="E24" s="3"/>
      <c r="F24" s="3"/>
      <c r="G24" s="3"/>
      <c r="H24" s="28">
        <f>'Income Statement'!H29-H19</f>
        <v>0</v>
      </c>
      <c r="I24" s="1"/>
      <c r="J24" s="1"/>
    </row>
    <row r="25">
      <c r="A25" s="1"/>
      <c r="B25" s="1"/>
      <c r="C25" s="2"/>
      <c r="D25" s="2"/>
      <c r="E25" s="2"/>
      <c r="F25" s="2"/>
      <c r="G25" s="2"/>
      <c r="H25" s="9"/>
      <c r="I25" s="1"/>
      <c r="J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271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272</v>
      </c>
      <c r="C10" s="2" t="s">
        <v>273</v>
      </c>
      <c r="D10" s="2" t="s">
        <v>11</v>
      </c>
      <c r="E10" s="2" t="s">
        <v>274</v>
      </c>
      <c r="F10" s="2" t="s">
        <v>275</v>
      </c>
      <c r="G10" s="2" t="s">
        <v>276</v>
      </c>
      <c r="H10" s="9" t="s">
        <v>277</v>
      </c>
      <c r="I10" s="1" t="s">
        <v>278</v>
      </c>
      <c r="J10" s="1"/>
    </row>
    <row r="11">
      <c r="A11" s="1"/>
      <c r="B11" s="40">
        <v>46204</v>
      </c>
      <c r="C11" s="2" t="s">
        <v>279</v>
      </c>
      <c r="D11" s="2" t="s">
        <v>280</v>
      </c>
      <c r="E11" s="27">
        <v>130</v>
      </c>
      <c r="F11" s="27">
        <v>160</v>
      </c>
      <c r="G11" s="2">
        <f>AVERAGE(E11:F11)</f>
        <v>145</v>
      </c>
      <c r="H11" s="31">
        <f>'Revenue summary'!H61-'Revenue summary'!D61</f>
        <v>150.19999999999982</v>
      </c>
      <c r="I11" s="2">
        <f>H11-G11</f>
        <v>5.199999999999818</v>
      </c>
      <c r="J11" s="42"/>
    </row>
    <row r="12">
      <c r="A12" s="1"/>
      <c r="B12" s="40">
        <v>46204</v>
      </c>
      <c r="C12" s="2" t="s">
        <v>279</v>
      </c>
      <c r="D12" s="2" t="s">
        <v>281</v>
      </c>
      <c r="E12" s="27">
        <v>2450</v>
      </c>
      <c r="F12" s="27">
        <v>2470</v>
      </c>
      <c r="G12" s="2">
        <f>AVERAGE(E12:F12)</f>
        <v>2460</v>
      </c>
      <c r="H12" s="31">
        <f>'Income Statement'!E10+'Income Statement'!F10+'Income Statement'!G10+'Income Statement'!H10</f>
        <v>2469.058</v>
      </c>
      <c r="I12" s="2">
        <f>H12-G12</f>
        <v>9.057999999999993</v>
      </c>
      <c r="J12" s="1"/>
    </row>
    <row r="13">
      <c r="A13" s="1"/>
      <c r="B13" s="40">
        <v>46204</v>
      </c>
      <c r="C13" s="2" t="s">
        <v>279</v>
      </c>
      <c r="D13" s="2" t="s">
        <v>282</v>
      </c>
      <c r="E13" s="26">
        <v>0.295</v>
      </c>
      <c r="F13" s="26">
        <v>0.31</v>
      </c>
      <c r="G13" s="15">
        <f>AVERAGE(E13:F13)</f>
        <v>0.3025</v>
      </c>
      <c r="H13" s="19">
        <f>SUM('Income Statement'!E18,'Income Statement'!F18,'Income Statement'!G18,'Income Statement'!H18)/H12</f>
        <v>0.29328310635068117</v>
      </c>
      <c r="I13" s="15">
        <f>IF(H13="","",H13-G13)</f>
        <v>-0.009216893649318825</v>
      </c>
      <c r="J13" s="1"/>
    </row>
    <row r="14">
      <c r="A14" s="1"/>
      <c r="B14" s="40">
        <v>46204</v>
      </c>
      <c r="C14" s="2" t="s">
        <v>279</v>
      </c>
      <c r="D14" s="2" t="s">
        <v>283</v>
      </c>
      <c r="E14" s="26">
        <v>0.34</v>
      </c>
      <c r="F14" s="26">
        <v>0.355</v>
      </c>
      <c r="G14" s="15">
        <f>AVERAGE(E14:F14)</f>
        <v>0.34750000000000003</v>
      </c>
      <c r="H14" s="19">
        <f>SUM(Inputs!E180:G180,'Income Statement'!H18,'Income Statement'!H57:H59)/H12</f>
        <v>0.3429502263616327</v>
      </c>
      <c r="I14" s="15">
        <f>IF(H14="","",H14-G14)</f>
        <v>-0.004549773638367338</v>
      </c>
      <c r="J14" s="1"/>
    </row>
    <row r="15">
      <c r="A15" s="1"/>
      <c r="B15" s="40">
        <v>46204</v>
      </c>
      <c r="C15" s="2" t="s">
        <v>279</v>
      </c>
      <c r="D15" s="2" t="s">
        <v>284</v>
      </c>
      <c r="E15" s="26">
        <v>0.18</v>
      </c>
      <c r="F15" s="26">
        <v>0.19</v>
      </c>
      <c r="G15" s="15">
        <f>AVERAGE(E15:F15)</f>
        <v>0.185</v>
      </c>
      <c r="H15" s="19">
        <f>SUM('Income Statement'!E24,'Income Statement'!F24,'Income Statement'!G24,'Income Statement'!H24)/SUM('Income Statement'!E23,'Income Statement'!F23,'Income Statement'!G23,'Income Statement'!H23)</f>
        <v>0.18425907321828555</v>
      </c>
      <c r="I15" s="15">
        <f>IF(H15="","",H15-G15)</f>
        <v>-0.000740926781714446</v>
      </c>
      <c r="J15" s="1"/>
    </row>
    <row r="16">
      <c r="A16" s="1"/>
      <c r="B16" s="40">
        <v>46204</v>
      </c>
      <c r="C16" s="2" t="s">
        <v>279</v>
      </c>
      <c r="D16" s="2" t="s">
        <v>22</v>
      </c>
      <c r="E16" s="39">
        <v>14.85</v>
      </c>
      <c r="F16" s="39">
        <v>15.35</v>
      </c>
      <c r="G16" s="38">
        <f>AVERAGE(E16:F16)</f>
        <v>15.1</v>
      </c>
      <c r="H16" s="41">
        <f>SUM('Income Statement'!E31,'Income Statement'!F31,'Income Statement'!G31,'Income Statement'!H31)</f>
        <v>14.944337270830902</v>
      </c>
      <c r="I16" s="38">
        <f>IF(H16="","",H16-G16)</f>
        <v>-0.15566272916909796</v>
      </c>
      <c r="J16" s="1"/>
    </row>
    <row r="17">
      <c r="A17" s="1"/>
      <c r="B17" s="40">
        <v>46204</v>
      </c>
      <c r="C17" s="2" t="s">
        <v>279</v>
      </c>
      <c r="D17" s="2" t="s">
        <v>285</v>
      </c>
      <c r="E17" s="39">
        <v>17.25</v>
      </c>
      <c r="F17" s="39">
        <v>17.75</v>
      </c>
      <c r="G17" s="38">
        <f>AVERAGE(E17:F17)</f>
        <v>17.5</v>
      </c>
      <c r="H17" s="41">
        <f>SUM('Income Statement'!E50,'Income Statement'!F50,'Income Statement'!G50,'Income Statement'!H50)</f>
        <v>17.73652561445969</v>
      </c>
      <c r="I17" s="38">
        <f>IF(H17="","",H17-G17)</f>
        <v>0.23652561445969056</v>
      </c>
      <c r="J17" s="1"/>
    </row>
    <row r="18">
      <c r="A18" s="1"/>
      <c r="B18" s="1"/>
      <c r="C18" s="2"/>
      <c r="D18" s="2"/>
      <c r="E18" s="2"/>
      <c r="F18" s="2"/>
      <c r="G18" s="2"/>
      <c r="H18" s="9"/>
      <c r="I18" s="1"/>
      <c r="J18" s="42" t="s">
        <v>286</v>
      </c>
    </row>
    <row r="19">
      <c r="A19" s="1"/>
      <c r="B19" s="1"/>
      <c r="C19" s="2"/>
      <c r="D19" s="2"/>
      <c r="E19" s="2"/>
      <c r="F19" s="2"/>
      <c r="G19" s="2"/>
      <c r="H19" s="9"/>
      <c r="I19" s="1"/>
      <c r="J19" s="1"/>
    </row>
    <row r="20">
      <c r="A20" s="1"/>
      <c r="B20" s="1"/>
      <c r="C20" s="2"/>
      <c r="D20" s="2" t="s">
        <v>287</v>
      </c>
      <c r="E20" s="2"/>
      <c r="F20" s="2"/>
      <c r="G20" s="5">
        <f>G12-SUM('Income Statement'!E10:G10)</f>
        <v>618.442</v>
      </c>
      <c r="H20" s="9"/>
      <c r="I20" s="1"/>
      <c r="J20" s="1"/>
    </row>
    <row r="21">
      <c r="A21" s="1"/>
      <c r="B21" s="1"/>
      <c r="C21" s="2"/>
      <c r="D21" s="2" t="s">
        <v>288</v>
      </c>
      <c r="E21" s="2"/>
      <c r="F21" s="2"/>
      <c r="G21" s="5">
        <f>G17-SUM('Income Statement'!E50:G50)</f>
        <v>4.00760974598677</v>
      </c>
      <c r="H21" s="9"/>
      <c r="I21" s="1"/>
      <c r="J21" s="1"/>
    </row>
    <row r="22">
      <c r="A22" s="1"/>
      <c r="B22" s="1"/>
      <c r="C22" s="2"/>
      <c r="D22" s="2" t="s">
        <v>289</v>
      </c>
      <c r="E22" s="2"/>
      <c r="F22" s="2"/>
      <c r="G22" s="5">
        <f>F12-SUM('Income Statement'!E10:G10)</f>
        <v>628.442</v>
      </c>
      <c r="H22" s="9"/>
      <c r="I22" s="1"/>
      <c r="J22" s="1"/>
    </row>
    <row r="23">
      <c r="A23" s="1"/>
      <c r="B23" s="1"/>
      <c r="C23" s="2"/>
      <c r="D23" s="2" t="s">
        <v>290</v>
      </c>
      <c r="E23" s="2"/>
      <c r="F23" s="2"/>
      <c r="G23" s="5">
        <f>F17-SUM('Income Statement'!E50:G50)</f>
        <v>4.25760974598677</v>
      </c>
      <c r="H23" s="9"/>
      <c r="I23" s="1"/>
      <c r="J23" s="1"/>
    </row>
    <row r="24">
      <c r="A24" s="1"/>
      <c r="B24" s="1"/>
      <c r="C24" s="2"/>
      <c r="D24" s="2"/>
      <c r="E24" s="2"/>
      <c r="F24" s="2"/>
      <c r="G24" s="2"/>
      <c r="H24" s="9"/>
      <c r="I24" s="1"/>
      <c r="J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4" width="12" customWidth="1"/>
    <col min="5" max="5" width="33" customWidth="1"/>
    <col min="6" max="6" width="45" customWidth="1"/>
    <col min="7" max="8" width="12" customWidth="1"/>
    <col min="10" max="10" width="7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6" t="s">
        <v>291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</row>
    <row r="10">
      <c r="A10" s="1"/>
      <c r="B10" s="1" t="s">
        <v>292</v>
      </c>
      <c r="C10" s="2" t="s">
        <v>293</v>
      </c>
      <c r="D10" s="2" t="s">
        <v>294</v>
      </c>
      <c r="E10" s="2" t="s">
        <v>295</v>
      </c>
      <c r="F10" s="2" t="s">
        <v>296</v>
      </c>
      <c r="G10" s="2"/>
      <c r="H10" s="9"/>
      <c r="I10" s="1"/>
      <c r="J10" s="1"/>
    </row>
    <row r="11">
      <c r="A11" s="1"/>
      <c r="B11" s="1" t="s">
        <v>297</v>
      </c>
      <c r="C11" s="27">
        <v>45918</v>
      </c>
      <c r="D11" s="2" t="s">
        <v>298</v>
      </c>
      <c r="E11" s="2" t="s">
        <v>299</v>
      </c>
      <c r="F11" s="2" t="s">
        <v>300</v>
      </c>
      <c r="G11" s="2"/>
      <c r="H11" s="9"/>
      <c r="I11" s="1"/>
      <c r="J11" s="1"/>
    </row>
    <row r="12">
      <c r="A12" s="1"/>
      <c r="B12" s="1" t="s">
        <v>301</v>
      </c>
      <c r="C12" s="27">
        <v>45952</v>
      </c>
      <c r="D12" s="2" t="s">
        <v>302</v>
      </c>
      <c r="E12" s="2" t="s">
        <v>299</v>
      </c>
      <c r="F12" s="2" t="s">
        <v>303</v>
      </c>
      <c r="G12" s="2"/>
      <c r="H12" s="9"/>
      <c r="I12" s="1"/>
      <c r="J12" s="1"/>
    </row>
    <row r="13">
      <c r="A13" s="1"/>
      <c r="B13" s="1" t="s">
        <v>304</v>
      </c>
      <c r="C13" s="27">
        <v>46028</v>
      </c>
      <c r="D13" s="2" t="s">
        <v>305</v>
      </c>
      <c r="E13" s="2" t="s">
        <v>299</v>
      </c>
      <c r="F13" s="2" t="s">
        <v>306</v>
      </c>
      <c r="G13" s="2"/>
      <c r="H13" s="9"/>
      <c r="I13" s="1"/>
      <c r="J13" s="1"/>
    </row>
    <row r="14">
      <c r="A14" s="1"/>
      <c r="B14" s="1" t="s">
        <v>307</v>
      </c>
      <c r="C14" s="27">
        <v>46112</v>
      </c>
      <c r="D14" s="2" t="s">
        <v>305</v>
      </c>
      <c r="E14" s="2" t="s">
        <v>299</v>
      </c>
      <c r="F14" s="2" t="s">
        <v>308</v>
      </c>
      <c r="G14" s="2"/>
      <c r="H14" s="9"/>
      <c r="I14" s="1"/>
      <c r="J14" s="1"/>
    </row>
    <row r="15">
      <c r="A15" s="1"/>
      <c r="B15" s="1" t="s">
        <v>309</v>
      </c>
      <c r="C15" s="27">
        <v>46204</v>
      </c>
      <c r="D15" s="2" t="s">
        <v>305</v>
      </c>
      <c r="E15" s="2" t="s">
        <v>299</v>
      </c>
      <c r="F15" s="2" t="s">
        <v>310</v>
      </c>
      <c r="G15" s="2"/>
      <c r="H15" s="9"/>
      <c r="I15" s="1"/>
      <c r="J15" s="1"/>
    </row>
    <row r="16">
      <c r="A16" s="1"/>
      <c r="B16" s="1" t="s">
        <v>311</v>
      </c>
      <c r="C16" s="27">
        <v>46204</v>
      </c>
      <c r="D16" s="2" t="s">
        <v>298</v>
      </c>
      <c r="E16" s="2" t="s">
        <v>299</v>
      </c>
      <c r="F16" s="2" t="s">
        <v>312</v>
      </c>
      <c r="G16" s="2"/>
      <c r="H16" s="9"/>
      <c r="I16" s="1"/>
      <c r="J16" s="1"/>
    </row>
    <row r="17">
      <c r="A17" s="1"/>
      <c r="B17" s="1" t="s">
        <v>313</v>
      </c>
      <c r="C17" s="27">
        <v>46204</v>
      </c>
      <c r="D17" s="2" t="s">
        <v>314</v>
      </c>
      <c r="E17" s="2" t="s">
        <v>315</v>
      </c>
      <c r="F17" s="2" t="s">
        <v>316</v>
      </c>
      <c r="G17" s="2"/>
      <c r="H17" s="9"/>
      <c r="I17" s="1"/>
      <c r="J17" s="1"/>
    </row>
    <row r="18">
      <c r="A18" s="1"/>
      <c r="B18" s="1" t="s">
        <v>317</v>
      </c>
      <c r="C18" s="27">
        <v>46224</v>
      </c>
      <c r="D18" s="2" t="s">
        <v>318</v>
      </c>
      <c r="E18" s="2" t="s">
        <v>315</v>
      </c>
      <c r="F18" s="2" t="s">
        <v>319</v>
      </c>
      <c r="G18" s="2"/>
      <c r="H18" s="9"/>
      <c r="I18" s="1"/>
      <c r="J18" s="1"/>
    </row>
    <row r="19">
      <c r="A19" s="1"/>
      <c r="B19" s="1" t="s">
        <v>320</v>
      </c>
      <c r="C19" s="27">
        <v>46233</v>
      </c>
      <c r="D19" s="2" t="s">
        <v>321</v>
      </c>
      <c r="E19" s="2" t="s">
        <v>322</v>
      </c>
      <c r="F19" s="2" t="s">
        <v>323</v>
      </c>
      <c r="G19" s="2"/>
      <c r="H19" s="9"/>
      <c r="I19" s="1"/>
      <c r="J19" s="1"/>
    </row>
    <row r="20">
      <c r="A20" s="1"/>
      <c r="B20" s="1" t="s">
        <v>324</v>
      </c>
      <c r="C20" s="27">
        <v>46290</v>
      </c>
      <c r="D20" s="2" t="s">
        <v>325</v>
      </c>
      <c r="E20" s="2" t="s">
        <v>322</v>
      </c>
      <c r="F20" s="2" t="s">
        <v>326</v>
      </c>
      <c r="G20" s="2"/>
      <c r="H20" s="9"/>
      <c r="I20" s="1"/>
      <c r="J20" s="1"/>
    </row>
    <row r="21">
      <c r="A21" s="1"/>
      <c r="B21" s="1" t="s">
        <v>327</v>
      </c>
      <c r="C21" s="27">
        <v>46290</v>
      </c>
      <c r="D21" s="2" t="s">
        <v>325</v>
      </c>
      <c r="E21" s="2" t="s">
        <v>322</v>
      </c>
      <c r="F21" s="2" t="s">
        <v>328</v>
      </c>
      <c r="G21" s="2"/>
      <c r="H21" s="9"/>
      <c r="I21" s="1"/>
      <c r="J21" s="1"/>
    </row>
    <row r="22">
      <c r="A22" s="1"/>
      <c r="B22" s="1" t="s">
        <v>329</v>
      </c>
      <c r="C22" s="27">
        <v>46290</v>
      </c>
      <c r="D22" s="2" t="s">
        <v>330</v>
      </c>
      <c r="E22" s="2" t="s">
        <v>322</v>
      </c>
      <c r="F22" s="2" t="s">
        <v>331</v>
      </c>
      <c r="G22" s="2"/>
      <c r="H22" s="9"/>
      <c r="I22" s="1"/>
      <c r="J22" s="1"/>
    </row>
    <row r="23">
      <c r="A23" s="1"/>
      <c r="B23" s="1" t="s">
        <v>332</v>
      </c>
      <c r="C23" s="2" t="s">
        <v>333</v>
      </c>
      <c r="D23" s="2" t="s">
        <v>334</v>
      </c>
      <c r="E23" s="2" t="s">
        <v>335</v>
      </c>
      <c r="F23" s="2" t="s">
        <v>336</v>
      </c>
      <c r="G23" s="2"/>
      <c r="H23" s="9"/>
      <c r="I23" s="1"/>
      <c r="J23" s="1"/>
    </row>
    <row r="24">
      <c r="A24" s="1"/>
      <c r="B24" s="1" t="s">
        <v>337</v>
      </c>
      <c r="C24" s="2" t="s">
        <v>338</v>
      </c>
      <c r="D24" s="2" t="s">
        <v>334</v>
      </c>
      <c r="E24" s="2" t="s">
        <v>339</v>
      </c>
      <c r="F24" s="2" t="s">
        <v>340</v>
      </c>
      <c r="G24" s="2"/>
      <c r="H24" s="9"/>
      <c r="I24" s="1"/>
      <c r="J24" s="1"/>
    </row>
    <row r="25">
      <c r="A25" s="1"/>
      <c r="B25" s="1"/>
      <c r="C25" s="2"/>
      <c r="D25" s="2"/>
      <c r="E25" s="2"/>
      <c r="F25" s="2"/>
      <c r="G25" s="2"/>
      <c r="H25" s="9"/>
      <c r="I25" s="1"/>
      <c r="J25" s="1"/>
    </row>
    <row r="26">
      <c r="A26" s="1"/>
      <c r="B26" s="1"/>
      <c r="C26" s="2"/>
      <c r="D26" s="2"/>
      <c r="E26" s="2"/>
      <c r="F26" s="2"/>
      <c r="G26" s="2"/>
      <c r="H26" s="9"/>
      <c r="I26" s="1"/>
      <c r="J26" s="1"/>
    </row>
    <row r="27">
      <c r="A27" s="1"/>
      <c r="B27" s="1" t="s">
        <v>341</v>
      </c>
      <c r="C27" s="2" t="s">
        <v>342</v>
      </c>
      <c r="D27" s="2" t="s">
        <v>343</v>
      </c>
      <c r="E27" s="2" t="s">
        <v>344</v>
      </c>
      <c r="F27" s="2"/>
      <c r="G27" s="2"/>
      <c r="H27" s="9"/>
      <c r="I27" s="1"/>
      <c r="J27" s="1"/>
    </row>
    <row r="28">
      <c r="A28" s="1"/>
      <c r="B28" s="1" t="s">
        <v>339</v>
      </c>
      <c r="C28" s="2" t="s">
        <v>345</v>
      </c>
      <c r="D28" s="2" t="s">
        <v>346</v>
      </c>
      <c r="E28" s="2" t="s">
        <v>347</v>
      </c>
      <c r="F28" s="2"/>
      <c r="G28" s="2"/>
      <c r="H28" s="9"/>
      <c r="I28" s="1"/>
      <c r="J28" s="1"/>
    </row>
    <row r="29">
      <c r="A29" s="1"/>
      <c r="B29" s="1" t="s">
        <v>335</v>
      </c>
      <c r="C29" s="2" t="s">
        <v>348</v>
      </c>
      <c r="D29" s="2" t="s">
        <v>333</v>
      </c>
      <c r="E29" s="2" t="s">
        <v>349</v>
      </c>
      <c r="F29" s="2"/>
      <c r="G29" s="2"/>
      <c r="H29" s="9"/>
      <c r="I29" s="1"/>
      <c r="J29" s="1"/>
    </row>
    <row r="30">
      <c r="A30" s="1"/>
      <c r="B30" s="1" t="s">
        <v>350</v>
      </c>
      <c r="C30" s="2" t="s">
        <v>351</v>
      </c>
      <c r="D30" s="27">
        <v>46291</v>
      </c>
      <c r="E30" s="2" t="s">
        <v>352</v>
      </c>
      <c r="F30" s="2"/>
      <c r="G30" s="2"/>
      <c r="H30" s="9"/>
      <c r="I30" s="1"/>
      <c r="J30" s="1"/>
    </row>
    <row r="31">
      <c r="A31" s="1"/>
      <c r="B31" s="1"/>
      <c r="C31" s="2"/>
      <c r="D31" s="2"/>
      <c r="E31" s="2"/>
      <c r="F31" s="2"/>
      <c r="G31" s="2"/>
      <c r="H31" s="9"/>
      <c r="I31" s="1"/>
      <c r="J31" s="1"/>
    </row>
    <row r="32">
      <c r="A32" s="1"/>
      <c r="B32" s="1" t="s">
        <v>353</v>
      </c>
      <c r="C32" s="2"/>
      <c r="D32" s="2"/>
      <c r="E32" s="2"/>
      <c r="F32" s="2"/>
      <c r="G32" s="2"/>
      <c r="H32" s="9"/>
      <c r="I32" s="1"/>
      <c r="J32" s="1" t="s">
        <v>354</v>
      </c>
    </row>
    <row r="33">
      <c r="A33" s="1"/>
      <c r="B33" s="1"/>
      <c r="C33" s="2"/>
      <c r="D33" s="2"/>
      <c r="E33" s="2"/>
      <c r="F33" s="2"/>
      <c r="G33" s="2"/>
      <c r="H33" s="9"/>
      <c r="I33" s="1"/>
      <c r="J33" s="1"/>
    </row>
    <row r="34">
      <c r="A34" s="1"/>
      <c r="B34" s="1"/>
      <c r="C34" s="2"/>
      <c r="D34" s="2"/>
      <c r="E34" s="2"/>
      <c r="F34" s="2"/>
      <c r="G34" s="2"/>
      <c r="H34" s="9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hyperlinks>
    <hyperlink ref="E11" r:id="rId1" display="Open SEC filing"/>
    <hyperlink ref="E12" r:id="rId2" display="Open SEC filing"/>
    <hyperlink ref="E13" r:id="rId3" display="Open SEC filing"/>
    <hyperlink ref="E14" r:id="rId4" display="Open SEC filing"/>
    <hyperlink ref="E15" r:id="rId5" display="Open SEC filing"/>
    <hyperlink ref="E16" r:id="rId6" display="Open SEC filing"/>
    <hyperlink ref="E17" r:id="rId7" display="Open call / peer"/>
    <hyperlink ref="E18" r:id="rId8" display="Open call / peer"/>
    <hyperlink ref="E19" r:id="rId9" display="Open research preview"/>
    <hyperlink ref="E20" r:id="rId10" display="Open research preview"/>
    <hyperlink ref="E21" r:id="rId11" display="Open research preview"/>
    <hyperlink ref="E22" r:id="rId12" display="Open research preview"/>
  </hyperlinks>
</worksheet>
</file>

<file path=xl/worksheets/sheet13.xml><?xml version="1.0" encoding="utf-8"?>
<worksheet xmlns="http://schemas.openxmlformats.org/spreadsheetml/2006/main" xmlns:r="http://schemas.openxmlformats.org/officeDocument/2006/relationships">
  <dimension ref="A1:N2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26" customWidth="1"/>
    <col min="2" max="2" width="36" customWidth="1"/>
    <col min="3" max="8" width="12" customWidth="1"/>
    <col min="10" max="10" width="22" customWidth="1"/>
    <col min="11" max="11" width="25" customWidth="1"/>
    <col min="12" max="14" width="2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s="6" t="s">
        <v>0</v>
      </c>
      <c r="C2" s="6"/>
      <c r="D2" s="6"/>
      <c r="E2" s="6"/>
      <c r="F2" s="6"/>
      <c r="G2" s="6"/>
      <c r="H2" s="6"/>
      <c r="I2" s="1"/>
      <c r="J2" s="1"/>
      <c r="K2" s="1"/>
      <c r="L2" s="1"/>
      <c r="M2" s="1"/>
      <c r="N2" s="1"/>
    </row>
    <row r="3">
      <c r="A3" s="1"/>
      <c r="B3" s="6" t="s">
        <v>355</v>
      </c>
      <c r="C3" s="6"/>
      <c r="D3" s="6"/>
      <c r="E3" s="6"/>
      <c r="F3" s="6"/>
      <c r="G3" s="6"/>
      <c r="H3" s="6"/>
      <c r="I3" s="1"/>
      <c r="J3" s="1"/>
      <c r="K3" s="1"/>
      <c r="L3" s="1"/>
      <c r="M3" s="1"/>
      <c r="N3" s="1"/>
    </row>
    <row r="4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A6" s="1"/>
      <c r="B6" s="12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"/>
      <c r="J6" s="1"/>
      <c r="K6" s="1"/>
      <c r="L6" s="1"/>
      <c r="M6" s="1"/>
      <c r="N6" s="1"/>
    </row>
    <row r="7">
      <c r="A7" s="1"/>
      <c r="B7" s="12"/>
      <c r="C7" s="7">
        <v>45900</v>
      </c>
      <c r="D7" s="7">
        <v>45900</v>
      </c>
      <c r="E7" s="7">
        <v>45991</v>
      </c>
      <c r="F7" s="7">
        <v>46081</v>
      </c>
      <c r="G7" s="7">
        <v>46173</v>
      </c>
      <c r="H7" s="7">
        <v>46265</v>
      </c>
      <c r="I7" s="1"/>
      <c r="J7" s="1"/>
      <c r="K7" s="1"/>
      <c r="L7" s="1"/>
      <c r="M7" s="1"/>
      <c r="N7" s="1"/>
    </row>
    <row r="8">
      <c r="A8" s="1"/>
      <c r="B8" s="12"/>
      <c r="C8" s="12">
        <v>365</v>
      </c>
      <c r="D8" s="12">
        <v>92</v>
      </c>
      <c r="E8" s="12">
        <v>91</v>
      </c>
      <c r="F8" s="12">
        <v>90</v>
      </c>
      <c r="G8" s="12">
        <v>92</v>
      </c>
      <c r="H8" s="12">
        <v>92</v>
      </c>
      <c r="I8" s="1"/>
      <c r="J8" s="1"/>
      <c r="K8" s="1"/>
      <c r="L8" s="1"/>
      <c r="M8" s="1"/>
      <c r="N8" s="1"/>
    </row>
    <row r="9">
      <c r="A9" s="1"/>
      <c r="B9" s="1"/>
      <c r="C9" s="2"/>
      <c r="D9" s="2"/>
      <c r="E9" s="2"/>
      <c r="F9" s="2"/>
      <c r="G9" s="2"/>
      <c r="H9" s="9"/>
      <c r="I9" s="1"/>
      <c r="J9" s="1"/>
      <c r="K9" s="1"/>
      <c r="L9" s="1"/>
      <c r="M9" s="1"/>
      <c r="N9" s="1"/>
    </row>
    <row r="10">
      <c r="A10" s="1" t="s">
        <v>356</v>
      </c>
      <c r="B10" s="1" t="s">
        <v>357</v>
      </c>
      <c r="C10" s="2" t="s">
        <v>358</v>
      </c>
      <c r="D10" s="2" t="s">
        <v>359</v>
      </c>
      <c r="E10" s="2" t="s">
        <v>360</v>
      </c>
      <c r="F10" s="2" t="s">
        <v>361</v>
      </c>
      <c r="G10" s="2" t="s">
        <v>362</v>
      </c>
      <c r="H10" s="9" t="s">
        <v>363</v>
      </c>
      <c r="I10" s="1"/>
      <c r="J10" s="1" t="s">
        <v>364</v>
      </c>
      <c r="K10" s="1" t="s">
        <v>365</v>
      </c>
      <c r="L10" s="1"/>
      <c r="M10" s="1"/>
      <c r="N10" s="1"/>
    </row>
    <row r="11">
      <c r="A11" s="46">
        <v>45716</v>
      </c>
      <c r="B11" s="45">
        <v>4.18</v>
      </c>
      <c r="C11" s="27">
        <v>4.28</v>
      </c>
      <c r="D11" s="27">
        <v>3.8</v>
      </c>
      <c r="E11" s="27">
        <v>3.76</v>
      </c>
      <c r="F11" s="27">
        <v>570.67</v>
      </c>
      <c r="G11" s="27">
        <v>570.66</v>
      </c>
      <c r="H11" s="18">
        <v>45736</v>
      </c>
      <c r="I11" s="1"/>
      <c r="J11" s="1" t="s">
        <v>366</v>
      </c>
      <c r="K11" s="1" t="s">
        <v>345</v>
      </c>
      <c r="L11" s="1"/>
      <c r="M11" s="1"/>
      <c r="N11" s="1"/>
    </row>
    <row r="12">
      <c r="A12" s="46">
        <v>45808</v>
      </c>
      <c r="B12" s="45">
        <v>4.3</v>
      </c>
      <c r="C12" s="27">
        <v>4.27</v>
      </c>
      <c r="D12" s="27">
        <v>3.83</v>
      </c>
      <c r="E12" s="27">
        <v>3.87</v>
      </c>
      <c r="F12" s="27">
        <v>580.9</v>
      </c>
      <c r="G12" s="27">
        <v>585.52</v>
      </c>
      <c r="H12" s="18">
        <v>45831</v>
      </c>
      <c r="I12" s="1"/>
      <c r="J12" s="1" t="s">
        <v>367</v>
      </c>
      <c r="K12" s="1" t="s">
        <v>348</v>
      </c>
      <c r="L12" s="1"/>
      <c r="M12" s="1"/>
      <c r="N12" s="1"/>
    </row>
    <row r="13">
      <c r="A13" s="46">
        <v>45900</v>
      </c>
      <c r="B13" s="45">
        <v>4.13</v>
      </c>
      <c r="C13" s="27">
        <v>4.05</v>
      </c>
      <c r="D13" s="27">
        <v>3.69</v>
      </c>
      <c r="E13" s="27">
        <v>4.03</v>
      </c>
      <c r="F13" s="27">
        <v>593.44</v>
      </c>
      <c r="G13" s="27">
        <v>596.9</v>
      </c>
      <c r="H13" s="18">
        <v>45918</v>
      </c>
      <c r="I13" s="1"/>
      <c r="J13" s="1" t="s">
        <v>368</v>
      </c>
      <c r="K13" s="1">
        <f>B34</f>
        <v>16</v>
      </c>
      <c r="L13" s="1"/>
      <c r="M13" s="1"/>
      <c r="N13" s="1"/>
    </row>
    <row r="14">
      <c r="A14" s="46">
        <v>45991</v>
      </c>
      <c r="B14" s="45">
        <v>4.36</v>
      </c>
      <c r="C14" s="27">
        <v>4.51</v>
      </c>
      <c r="D14" s="27">
        <v>3.85</v>
      </c>
      <c r="E14" s="27">
        <v>4.06</v>
      </c>
      <c r="F14" s="27">
        <v>600.63</v>
      </c>
      <c r="G14" s="27">
        <v>607.62</v>
      </c>
      <c r="H14" s="18">
        <v>46009</v>
      </c>
      <c r="I14" s="1"/>
      <c r="J14" s="1"/>
      <c r="K14" s="1"/>
      <c r="L14" s="1"/>
      <c r="M14" s="1"/>
      <c r="N14" s="1"/>
    </row>
    <row r="15">
      <c r="A15" s="46">
        <v>46081</v>
      </c>
      <c r="B15" s="45">
        <v>4.38</v>
      </c>
      <c r="C15" s="27">
        <v>4.46</v>
      </c>
      <c r="D15" s="27">
        <v>3.85</v>
      </c>
      <c r="E15" s="27">
        <v>3.59</v>
      </c>
      <c r="F15" s="27">
        <v>604.95</v>
      </c>
      <c r="G15" s="27">
        <v>611.02</v>
      </c>
      <c r="H15" s="18">
        <v>46112</v>
      </c>
      <c r="I15" s="1"/>
      <c r="J15" s="1"/>
      <c r="K15" s="1"/>
      <c r="L15" s="1"/>
      <c r="M15" s="1"/>
      <c r="N15" s="1"/>
    </row>
    <row r="16">
      <c r="A16" s="46">
        <v>46173</v>
      </c>
      <c r="B16" s="45">
        <v>4.45</v>
      </c>
      <c r="C16" s="27">
        <v>4.53</v>
      </c>
      <c r="D16" s="27">
        <v>3.9</v>
      </c>
      <c r="E16" s="27">
        <v>3.5</v>
      </c>
      <c r="F16" s="27">
        <v>618.09</v>
      </c>
      <c r="G16" s="27">
        <v>622.92</v>
      </c>
      <c r="H16" s="18">
        <v>46204</v>
      </c>
      <c r="I16" s="1"/>
      <c r="J16" s="1"/>
      <c r="K16" s="1"/>
      <c r="L16" s="1"/>
      <c r="M16" s="1"/>
      <c r="N16" s="1"/>
    </row>
    <row r="17">
      <c r="A17" s="1"/>
      <c r="B17" s="1"/>
      <c r="C17" s="2"/>
      <c r="D17" s="2"/>
      <c r="E17" s="2"/>
      <c r="F17" s="2"/>
      <c r="G17" s="2"/>
      <c r="H17" s="9"/>
      <c r="I17" s="1"/>
      <c r="J17" s="1"/>
      <c r="K17" s="1"/>
      <c r="L17" s="1"/>
      <c r="M17" s="1"/>
      <c r="N17" s="1"/>
    </row>
    <row r="18">
      <c r="A18" s="1"/>
      <c r="B18" s="1"/>
      <c r="C18" s="2"/>
      <c r="D18" s="2"/>
      <c r="E18" s="2"/>
      <c r="F18" s="2"/>
      <c r="G18" s="2"/>
      <c r="H18" s="9"/>
      <c r="I18" s="1"/>
      <c r="J18" s="1"/>
      <c r="K18" s="1"/>
      <c r="L18" s="1"/>
      <c r="M18" s="1"/>
      <c r="N18" s="1"/>
    </row>
    <row r="19">
      <c r="A19" s="1"/>
      <c r="B19" s="1"/>
      <c r="C19" s="2"/>
      <c r="D19" s="2"/>
      <c r="E19" s="2"/>
      <c r="F19" s="2"/>
      <c r="G19" s="2"/>
      <c r="H19" s="9"/>
      <c r="I19" s="1"/>
      <c r="J19" s="1"/>
      <c r="K19" s="1"/>
      <c r="L19" s="1"/>
      <c r="M19" s="1"/>
      <c r="N19" s="1"/>
    </row>
    <row r="20">
      <c r="A20" s="1" t="s">
        <v>369</v>
      </c>
      <c r="B20" s="1" t="s">
        <v>370</v>
      </c>
      <c r="C20" s="2"/>
      <c r="D20" s="2"/>
      <c r="E20" s="2"/>
      <c r="F20" s="2"/>
      <c r="G20" s="2"/>
      <c r="H20" s="9"/>
      <c r="I20" s="1"/>
      <c r="J20" s="1"/>
      <c r="K20" s="1"/>
      <c r="L20" s="1"/>
      <c r="M20" s="1"/>
      <c r="N20" s="1"/>
    </row>
    <row r="21">
      <c r="A21" s="1" t="s">
        <v>371</v>
      </c>
      <c r="B21" s="1" t="s">
        <v>0</v>
      </c>
      <c r="C21" s="2"/>
      <c r="D21" s="2"/>
      <c r="E21" s="2"/>
      <c r="F21" s="2"/>
      <c r="G21" s="2"/>
      <c r="H21" s="9"/>
      <c r="I21" s="1"/>
      <c r="J21" s="1"/>
      <c r="K21" s="1"/>
      <c r="L21" s="1"/>
      <c r="M21" s="1"/>
      <c r="N21" s="1"/>
    </row>
    <row r="22">
      <c r="A22" s="1" t="s">
        <v>372</v>
      </c>
      <c r="B22" s="1" t="s">
        <v>373</v>
      </c>
      <c r="C22" s="2"/>
      <c r="D22" s="2"/>
      <c r="E22" s="2"/>
      <c r="F22" s="2"/>
      <c r="G22" s="2"/>
      <c r="H22" s="9"/>
      <c r="I22" s="1"/>
      <c r="J22" s="1"/>
      <c r="K22" s="1"/>
      <c r="L22" s="1"/>
      <c r="M22" s="1"/>
      <c r="N22" s="1"/>
    </row>
    <row r="23">
      <c r="A23" s="1" t="s">
        <v>374</v>
      </c>
      <c r="B23" s="45">
        <v>347669</v>
      </c>
      <c r="C23" s="2"/>
      <c r="D23" s="2"/>
      <c r="E23" s="2"/>
      <c r="F23" s="2"/>
      <c r="G23" s="2"/>
      <c r="H23" s="9"/>
      <c r="I23" s="1"/>
      <c r="J23" s="1"/>
      <c r="K23" s="1"/>
      <c r="L23" s="1"/>
      <c r="M23" s="1"/>
      <c r="N23" s="1"/>
    </row>
    <row r="24">
      <c r="A24" s="1" t="s">
        <v>375</v>
      </c>
      <c r="B24" s="45">
        <v>18</v>
      </c>
      <c r="C24" s="2"/>
      <c r="D24" s="2"/>
      <c r="E24" s="2"/>
      <c r="F24" s="2"/>
      <c r="G24" s="2"/>
      <c r="H24" s="9"/>
      <c r="I24" s="1"/>
      <c r="J24" s="1"/>
      <c r="K24" s="1"/>
      <c r="L24" s="1"/>
      <c r="M24" s="1"/>
      <c r="N24" s="1"/>
    </row>
    <row r="25">
      <c r="A25" s="1" t="s">
        <v>376</v>
      </c>
      <c r="B25" s="1" t="s">
        <v>377</v>
      </c>
      <c r="C25" s="2"/>
      <c r="D25" s="2"/>
      <c r="E25" s="2"/>
      <c r="F25" s="2"/>
      <c r="G25" s="2"/>
      <c r="H25" s="9"/>
      <c r="I25" s="1"/>
      <c r="J25" s="1"/>
      <c r="K25" s="1"/>
      <c r="L25" s="1"/>
      <c r="M25" s="1"/>
      <c r="N25" s="1"/>
    </row>
    <row r="26">
      <c r="A26" s="1" t="s">
        <v>378</v>
      </c>
      <c r="B26" s="1" t="s">
        <v>379</v>
      </c>
      <c r="C26" s="2"/>
      <c r="D26" s="2"/>
      <c r="E26" s="2"/>
      <c r="F26" s="2"/>
      <c r="G26" s="2"/>
      <c r="H26" s="9"/>
      <c r="I26" s="1"/>
      <c r="J26" s="1"/>
      <c r="K26" s="1"/>
      <c r="L26" s="1"/>
      <c r="M26" s="1"/>
      <c r="N26" s="1"/>
    </row>
    <row r="27">
      <c r="A27" s="1" t="s">
        <v>356</v>
      </c>
      <c r="B27" s="40">
        <v>46265</v>
      </c>
      <c r="C27" s="2"/>
      <c r="D27" s="2"/>
      <c r="E27" s="2"/>
      <c r="F27" s="2"/>
      <c r="G27" s="2"/>
      <c r="H27" s="9"/>
      <c r="I27" s="1"/>
      <c r="J27" s="1"/>
      <c r="K27" s="1"/>
      <c r="L27" s="1"/>
      <c r="M27" s="1"/>
      <c r="N27" s="1"/>
    </row>
    <row r="28">
      <c r="A28" s="1" t="s">
        <v>380</v>
      </c>
      <c r="B28" s="40">
        <v>46295</v>
      </c>
      <c r="C28" s="2"/>
      <c r="D28" s="2"/>
      <c r="E28" s="2"/>
      <c r="F28" s="2"/>
      <c r="G28" s="2"/>
      <c r="H28" s="9"/>
      <c r="I28" s="1"/>
      <c r="J28" s="1"/>
      <c r="K28" s="1"/>
      <c r="L28" s="1"/>
      <c r="M28" s="1"/>
      <c r="N28" s="1"/>
    </row>
    <row r="29">
      <c r="A29" s="1" t="s">
        <v>381</v>
      </c>
      <c r="B29" s="45">
        <v>4.35</v>
      </c>
      <c r="C29" s="2"/>
      <c r="D29" s="2"/>
      <c r="E29" s="2"/>
      <c r="F29" s="2"/>
      <c r="G29" s="2"/>
      <c r="H29" s="9"/>
      <c r="I29" s="1"/>
      <c r="J29" s="1"/>
      <c r="K29" s="1"/>
      <c r="L29" s="1"/>
      <c r="M29" s="1"/>
      <c r="N29" s="1"/>
    </row>
    <row r="30">
      <c r="A30" s="1" t="s">
        <v>382</v>
      </c>
      <c r="B30" s="45">
        <v>4.34</v>
      </c>
      <c r="C30" s="2"/>
      <c r="D30" s="2"/>
      <c r="E30" s="2"/>
      <c r="F30" s="2"/>
      <c r="G30" s="2"/>
      <c r="H30" s="9"/>
      <c r="I30" s="1"/>
      <c r="J30" s="1"/>
      <c r="K30" s="1"/>
      <c r="L30" s="1"/>
      <c r="M30" s="1"/>
      <c r="N30" s="1"/>
    </row>
    <row r="31">
      <c r="A31" s="1" t="s">
        <v>383</v>
      </c>
      <c r="B31" s="45">
        <v>4.52</v>
      </c>
      <c r="C31" s="2"/>
      <c r="D31" s="2"/>
      <c r="E31" s="2"/>
      <c r="F31" s="2"/>
      <c r="G31" s="2"/>
      <c r="H31" s="9"/>
      <c r="I31" s="1"/>
      <c r="J31" s="1"/>
      <c r="K31" s="1"/>
      <c r="L31" s="1"/>
      <c r="M31" s="1"/>
      <c r="N31" s="1"/>
    </row>
    <row r="32">
      <c r="A32" s="1" t="s">
        <v>384</v>
      </c>
      <c r="B32" s="45">
        <v>4.22</v>
      </c>
      <c r="C32" s="2"/>
      <c r="D32" s="2"/>
      <c r="E32" s="2"/>
      <c r="F32" s="2"/>
      <c r="G32" s="2"/>
      <c r="H32" s="9"/>
      <c r="I32" s="1"/>
      <c r="J32" s="1"/>
      <c r="K32" s="1"/>
      <c r="L32" s="1"/>
      <c r="M32" s="1"/>
      <c r="N32" s="1"/>
    </row>
    <row r="33">
      <c r="A33" s="1" t="s">
        <v>385</v>
      </c>
      <c r="B33" s="45">
        <v>0.09</v>
      </c>
      <c r="C33" s="2"/>
      <c r="D33" s="2"/>
      <c r="E33" s="2"/>
      <c r="F33" s="2"/>
      <c r="G33" s="2"/>
      <c r="H33" s="9"/>
      <c r="I33" s="1"/>
      <c r="J33" s="1"/>
      <c r="K33" s="1"/>
      <c r="L33" s="1"/>
      <c r="M33" s="1"/>
      <c r="N33" s="1"/>
    </row>
    <row r="34">
      <c r="A34" s="1" t="s">
        <v>386</v>
      </c>
      <c r="B34" s="45">
        <v>16</v>
      </c>
      <c r="C34" s="2"/>
      <c r="D34" s="2"/>
      <c r="E34" s="2"/>
      <c r="F34" s="2"/>
      <c r="G34" s="2"/>
      <c r="H34" s="9"/>
      <c r="I34" s="1"/>
      <c r="J34" s="1"/>
      <c r="K34" s="1"/>
      <c r="L34" s="1"/>
      <c r="M34" s="1"/>
      <c r="N34" s="1"/>
    </row>
    <row r="35">
      <c r="A35" s="1" t="s">
        <v>387</v>
      </c>
      <c r="B35" s="1"/>
      <c r="C35" s="2"/>
      <c r="D35" s="2"/>
      <c r="E35" s="2"/>
      <c r="F35" s="2"/>
      <c r="G35" s="2"/>
      <c r="H35" s="9"/>
      <c r="I35" s="1"/>
      <c r="J35" s="1"/>
      <c r="K35" s="1"/>
      <c r="L35" s="1"/>
      <c r="M35" s="1"/>
      <c r="N35" s="1"/>
    </row>
    <row r="36">
      <c r="A36" s="1" t="s">
        <v>388</v>
      </c>
      <c r="B36" s="1"/>
      <c r="C36" s="2"/>
      <c r="D36" s="2"/>
      <c r="E36" s="2"/>
      <c r="F36" s="2"/>
      <c r="G36" s="2"/>
      <c r="H36" s="9"/>
      <c r="I36" s="1"/>
      <c r="J36" s="1"/>
      <c r="K36" s="1"/>
      <c r="L36" s="1"/>
      <c r="M36" s="1"/>
      <c r="N36" s="1"/>
    </row>
    <row r="37">
      <c r="A37" s="1" t="s">
        <v>389</v>
      </c>
      <c r="B37" s="1"/>
      <c r="C37" s="2"/>
      <c r="D37" s="2"/>
      <c r="E37" s="2"/>
      <c r="F37" s="2"/>
      <c r="G37" s="2"/>
      <c r="H37" s="9"/>
      <c r="I37" s="1"/>
      <c r="J37" s="1"/>
      <c r="K37" s="1"/>
      <c r="L37" s="1"/>
      <c r="M37" s="1"/>
      <c r="N37" s="1"/>
    </row>
    <row r="38">
      <c r="A38" s="1" t="s">
        <v>390</v>
      </c>
      <c r="B38" s="45">
        <v>3.91</v>
      </c>
      <c r="C38" s="2"/>
      <c r="D38" s="2"/>
      <c r="E38" s="2"/>
      <c r="F38" s="2"/>
      <c r="G38" s="2"/>
      <c r="H38" s="9"/>
      <c r="I38" s="1"/>
      <c r="J38" s="1"/>
      <c r="K38" s="1"/>
      <c r="L38" s="1"/>
      <c r="M38" s="1"/>
      <c r="N38" s="1"/>
    </row>
    <row r="39">
      <c r="A39" s="1" t="s">
        <v>391</v>
      </c>
      <c r="B39" s="45">
        <v>3.93</v>
      </c>
      <c r="C39" s="2"/>
      <c r="D39" s="2"/>
      <c r="E39" s="2"/>
      <c r="F39" s="2"/>
      <c r="G39" s="2"/>
      <c r="H39" s="9"/>
      <c r="I39" s="1"/>
      <c r="J39" s="1"/>
      <c r="K39" s="1"/>
      <c r="L39" s="1"/>
      <c r="M39" s="1"/>
      <c r="N39" s="1"/>
    </row>
    <row r="40">
      <c r="A40" s="1" t="s">
        <v>392</v>
      </c>
      <c r="B40" s="45">
        <v>4.29</v>
      </c>
      <c r="C40" s="2"/>
      <c r="D40" s="2"/>
      <c r="E40" s="2"/>
      <c r="F40" s="2"/>
      <c r="G40" s="2"/>
      <c r="H40" s="9"/>
      <c r="I40" s="1"/>
      <c r="J40" s="1"/>
      <c r="K40" s="1"/>
      <c r="L40" s="1"/>
      <c r="M40" s="1"/>
      <c r="N40" s="1"/>
    </row>
    <row r="41">
      <c r="A41" s="1" t="s">
        <v>393</v>
      </c>
      <c r="B41" s="45">
        <v>3.62</v>
      </c>
      <c r="C41" s="2"/>
      <c r="D41" s="2"/>
      <c r="E41" s="2"/>
      <c r="F41" s="2"/>
      <c r="G41" s="2"/>
      <c r="H41" s="9"/>
      <c r="I41" s="1"/>
      <c r="J41" s="1"/>
      <c r="K41" s="1"/>
      <c r="L41" s="1"/>
      <c r="M41" s="1"/>
      <c r="N41" s="1"/>
    </row>
    <row r="42">
      <c r="A42" s="1" t="s">
        <v>394</v>
      </c>
      <c r="B42" s="45">
        <v>0.2</v>
      </c>
      <c r="C42" s="2"/>
      <c r="D42" s="2"/>
      <c r="E42" s="2"/>
      <c r="F42" s="2"/>
      <c r="G42" s="2"/>
      <c r="H42" s="9"/>
      <c r="I42" s="1"/>
      <c r="J42" s="1"/>
      <c r="K42" s="1"/>
      <c r="L42" s="1"/>
      <c r="M42" s="1"/>
      <c r="N42" s="1"/>
    </row>
    <row r="43">
      <c r="A43" s="1" t="s">
        <v>395</v>
      </c>
      <c r="B43" s="45">
        <v>9</v>
      </c>
      <c r="C43" s="2"/>
      <c r="D43" s="2"/>
      <c r="E43" s="2"/>
      <c r="F43" s="2"/>
      <c r="G43" s="2"/>
      <c r="H43" s="9"/>
      <c r="I43" s="1"/>
      <c r="J43" s="1"/>
      <c r="K43" s="1"/>
      <c r="L43" s="1"/>
      <c r="M43" s="1"/>
      <c r="N43" s="1"/>
    </row>
    <row r="44">
      <c r="A44" s="1" t="s">
        <v>396</v>
      </c>
      <c r="B44" s="1"/>
      <c r="C44" s="2"/>
      <c r="D44" s="2"/>
      <c r="E44" s="2"/>
      <c r="F44" s="2"/>
      <c r="G44" s="2"/>
      <c r="H44" s="9"/>
      <c r="I44" s="1"/>
      <c r="J44" s="1"/>
      <c r="K44" s="1"/>
      <c r="L44" s="1"/>
      <c r="M44" s="1"/>
      <c r="N44" s="1"/>
    </row>
    <row r="45">
      <c r="A45" s="1" t="s">
        <v>397</v>
      </c>
      <c r="B45" s="1"/>
      <c r="C45" s="2"/>
      <c r="D45" s="2"/>
      <c r="E45" s="2"/>
      <c r="F45" s="2"/>
      <c r="G45" s="2"/>
      <c r="H45" s="9"/>
      <c r="I45" s="1"/>
      <c r="J45" s="1"/>
      <c r="K45" s="1"/>
      <c r="L45" s="1"/>
      <c r="M45" s="1"/>
      <c r="N45" s="1"/>
    </row>
    <row r="46">
      <c r="A46" s="1" t="s">
        <v>398</v>
      </c>
      <c r="B46" s="45">
        <v>629.85</v>
      </c>
      <c r="C46" s="2"/>
      <c r="D46" s="2"/>
      <c r="E46" s="2"/>
      <c r="F46" s="2"/>
      <c r="G46" s="2"/>
      <c r="H46" s="9"/>
      <c r="I46" s="1"/>
      <c r="J46" s="1"/>
      <c r="K46" s="1"/>
      <c r="L46" s="1"/>
      <c r="M46" s="1"/>
      <c r="N46" s="1"/>
    </row>
    <row r="47">
      <c r="A47" s="1" t="s">
        <v>399</v>
      </c>
      <c r="B47" s="45">
        <v>629.2</v>
      </c>
      <c r="C47" s="2"/>
      <c r="D47" s="2"/>
      <c r="E47" s="2"/>
      <c r="F47" s="2"/>
      <c r="G47" s="2"/>
      <c r="H47" s="9"/>
      <c r="I47" s="1"/>
      <c r="J47" s="1"/>
      <c r="K47" s="1"/>
      <c r="L47" s="1"/>
      <c r="M47" s="1"/>
      <c r="N47" s="1"/>
    </row>
    <row r="48">
      <c r="A48" s="1" t="s">
        <v>400</v>
      </c>
      <c r="B48" s="45">
        <v>634.7</v>
      </c>
      <c r="C48" s="2"/>
      <c r="D48" s="2"/>
      <c r="E48" s="2"/>
      <c r="F48" s="2"/>
      <c r="G48" s="2"/>
      <c r="H48" s="9"/>
      <c r="I48" s="1"/>
      <c r="J48" s="1"/>
      <c r="K48" s="1"/>
      <c r="L48" s="1"/>
      <c r="M48" s="1"/>
      <c r="N48" s="1"/>
    </row>
    <row r="49">
      <c r="A49" s="1" t="s">
        <v>401</v>
      </c>
      <c r="B49" s="45">
        <v>625.8</v>
      </c>
      <c r="C49" s="2"/>
      <c r="D49" s="2"/>
      <c r="E49" s="2"/>
      <c r="F49" s="2"/>
      <c r="G49" s="2"/>
      <c r="H49" s="9"/>
      <c r="I49" s="1"/>
      <c r="J49" s="1"/>
      <c r="K49" s="1"/>
      <c r="L49" s="1"/>
      <c r="M49" s="1"/>
      <c r="N49" s="1"/>
    </row>
    <row r="50">
      <c r="A50" s="1" t="s">
        <v>402</v>
      </c>
      <c r="B50" s="45">
        <v>2.58</v>
      </c>
      <c r="C50" s="2"/>
      <c r="D50" s="2"/>
      <c r="E50" s="2"/>
      <c r="F50" s="2"/>
      <c r="G50" s="2"/>
      <c r="H50" s="9"/>
      <c r="I50" s="1"/>
      <c r="J50" s="1"/>
      <c r="K50" s="1"/>
      <c r="L50" s="1"/>
      <c r="M50" s="1"/>
      <c r="N50" s="1"/>
    </row>
    <row r="51">
      <c r="A51" s="1" t="s">
        <v>403</v>
      </c>
      <c r="B51" s="45">
        <v>15</v>
      </c>
      <c r="C51" s="2"/>
      <c r="D51" s="2"/>
      <c r="E51" s="2"/>
      <c r="F51" s="2"/>
      <c r="G51" s="2"/>
      <c r="H51" s="9"/>
      <c r="I51" s="1"/>
      <c r="J51" s="1"/>
      <c r="K51" s="1"/>
      <c r="L51" s="1"/>
      <c r="M51" s="1"/>
      <c r="N51" s="1"/>
    </row>
    <row r="52">
      <c r="A52" s="1" t="s">
        <v>404</v>
      </c>
      <c r="B52" s="1"/>
      <c r="C52" s="2"/>
      <c r="D52" s="2"/>
      <c r="E52" s="2"/>
      <c r="F52" s="2"/>
      <c r="G52" s="2"/>
      <c r="H52" s="9"/>
      <c r="I52" s="1"/>
      <c r="J52" s="1"/>
      <c r="K52" s="1"/>
      <c r="L52" s="1"/>
      <c r="M52" s="1"/>
      <c r="N52" s="1"/>
    </row>
    <row r="53">
      <c r="A53" s="1" t="s">
        <v>405</v>
      </c>
      <c r="B53" s="1"/>
      <c r="C53" s="2"/>
      <c r="D53" s="2"/>
      <c r="E53" s="2"/>
      <c r="F53" s="2"/>
      <c r="G53" s="2"/>
      <c r="H53" s="9"/>
      <c r="I53" s="1"/>
      <c r="J53" s="1"/>
      <c r="K53" s="1"/>
      <c r="L53" s="1"/>
      <c r="M53" s="1"/>
      <c r="N53" s="1"/>
    </row>
    <row r="54">
      <c r="A54" s="1" t="s">
        <v>406</v>
      </c>
      <c r="B54" s="45">
        <v>233.17</v>
      </c>
      <c r="C54" s="2"/>
      <c r="D54" s="2"/>
      <c r="E54" s="2"/>
      <c r="F54" s="2"/>
      <c r="G54" s="2"/>
      <c r="H54" s="9"/>
      <c r="I54" s="1"/>
      <c r="J54" s="1"/>
      <c r="K54" s="1"/>
      <c r="L54" s="1"/>
      <c r="M54" s="1"/>
      <c r="N54" s="1"/>
    </row>
    <row r="55">
      <c r="A55" s="1" t="s">
        <v>407</v>
      </c>
      <c r="B55" s="45">
        <v>207.29</v>
      </c>
      <c r="C55" s="2"/>
      <c r="D55" s="2"/>
      <c r="E55" s="2"/>
      <c r="F55" s="2"/>
      <c r="G55" s="2"/>
      <c r="H55" s="9"/>
      <c r="I55" s="1"/>
      <c r="J55" s="1"/>
      <c r="K55" s="1"/>
      <c r="L55" s="1"/>
      <c r="M55" s="1"/>
      <c r="N55" s="1"/>
    </row>
    <row r="56">
      <c r="A56" s="1" t="s">
        <v>408</v>
      </c>
      <c r="B56" s="45">
        <v>154.84</v>
      </c>
      <c r="C56" s="2"/>
      <c r="D56" s="2"/>
      <c r="E56" s="2"/>
      <c r="F56" s="2"/>
      <c r="G56" s="2"/>
      <c r="H56" s="9"/>
      <c r="I56" s="1"/>
      <c r="J56" s="1"/>
      <c r="K56" s="1"/>
      <c r="L56" s="1"/>
      <c r="M56" s="1"/>
      <c r="N56" s="1"/>
    </row>
    <row r="57">
      <c r="A57" s="1" t="s">
        <v>409</v>
      </c>
      <c r="B57" s="45">
        <v>138.98</v>
      </c>
      <c r="C57" s="2"/>
      <c r="D57" s="2"/>
      <c r="E57" s="2"/>
      <c r="F57" s="2"/>
      <c r="G57" s="2"/>
      <c r="H57" s="9"/>
      <c r="I57" s="1"/>
      <c r="J57" s="1"/>
      <c r="K57" s="1"/>
      <c r="L57" s="1"/>
      <c r="M57" s="1"/>
      <c r="N57" s="1"/>
    </row>
    <row r="58">
      <c r="A58" s="1" t="s">
        <v>410</v>
      </c>
      <c r="B58" s="45">
        <v>51.08</v>
      </c>
      <c r="C58" s="2"/>
      <c r="D58" s="2"/>
      <c r="E58" s="2"/>
      <c r="F58" s="2"/>
      <c r="G58" s="2"/>
      <c r="H58" s="9"/>
      <c r="I58" s="1"/>
      <c r="J58" s="1"/>
      <c r="K58" s="1"/>
      <c r="L58" s="1"/>
      <c r="M58" s="1"/>
      <c r="N58" s="1"/>
    </row>
    <row r="59">
      <c r="A59" s="1" t="s">
        <v>411</v>
      </c>
      <c r="B59" s="45">
        <v>18.54</v>
      </c>
      <c r="C59" s="2"/>
      <c r="D59" s="2"/>
      <c r="E59" s="2"/>
      <c r="F59" s="2"/>
      <c r="G59" s="2"/>
      <c r="H59" s="9"/>
      <c r="I59" s="1"/>
      <c r="J59" s="1"/>
      <c r="K59" s="1"/>
      <c r="L59" s="1"/>
      <c r="M59" s="1"/>
      <c r="N59" s="1"/>
    </row>
    <row r="60">
      <c r="A60" s="1" t="s">
        <v>412</v>
      </c>
      <c r="B60" s="45">
        <v>-28.83</v>
      </c>
      <c r="C60" s="2"/>
      <c r="D60" s="2"/>
      <c r="E60" s="2"/>
      <c r="F60" s="2"/>
      <c r="G60" s="2"/>
      <c r="H60" s="9"/>
      <c r="I60" s="1"/>
      <c r="J60" s="1"/>
      <c r="K60" s="1"/>
      <c r="L60" s="1"/>
      <c r="M60" s="1"/>
      <c r="N60" s="1"/>
    </row>
    <row r="61">
      <c r="A61" s="1" t="s">
        <v>413</v>
      </c>
      <c r="B61" s="45">
        <v>155.31</v>
      </c>
      <c r="C61" s="2"/>
      <c r="D61" s="2"/>
      <c r="E61" s="2"/>
      <c r="F61" s="2"/>
      <c r="G61" s="2"/>
      <c r="H61" s="9"/>
      <c r="I61" s="1"/>
      <c r="J61" s="1"/>
      <c r="K61" s="1"/>
      <c r="L61" s="1"/>
      <c r="M61" s="1"/>
      <c r="N61" s="1"/>
    </row>
    <row r="62">
      <c r="A62" s="1" t="s">
        <v>414</v>
      </c>
      <c r="B62" s="45">
        <v>207.54</v>
      </c>
      <c r="C62" s="2"/>
      <c r="D62" s="2"/>
      <c r="E62" s="2"/>
      <c r="F62" s="2"/>
      <c r="G62" s="2"/>
      <c r="H62" s="9"/>
      <c r="I62" s="1"/>
      <c r="J62" s="1"/>
      <c r="K62" s="1"/>
      <c r="L62" s="1"/>
      <c r="M62" s="1"/>
      <c r="N62" s="1"/>
    </row>
    <row r="63">
      <c r="A63" s="1" t="s">
        <v>415</v>
      </c>
      <c r="B63" s="45">
        <v>42</v>
      </c>
      <c r="C63" s="2"/>
      <c r="D63" s="2"/>
      <c r="E63" s="2"/>
      <c r="F63" s="2"/>
      <c r="G63" s="2"/>
      <c r="H63" s="9"/>
      <c r="I63" s="1"/>
      <c r="J63" s="1"/>
      <c r="K63" s="1"/>
      <c r="L63" s="1"/>
      <c r="M63" s="1"/>
      <c r="N63" s="1"/>
    </row>
    <row r="64">
      <c r="A64" s="1" t="s">
        <v>416</v>
      </c>
      <c r="B64" s="45">
        <v>270</v>
      </c>
      <c r="C64" s="2"/>
      <c r="D64" s="2"/>
      <c r="E64" s="2"/>
      <c r="F64" s="2"/>
      <c r="G64" s="2"/>
      <c r="H64" s="9"/>
      <c r="I64" s="1"/>
      <c r="J64" s="1"/>
      <c r="K64" s="1"/>
      <c r="L64" s="1"/>
      <c r="M64" s="1"/>
      <c r="N64" s="1"/>
    </row>
    <row r="65">
      <c r="A65" s="1" t="s">
        <v>417</v>
      </c>
      <c r="B65" s="45">
        <v>278.5</v>
      </c>
      <c r="C65" s="2"/>
      <c r="D65" s="2"/>
      <c r="E65" s="2"/>
      <c r="F65" s="2"/>
      <c r="G65" s="2"/>
      <c r="H65" s="9"/>
      <c r="I65" s="1"/>
      <c r="J65" s="1"/>
      <c r="K65" s="1"/>
      <c r="L65" s="1"/>
      <c r="M65" s="1"/>
      <c r="N65" s="1"/>
    </row>
    <row r="66">
      <c r="A66" s="1" t="s">
        <v>418</v>
      </c>
      <c r="B66" s="40">
        <v>340</v>
      </c>
      <c r="C66" s="2"/>
      <c r="D66" s="2"/>
      <c r="E66" s="2"/>
      <c r="F66" s="2"/>
      <c r="G66" s="2"/>
      <c r="H66" s="9"/>
      <c r="I66" s="1"/>
      <c r="J66" s="1"/>
      <c r="K66" s="1"/>
      <c r="L66" s="1"/>
      <c r="M66" s="1"/>
      <c r="N66" s="1"/>
    </row>
    <row r="67">
      <c r="A67" s="1" t="s">
        <v>419</v>
      </c>
      <c r="B67" s="40">
        <v>210</v>
      </c>
      <c r="C67" s="2"/>
      <c r="D67" s="2"/>
      <c r="E67" s="2"/>
      <c r="F67" s="2"/>
      <c r="G67" s="2"/>
      <c r="H67" s="9"/>
      <c r="I67" s="1"/>
      <c r="J67" s="1"/>
      <c r="K67" s="1"/>
      <c r="L67" s="1"/>
      <c r="M67" s="1"/>
      <c r="N67" s="1"/>
    </row>
    <row r="68">
      <c r="A68" s="1" t="s">
        <v>420</v>
      </c>
      <c r="B68" s="45">
        <v>36.04</v>
      </c>
      <c r="C68" s="2"/>
      <c r="D68" s="2"/>
      <c r="E68" s="2"/>
      <c r="F68" s="2"/>
      <c r="G68" s="2"/>
      <c r="H68" s="9"/>
      <c r="I68" s="1"/>
      <c r="J68" s="1"/>
      <c r="K68" s="1"/>
      <c r="L68" s="1"/>
      <c r="M68" s="1"/>
      <c r="N68" s="1"/>
    </row>
    <row r="69">
      <c r="A69" s="1" t="s">
        <v>421</v>
      </c>
      <c r="B69" s="45">
        <v>16</v>
      </c>
      <c r="C69" s="2"/>
      <c r="D69" s="2"/>
      <c r="E69" s="2"/>
      <c r="F69" s="2"/>
      <c r="G69" s="2"/>
      <c r="H69" s="9"/>
      <c r="I69" s="1"/>
      <c r="J69" s="1"/>
      <c r="K69" s="1"/>
      <c r="L69" s="1"/>
      <c r="M69" s="1"/>
      <c r="N69" s="1"/>
    </row>
    <row r="70">
      <c r="A70" s="1" t="s">
        <v>422</v>
      </c>
      <c r="B70" s="1" t="s">
        <v>423</v>
      </c>
      <c r="C70" s="2"/>
      <c r="D70" s="2"/>
      <c r="E70" s="2"/>
      <c r="F70" s="2"/>
      <c r="G70" s="2"/>
      <c r="H70" s="9"/>
      <c r="I70" s="1"/>
      <c r="J70" s="1"/>
      <c r="K70" s="1"/>
      <c r="L70" s="1"/>
      <c r="M70" s="1"/>
      <c r="N70" s="1"/>
    </row>
    <row r="71">
      <c r="A71" s="1" t="s">
        <v>424</v>
      </c>
      <c r="B71" s="45">
        <v>3.22</v>
      </c>
      <c r="C71" s="2"/>
      <c r="D71" s="2"/>
      <c r="E71" s="2"/>
      <c r="F71" s="2"/>
      <c r="G71" s="2"/>
      <c r="H71" s="9"/>
      <c r="I71" s="1"/>
      <c r="J71" s="1"/>
      <c r="K71" s="1"/>
      <c r="L71" s="1"/>
      <c r="M71" s="1"/>
      <c r="N71" s="1"/>
    </row>
    <row r="72">
      <c r="A72" s="1" t="s">
        <v>425</v>
      </c>
      <c r="B72" s="45">
        <v>271.25</v>
      </c>
      <c r="C72" s="2"/>
      <c r="D72" s="2"/>
      <c r="E72" s="2"/>
      <c r="F72" s="2"/>
      <c r="G72" s="2"/>
      <c r="H72" s="9"/>
      <c r="I72" s="1"/>
      <c r="J72" s="1"/>
      <c r="K72" s="1"/>
      <c r="L72" s="1"/>
      <c r="M72" s="1"/>
      <c r="N72" s="1"/>
    </row>
    <row r="73">
      <c r="A73" s="1" t="s">
        <v>426</v>
      </c>
      <c r="B73" s="1" t="s">
        <v>427</v>
      </c>
      <c r="C73" s="2"/>
      <c r="D73" s="2"/>
      <c r="E73" s="2"/>
      <c r="F73" s="2"/>
      <c r="G73" s="2"/>
      <c r="H73" s="9"/>
      <c r="I73" s="1"/>
      <c r="J73" s="1"/>
      <c r="K73" s="1"/>
      <c r="L73" s="1"/>
      <c r="M73" s="1"/>
      <c r="N73" s="1"/>
    </row>
    <row r="74">
      <c r="A74" s="1"/>
      <c r="B74" s="1"/>
      <c r="C74" s="2"/>
      <c r="D74" s="2"/>
      <c r="E74" s="2"/>
      <c r="F74" s="2"/>
      <c r="G74" s="2"/>
      <c r="H74" s="9"/>
      <c r="I74" s="1"/>
      <c r="J74" s="1"/>
      <c r="K74" s="1"/>
      <c r="L74" s="1"/>
      <c r="M74" s="1"/>
      <c r="N74" s="1"/>
    </row>
    <row r="75">
      <c r="A75" s="1"/>
      <c r="B75" s="1"/>
      <c r="C75" s="2"/>
      <c r="D75" s="2"/>
      <c r="E75" s="2"/>
      <c r="F75" s="2"/>
      <c r="G75" s="2"/>
      <c r="H75" s="9"/>
      <c r="I75" s="1"/>
      <c r="J75" s="1"/>
      <c r="K75" s="1"/>
      <c r="L75" s="1"/>
      <c r="M75" s="1"/>
      <c r="N75" s="1"/>
    </row>
    <row r="76">
      <c r="A76" s="1"/>
      <c r="B76" s="1"/>
      <c r="C76" s="2"/>
      <c r="D76" s="2"/>
      <c r="E76" s="2"/>
      <c r="F76" s="2"/>
      <c r="G76" s="2"/>
      <c r="H76" s="9"/>
      <c r="I76" s="1"/>
      <c r="J76" s="1"/>
      <c r="K76" s="1"/>
      <c r="L76" s="1"/>
      <c r="M76" s="1"/>
      <c r="N76" s="1"/>
    </row>
    <row r="77">
      <c r="A77" s="1"/>
      <c r="B77" s="1"/>
      <c r="C77" s="2"/>
      <c r="D77" s="2"/>
      <c r="E77" s="2"/>
      <c r="F77" s="2"/>
      <c r="G77" s="2"/>
      <c r="H77" s="9"/>
      <c r="I77" s="1"/>
      <c r="J77" s="1"/>
      <c r="K77" s="1"/>
      <c r="L77" s="1"/>
      <c r="M77" s="1"/>
      <c r="N77" s="1"/>
    </row>
    <row r="78">
      <c r="A78" s="1"/>
      <c r="B78" s="1"/>
      <c r="C78" s="2"/>
      <c r="D78" s="2"/>
      <c r="E78" s="2"/>
      <c r="F78" s="2"/>
      <c r="G78" s="2"/>
      <c r="H78" s="9"/>
      <c r="I78" s="1"/>
      <c r="J78" s="1"/>
      <c r="K78" s="1"/>
      <c r="L78" s="1"/>
      <c r="M78" s="1"/>
      <c r="N78" s="1"/>
    </row>
    <row r="79">
      <c r="A79" s="1"/>
      <c r="B79" s="1"/>
      <c r="C79" s="2"/>
      <c r="D79" s="2"/>
      <c r="E79" s="2"/>
      <c r="F79" s="2"/>
      <c r="G79" s="2"/>
      <c r="H79" s="9"/>
      <c r="I79" s="1"/>
      <c r="J79" s="1"/>
      <c r="K79" s="1"/>
      <c r="L79" s="1"/>
      <c r="M79" s="1"/>
      <c r="N79" s="1"/>
    </row>
    <row r="80">
      <c r="A80" s="1"/>
      <c r="B80" s="1"/>
      <c r="C80" s="2"/>
      <c r="D80" s="2"/>
      <c r="E80" s="2"/>
      <c r="F80" s="2"/>
      <c r="G80" s="2"/>
      <c r="H80" s="9"/>
      <c r="I80" s="1"/>
      <c r="J80" s="1"/>
      <c r="K80" s="1"/>
      <c r="L80" s="1"/>
      <c r="M80" s="1"/>
      <c r="N80" s="1"/>
    </row>
    <row r="81">
      <c r="A81" s="1"/>
      <c r="B81" s="1"/>
      <c r="C81" s="2"/>
      <c r="D81" s="2"/>
      <c r="E81" s="2"/>
      <c r="F81" s="2"/>
      <c r="G81" s="2"/>
      <c r="H81" s="9"/>
      <c r="I81" s="1"/>
      <c r="J81" s="1"/>
      <c r="K81" s="1"/>
      <c r="L81" s="1"/>
      <c r="M81" s="1"/>
      <c r="N81" s="1"/>
    </row>
    <row r="82">
      <c r="A82" s="1"/>
      <c r="B82" s="1"/>
      <c r="C82" s="2"/>
      <c r="D82" s="2"/>
      <c r="E82" s="2"/>
      <c r="F82" s="2"/>
      <c r="G82" s="2" t="s">
        <v>428</v>
      </c>
      <c r="H82" s="9" t="s">
        <v>429</v>
      </c>
      <c r="I82" s="1"/>
      <c r="J82" s="1"/>
      <c r="K82" s="1"/>
      <c r="L82" s="1"/>
      <c r="M82" s="1"/>
      <c r="N82" s="1"/>
    </row>
    <row r="83">
      <c r="A83" s="1"/>
      <c r="B83" s="1"/>
      <c r="C83" s="2"/>
      <c r="D83" s="2"/>
      <c r="E83" s="2"/>
      <c r="F83" s="2"/>
      <c r="G83" s="2" t="s">
        <v>430</v>
      </c>
      <c r="H83" s="9">
        <v>0.34</v>
      </c>
      <c r="I83" s="1"/>
      <c r="J83" s="1"/>
      <c r="K83" s="1"/>
      <c r="L83" s="1"/>
      <c r="M83" s="1"/>
      <c r="N83" s="1"/>
    </row>
    <row r="84">
      <c r="A84" s="1"/>
      <c r="B84" s="1"/>
      <c r="C84" s="2"/>
      <c r="D84" s="2"/>
      <c r="E84" s="2"/>
      <c r="F84" s="2"/>
      <c r="G84" s="2" t="s">
        <v>431</v>
      </c>
      <c r="H84" s="18">
        <v>4</v>
      </c>
      <c r="I84" s="1"/>
      <c r="J84" s="1"/>
      <c r="K84" s="1"/>
      <c r="L84" s="1"/>
      <c r="M84" s="1"/>
      <c r="N84" s="1"/>
    </row>
    <row r="85">
      <c r="A85" s="1"/>
      <c r="B85" s="1"/>
      <c r="C85" s="2"/>
      <c r="D85" s="2"/>
      <c r="E85" s="2"/>
      <c r="F85" s="2"/>
      <c r="G85" s="2" t="s">
        <v>432</v>
      </c>
      <c r="H85" s="18">
        <v>10000</v>
      </c>
      <c r="I85" s="1"/>
      <c r="J85" s="1"/>
      <c r="K85" s="1"/>
      <c r="L85" s="1"/>
      <c r="M85" s="1"/>
      <c r="N85" s="1"/>
    </row>
    <row r="86">
      <c r="A86" s="1"/>
      <c r="B86" s="1"/>
      <c r="C86" s="2"/>
      <c r="D86" s="2"/>
      <c r="E86" s="2"/>
      <c r="F86" s="2"/>
      <c r="G86" s="2"/>
      <c r="H86" s="18">
        <v>0.000001</v>
      </c>
      <c r="I86" s="1"/>
      <c r="J86" s="1"/>
      <c r="K86" s="1"/>
      <c r="L86" s="1"/>
      <c r="M86" s="1"/>
      <c r="N86" s="1"/>
    </row>
    <row r="87">
      <c r="A87" s="1"/>
      <c r="B87" s="1"/>
      <c r="C87" s="2"/>
      <c r="D87" s="2"/>
      <c r="E87" s="2"/>
      <c r="F87" s="2"/>
      <c r="G87" s="2"/>
      <c r="H87" s="9"/>
      <c r="I87" s="1"/>
      <c r="J87" s="1"/>
      <c r="K87" s="1"/>
      <c r="L87" s="1"/>
      <c r="M87" s="1"/>
      <c r="N87" s="1"/>
    </row>
    <row r="88">
      <c r="A88" s="1"/>
      <c r="B88" s="1"/>
      <c r="C88" s="2"/>
      <c r="D88" s="2"/>
      <c r="E88" s="2"/>
      <c r="F88" s="2"/>
      <c r="G88" s="2"/>
      <c r="H88" s="9"/>
      <c r="I88" s="1"/>
      <c r="J88" s="1"/>
      <c r="K88" s="1"/>
      <c r="L88" s="1"/>
      <c r="M88" s="1"/>
      <c r="N88" s="1"/>
    </row>
    <row r="89">
      <c r="A89" s="1"/>
      <c r="B89" s="1"/>
      <c r="C89" s="2"/>
      <c r="D89" s="2"/>
      <c r="E89" s="2"/>
      <c r="F89" s="2"/>
      <c r="G89" s="2"/>
      <c r="H89" s="9"/>
      <c r="I89" s="1"/>
      <c r="J89" s="1" t="s">
        <v>433</v>
      </c>
      <c r="K89" s="1" t="s">
        <v>434</v>
      </c>
      <c r="L89" s="1" t="s">
        <v>435</v>
      </c>
      <c r="M89" s="1" t="s">
        <v>436</v>
      </c>
      <c r="N89" s="1" t="s">
        <v>437</v>
      </c>
    </row>
    <row r="90">
      <c r="A90" s="1"/>
      <c r="B90" s="1" t="s">
        <v>438</v>
      </c>
      <c r="C90" s="27">
        <v>130.596</v>
      </c>
      <c r="D90" s="27">
        <v>130.596</v>
      </c>
      <c r="E90" s="27">
        <v>59.627</v>
      </c>
      <c r="F90" s="27">
        <v>88.479</v>
      </c>
      <c r="G90" s="27">
        <v>137.431</v>
      </c>
      <c r="H90" s="9"/>
      <c r="I90" s="1"/>
      <c r="J90" s="1" t="s">
        <v>439</v>
      </c>
      <c r="K90" s="1" t="s">
        <v>439</v>
      </c>
      <c r="L90" s="1" t="s">
        <v>440</v>
      </c>
      <c r="M90" s="1" t="s">
        <v>441</v>
      </c>
      <c r="N90" s="1" t="s">
        <v>442</v>
      </c>
    </row>
    <row r="91">
      <c r="A91" s="1"/>
      <c r="B91" s="1" t="s">
        <v>443</v>
      </c>
      <c r="C91" s="27">
        <v>13.15</v>
      </c>
      <c r="D91" s="27">
        <v>2.55</v>
      </c>
      <c r="E91" s="27">
        <v>2.14</v>
      </c>
      <c r="F91" s="27">
        <v>1.611</v>
      </c>
      <c r="G91" s="27">
        <v>1.355</v>
      </c>
      <c r="H91" s="9"/>
      <c r="I91" s="1"/>
      <c r="J91" s="1"/>
      <c r="K91" s="1"/>
      <c r="L91" s="1" t="s">
        <v>444</v>
      </c>
      <c r="M91" s="1" t="s">
        <v>445</v>
      </c>
      <c r="N91" s="1" t="s">
        <v>446</v>
      </c>
    </row>
    <row r="92">
      <c r="A92" s="1"/>
      <c r="B92" s="1" t="s">
        <v>447</v>
      </c>
      <c r="C92" s="27">
        <v>54.074</v>
      </c>
      <c r="D92" s="27">
        <v>16.301</v>
      </c>
      <c r="E92" s="27">
        <v>15.404</v>
      </c>
      <c r="F92" s="27">
        <v>15.121</v>
      </c>
      <c r="G92" s="27">
        <v>14.534</v>
      </c>
      <c r="H92" s="9"/>
      <c r="I92" s="1"/>
      <c r="J92" s="1" t="s">
        <v>448</v>
      </c>
      <c r="K92" s="1" t="s">
        <v>448</v>
      </c>
      <c r="L92" s="1" t="s">
        <v>449</v>
      </c>
      <c r="M92" s="1" t="s">
        <v>450</v>
      </c>
      <c r="N92" s="1" t="s">
        <v>451</v>
      </c>
    </row>
    <row r="93">
      <c r="A93" s="1"/>
      <c r="B93" s="1" t="s">
        <v>452</v>
      </c>
      <c r="C93" s="27">
        <v>0</v>
      </c>
      <c r="D93" s="27">
        <v>0</v>
      </c>
      <c r="E93" s="2"/>
      <c r="F93" s="27">
        <v>0.699</v>
      </c>
      <c r="G93" s="27">
        <v>0</v>
      </c>
      <c r="H93" s="9"/>
      <c r="I93" s="1"/>
      <c r="J93" s="1" t="s">
        <v>453</v>
      </c>
      <c r="K93" s="1" t="s">
        <v>453</v>
      </c>
      <c r="L93" s="1"/>
      <c r="M93" s="1" t="s">
        <v>454</v>
      </c>
      <c r="N93" s="1" t="s">
        <v>455</v>
      </c>
    </row>
    <row r="94">
      <c r="A94" s="1"/>
      <c r="B94" s="1" t="s">
        <v>456</v>
      </c>
      <c r="C94" s="2"/>
      <c r="D94" s="2"/>
      <c r="E94" s="2"/>
      <c r="F94" s="2"/>
      <c r="G94" s="27">
        <v>0.574</v>
      </c>
      <c r="H94" s="9"/>
      <c r="I94" s="1"/>
      <c r="J94" s="1"/>
      <c r="K94" s="1"/>
      <c r="L94" s="1"/>
      <c r="M94" s="1"/>
      <c r="N94" s="1" t="s">
        <v>457</v>
      </c>
    </row>
    <row r="95">
      <c r="A95" s="1"/>
      <c r="B95" s="1" t="s">
        <v>458</v>
      </c>
      <c r="C95" s="2"/>
      <c r="D95" s="2"/>
      <c r="E95" s="27">
        <v>5.376</v>
      </c>
      <c r="F95" s="27">
        <v>3.109</v>
      </c>
      <c r="G95" s="27">
        <v>3.309</v>
      </c>
      <c r="H95" s="9"/>
      <c r="I95" s="1"/>
      <c r="J95" s="1"/>
      <c r="K95" s="1"/>
      <c r="L95" s="1" t="s">
        <v>459</v>
      </c>
      <c r="M95" s="1" t="s">
        <v>460</v>
      </c>
      <c r="N95" s="1" t="s">
        <v>461</v>
      </c>
    </row>
    <row r="96">
      <c r="A96" s="1"/>
      <c r="B96" s="1" t="s">
        <v>462</v>
      </c>
      <c r="C96" s="27">
        <v>-17.205</v>
      </c>
      <c r="D96" s="27">
        <v>-19.795</v>
      </c>
      <c r="E96" s="2"/>
      <c r="F96" s="2"/>
      <c r="G96" s="2"/>
      <c r="H96" s="9"/>
      <c r="I96" s="1"/>
      <c r="J96" s="1" t="s">
        <v>463</v>
      </c>
      <c r="K96" s="1" t="s">
        <v>463</v>
      </c>
      <c r="L96" s="1"/>
      <c r="M96" s="1"/>
      <c r="N96" s="1"/>
    </row>
    <row r="97">
      <c r="A97" s="1"/>
      <c r="B97" s="1" t="s">
        <v>464</v>
      </c>
      <c r="C97" s="27">
        <v>1.24</v>
      </c>
      <c r="D97" s="27">
        <v>1.427</v>
      </c>
      <c r="E97" s="2"/>
      <c r="F97" s="2"/>
      <c r="G97" s="2"/>
      <c r="H97" s="9"/>
      <c r="I97" s="1"/>
      <c r="J97" s="1" t="s">
        <v>465</v>
      </c>
      <c r="K97" s="1" t="s">
        <v>465</v>
      </c>
      <c r="L97" s="1"/>
      <c r="M97" s="1"/>
      <c r="N97" s="1"/>
    </row>
    <row r="98">
      <c r="A98" s="1"/>
      <c r="B98" s="1" t="s">
        <v>466</v>
      </c>
      <c r="C98" s="2"/>
      <c r="D98" s="2"/>
      <c r="E98" s="2"/>
      <c r="F98" s="27">
        <v>10.249</v>
      </c>
      <c r="G98" s="27">
        <v>2.297</v>
      </c>
      <c r="H98" s="9"/>
      <c r="I98" s="1"/>
      <c r="J98" s="1"/>
      <c r="K98" s="1"/>
      <c r="L98" s="1"/>
      <c r="M98" s="1" t="s">
        <v>467</v>
      </c>
      <c r="N98" s="1" t="s">
        <v>468</v>
      </c>
    </row>
    <row r="99">
      <c r="A99" s="1"/>
      <c r="B99" s="1" t="s">
        <v>469</v>
      </c>
      <c r="C99" s="2"/>
      <c r="D99" s="2"/>
      <c r="E99" s="27">
        <v>-5.226</v>
      </c>
      <c r="F99" s="27">
        <v>0</v>
      </c>
      <c r="G99" s="2"/>
      <c r="H99" s="9"/>
      <c r="I99" s="1"/>
      <c r="J99" s="1"/>
      <c r="K99" s="1"/>
      <c r="L99" s="1" t="s">
        <v>470</v>
      </c>
      <c r="M99" s="1" t="s">
        <v>471</v>
      </c>
      <c r="N99" s="1"/>
    </row>
    <row r="100">
      <c r="A100" s="1"/>
      <c r="B100" s="1" t="s">
        <v>472</v>
      </c>
      <c r="C100" s="2"/>
      <c r="D100" s="2"/>
      <c r="E100" s="2"/>
      <c r="F100" s="27">
        <v>2.273</v>
      </c>
      <c r="G100" s="27">
        <v>0</v>
      </c>
      <c r="H100" s="9"/>
      <c r="I100" s="1"/>
      <c r="J100" s="1"/>
      <c r="K100" s="1"/>
      <c r="L100" s="1"/>
      <c r="M100" s="1" t="s">
        <v>473</v>
      </c>
      <c r="N100" s="1" t="s">
        <v>474</v>
      </c>
    </row>
    <row r="101">
      <c r="A101" s="1"/>
      <c r="B101" s="1" t="s">
        <v>475</v>
      </c>
      <c r="C101" s="2"/>
      <c r="D101" s="2"/>
      <c r="E101" s="27">
        <v>-0.301</v>
      </c>
      <c r="F101" s="27">
        <v>-0.13</v>
      </c>
      <c r="G101" s="27">
        <v>-0.048</v>
      </c>
      <c r="H101" s="9"/>
      <c r="I101" s="1"/>
      <c r="J101" s="1"/>
      <c r="K101" s="1"/>
      <c r="L101" s="1" t="s">
        <v>476</v>
      </c>
      <c r="M101" s="1" t="s">
        <v>477</v>
      </c>
      <c r="N101" s="1" t="s">
        <v>478</v>
      </c>
    </row>
    <row r="102">
      <c r="A102" s="1"/>
      <c r="B102" s="1" t="s">
        <v>479</v>
      </c>
      <c r="C102" s="27">
        <v>0.192</v>
      </c>
      <c r="D102" s="27">
        <v>0.491</v>
      </c>
      <c r="E102" s="27">
        <v>-0.402</v>
      </c>
      <c r="F102" s="27">
        <v>0.135</v>
      </c>
      <c r="G102" s="27">
        <v>15.03</v>
      </c>
      <c r="H102" s="9"/>
      <c r="I102" s="1"/>
      <c r="J102" s="1" t="s">
        <v>480</v>
      </c>
      <c r="K102" s="1" t="s">
        <v>480</v>
      </c>
      <c r="L102" s="1" t="s">
        <v>481</v>
      </c>
      <c r="M102" s="1" t="s">
        <v>482</v>
      </c>
      <c r="N102" s="1" t="s">
        <v>483</v>
      </c>
    </row>
    <row r="103">
      <c r="A103" s="1"/>
      <c r="B103" s="1" t="s">
        <v>484</v>
      </c>
      <c r="C103" s="27">
        <v>1.775</v>
      </c>
      <c r="D103" s="27">
        <v>0</v>
      </c>
      <c r="E103" s="27">
        <v>0</v>
      </c>
      <c r="F103" s="27">
        <v>0</v>
      </c>
      <c r="G103" s="27">
        <v>0</v>
      </c>
      <c r="H103" s="9"/>
      <c r="I103" s="1"/>
      <c r="J103" s="1" t="s">
        <v>485</v>
      </c>
      <c r="K103" s="1" t="s">
        <v>485</v>
      </c>
      <c r="L103" s="1" t="s">
        <v>486</v>
      </c>
      <c r="M103" s="1" t="s">
        <v>487</v>
      </c>
      <c r="N103" s="1" t="s">
        <v>488</v>
      </c>
    </row>
    <row r="104">
      <c r="A104" s="1"/>
      <c r="B104" s="1" t="s">
        <v>489</v>
      </c>
      <c r="C104" s="27">
        <v>1.351</v>
      </c>
      <c r="D104" s="27">
        <v>0</v>
      </c>
      <c r="E104" s="27">
        <v>0</v>
      </c>
      <c r="F104" s="27">
        <v>-0.852</v>
      </c>
      <c r="G104" s="27">
        <v>0</v>
      </c>
      <c r="H104" s="9"/>
      <c r="I104" s="1"/>
      <c r="J104" s="1" t="s">
        <v>490</v>
      </c>
      <c r="K104" s="1" t="s">
        <v>490</v>
      </c>
      <c r="L104" s="1" t="s">
        <v>491</v>
      </c>
      <c r="M104" s="1" t="s">
        <v>492</v>
      </c>
      <c r="N104" s="1" t="s">
        <v>493</v>
      </c>
    </row>
    <row r="105">
      <c r="A105" s="1"/>
      <c r="B105" s="1" t="s">
        <v>494</v>
      </c>
      <c r="C105" s="27">
        <v>1506.108</v>
      </c>
      <c r="D105" s="27">
        <v>388.7039999999999</v>
      </c>
      <c r="E105" s="27">
        <v>396.176</v>
      </c>
      <c r="F105" s="27">
        <v>399.683</v>
      </c>
      <c r="G105" s="27">
        <v>407.24</v>
      </c>
      <c r="H105" s="9"/>
      <c r="I105" s="1"/>
      <c r="J105" s="1" t="s">
        <v>495</v>
      </c>
      <c r="K105" s="1" t="s">
        <v>496</v>
      </c>
      <c r="L105" s="1" t="s">
        <v>497</v>
      </c>
      <c r="M105" s="1" t="s">
        <v>498</v>
      </c>
      <c r="N105" s="1" t="s">
        <v>499</v>
      </c>
    </row>
    <row r="106">
      <c r="A106" s="1"/>
      <c r="B106" s="1" t="s">
        <v>500</v>
      </c>
      <c r="C106" s="27">
        <v>135.262</v>
      </c>
      <c r="D106" s="27">
        <v>135.262</v>
      </c>
      <c r="E106" s="27">
        <v>149.277</v>
      </c>
      <c r="F106" s="27">
        <v>149.243</v>
      </c>
      <c r="G106" s="27">
        <v>163.982</v>
      </c>
      <c r="H106" s="9"/>
      <c r="I106" s="1"/>
      <c r="J106" s="1" t="s">
        <v>501</v>
      </c>
      <c r="K106" s="1" t="s">
        <v>501</v>
      </c>
      <c r="L106" s="1" t="s">
        <v>502</v>
      </c>
      <c r="M106" s="1" t="s">
        <v>503</v>
      </c>
      <c r="N106" s="1" t="s">
        <v>504</v>
      </c>
    </row>
    <row r="107">
      <c r="A107" s="1"/>
      <c r="B107" s="1" t="s">
        <v>505</v>
      </c>
      <c r="C107" s="27">
        <v>235.356</v>
      </c>
      <c r="D107" s="27">
        <v>60.76599999999999</v>
      </c>
      <c r="E107" s="27">
        <v>61.928</v>
      </c>
      <c r="F107" s="27">
        <v>62.216</v>
      </c>
      <c r="G107" s="27">
        <v>63.738</v>
      </c>
      <c r="H107" s="9"/>
      <c r="I107" s="1"/>
      <c r="J107" s="1" t="s">
        <v>506</v>
      </c>
      <c r="K107" s="1" t="s">
        <v>507</v>
      </c>
      <c r="L107" s="1" t="s">
        <v>508</v>
      </c>
      <c r="M107" s="1" t="s">
        <v>509</v>
      </c>
      <c r="N107" s="1" t="s">
        <v>510</v>
      </c>
    </row>
    <row r="108">
      <c r="A108" s="1"/>
      <c r="B108" s="1" t="s">
        <v>511</v>
      </c>
      <c r="C108" s="27">
        <v>270.684</v>
      </c>
      <c r="D108" s="27">
        <v>270.684</v>
      </c>
      <c r="E108" s="27">
        <v>289</v>
      </c>
      <c r="F108" s="27">
        <v>320.233</v>
      </c>
      <c r="G108" s="27">
        <v>289.99</v>
      </c>
      <c r="H108" s="9"/>
      <c r="I108" s="1"/>
      <c r="J108" s="1" t="s">
        <v>512</v>
      </c>
      <c r="K108" s="1" t="s">
        <v>512</v>
      </c>
      <c r="L108" s="1" t="s">
        <v>513</v>
      </c>
      <c r="M108" s="1" t="s">
        <v>514</v>
      </c>
      <c r="N108" s="1" t="s">
        <v>515</v>
      </c>
    </row>
    <row r="109">
      <c r="A109" s="1"/>
      <c r="B109" s="1" t="s">
        <v>516</v>
      </c>
      <c r="C109" s="2">
        <f>D109</f>
        <v>2405.6</v>
      </c>
      <c r="D109" s="27">
        <v>2405.6</v>
      </c>
      <c r="E109" s="27">
        <v>2411.1</v>
      </c>
      <c r="F109" s="27">
        <v>2450.2</v>
      </c>
      <c r="G109" s="27">
        <v>2484.3</v>
      </c>
      <c r="H109" s="9"/>
      <c r="I109" s="1"/>
      <c r="J109" s="1"/>
      <c r="K109" s="1" t="s">
        <v>517</v>
      </c>
      <c r="L109" s="1"/>
      <c r="M109" s="1"/>
      <c r="N109" s="1" t="s">
        <v>518</v>
      </c>
    </row>
    <row r="110">
      <c r="A110" s="1"/>
      <c r="B110" s="1" t="s">
        <v>519</v>
      </c>
      <c r="C110" s="2">
        <f>D110</f>
        <v>1570.1</v>
      </c>
      <c r="D110" s="27">
        <v>1570.1</v>
      </c>
      <c r="E110" s="27">
        <v>1575.8</v>
      </c>
      <c r="F110" s="27">
        <v>1605.9</v>
      </c>
      <c r="G110" s="27">
        <v>1621</v>
      </c>
      <c r="H110" s="9"/>
      <c r="I110" s="1"/>
      <c r="J110" s="1"/>
      <c r="K110" s="1" t="s">
        <v>517</v>
      </c>
      <c r="L110" s="1"/>
      <c r="M110" s="1"/>
      <c r="N110" s="1" t="s">
        <v>518</v>
      </c>
    </row>
    <row r="111">
      <c r="A111" s="1"/>
      <c r="B111" s="1" t="s">
        <v>520</v>
      </c>
      <c r="C111" s="2">
        <f>D111</f>
        <v>243.9</v>
      </c>
      <c r="D111" s="27">
        <v>243.9</v>
      </c>
      <c r="E111" s="27">
        <v>244.3</v>
      </c>
      <c r="F111" s="27">
        <v>249.1</v>
      </c>
      <c r="G111" s="27">
        <v>255.2</v>
      </c>
      <c r="H111" s="9"/>
      <c r="I111" s="1"/>
      <c r="J111" s="1"/>
      <c r="K111" s="1" t="s">
        <v>517</v>
      </c>
      <c r="L111" s="1"/>
      <c r="M111" s="1"/>
      <c r="N111" s="1" t="s">
        <v>518</v>
      </c>
    </row>
    <row r="112">
      <c r="A112" s="1"/>
      <c r="B112" s="1" t="s">
        <v>521</v>
      </c>
      <c r="C112" s="2">
        <f>D112</f>
        <v>591.6</v>
      </c>
      <c r="D112" s="27">
        <v>591.6</v>
      </c>
      <c r="E112" s="27">
        <v>591</v>
      </c>
      <c r="F112" s="27">
        <v>595.2</v>
      </c>
      <c r="G112" s="27">
        <v>608.1</v>
      </c>
      <c r="H112" s="9"/>
      <c r="I112" s="1"/>
      <c r="J112" s="1"/>
      <c r="K112" s="1" t="s">
        <v>517</v>
      </c>
      <c r="L112" s="1"/>
      <c r="M112" s="1"/>
      <c r="N112" s="1" t="s">
        <v>518</v>
      </c>
    </row>
    <row r="113">
      <c r="A113" s="1"/>
      <c r="B113" s="1" t="s">
        <v>522</v>
      </c>
      <c r="C113" s="27">
        <v>37.924</v>
      </c>
      <c r="D113" s="27">
        <v>37.757</v>
      </c>
      <c r="E113" s="27">
        <v>37.409</v>
      </c>
      <c r="F113" s="27">
        <v>36.927</v>
      </c>
      <c r="G113" s="27">
        <v>36.122</v>
      </c>
      <c r="H113" s="9"/>
      <c r="I113" s="1"/>
      <c r="J113" s="1" t="s">
        <v>523</v>
      </c>
      <c r="K113" s="1" t="s">
        <v>523</v>
      </c>
      <c r="L113" s="1" t="s">
        <v>524</v>
      </c>
      <c r="M113" s="1" t="s">
        <v>525</v>
      </c>
      <c r="N113" s="1" t="s">
        <v>526</v>
      </c>
    </row>
    <row r="114">
      <c r="A114" s="1"/>
      <c r="B114" s="1" t="s">
        <v>527</v>
      </c>
      <c r="C114" s="27">
        <v>337.651</v>
      </c>
      <c r="D114" s="27">
        <v>337.651</v>
      </c>
      <c r="E114" s="27">
        <v>275.448</v>
      </c>
      <c r="F114" s="27">
        <v>268.338</v>
      </c>
      <c r="G114" s="27">
        <v>288.114</v>
      </c>
      <c r="H114" s="9"/>
      <c r="I114" s="1"/>
      <c r="J114" s="1" t="s">
        <v>528</v>
      </c>
      <c r="K114" s="1" t="s">
        <v>528</v>
      </c>
      <c r="L114" s="1" t="s">
        <v>529</v>
      </c>
      <c r="M114" s="1" t="s">
        <v>530</v>
      </c>
      <c r="N114" s="1" t="s">
        <v>531</v>
      </c>
    </row>
    <row r="115">
      <c r="A115" s="1"/>
      <c r="B115" s="1" t="s">
        <v>532</v>
      </c>
      <c r="C115" s="27">
        <v>-348.255</v>
      </c>
      <c r="D115" s="27">
        <v>0</v>
      </c>
      <c r="E115" s="27">
        <v>0</v>
      </c>
      <c r="F115" s="27">
        <v>0</v>
      </c>
      <c r="G115" s="27">
        <v>0</v>
      </c>
      <c r="H115" s="9"/>
      <c r="I115" s="1"/>
      <c r="J115" s="1" t="s">
        <v>533</v>
      </c>
      <c r="K115" s="1" t="s">
        <v>534</v>
      </c>
      <c r="L115" s="1" t="s">
        <v>535</v>
      </c>
      <c r="M115" s="1" t="s">
        <v>536</v>
      </c>
      <c r="N115" s="1" t="s">
        <v>537</v>
      </c>
    </row>
    <row r="116">
      <c r="A116" s="1"/>
      <c r="B116" s="1" t="s">
        <v>538</v>
      </c>
      <c r="C116" s="27">
        <v>-18.867</v>
      </c>
      <c r="D116" s="27">
        <v>-14.434</v>
      </c>
      <c r="E116" s="27">
        <v>-0.875</v>
      </c>
      <c r="F116" s="27">
        <v>-0.229</v>
      </c>
      <c r="G116" s="27">
        <v>-16.982</v>
      </c>
      <c r="H116" s="9"/>
      <c r="I116" s="1"/>
      <c r="J116" s="1" t="s">
        <v>539</v>
      </c>
      <c r="K116" s="1" t="s">
        <v>540</v>
      </c>
      <c r="L116" s="1" t="s">
        <v>541</v>
      </c>
      <c r="M116" s="1" t="s">
        <v>542</v>
      </c>
      <c r="N116" s="1" t="s">
        <v>543</v>
      </c>
    </row>
    <row r="117">
      <c r="A117" s="1"/>
      <c r="B117" s="1" t="s">
        <v>544</v>
      </c>
      <c r="C117" s="27">
        <v>-300.457</v>
      </c>
      <c r="D117" s="27">
        <v>-106.619</v>
      </c>
      <c r="E117" s="27">
        <v>-139.899</v>
      </c>
      <c r="F117" s="27">
        <v>-163.031</v>
      </c>
      <c r="G117" s="27">
        <v>-203.07</v>
      </c>
      <c r="H117" s="9"/>
      <c r="I117" s="1"/>
      <c r="J117" s="1" t="s">
        <v>545</v>
      </c>
      <c r="K117" s="1" t="s">
        <v>546</v>
      </c>
      <c r="L117" s="1" t="s">
        <v>547</v>
      </c>
      <c r="M117" s="1" t="s">
        <v>548</v>
      </c>
      <c r="N117" s="1" t="s">
        <v>549</v>
      </c>
    </row>
    <row r="118">
      <c r="A118" s="1"/>
      <c r="B118" s="1" t="s">
        <v>550</v>
      </c>
      <c r="C118" s="27">
        <v>-108.806</v>
      </c>
      <c r="D118" s="27">
        <v>-33.965999999999994</v>
      </c>
      <c r="E118" s="27">
        <v>-30.847</v>
      </c>
      <c r="F118" s="27">
        <v>-25.997</v>
      </c>
      <c r="G118" s="27">
        <v>-30.475</v>
      </c>
      <c r="H118" s="9"/>
      <c r="I118" s="1"/>
      <c r="J118" s="1" t="s">
        <v>551</v>
      </c>
      <c r="K118" s="1" t="s">
        <v>552</v>
      </c>
      <c r="L118" s="1" t="s">
        <v>553</v>
      </c>
      <c r="M118" s="1" t="s">
        <v>554</v>
      </c>
      <c r="N118" s="1" t="s">
        <v>555</v>
      </c>
    </row>
    <row r="119">
      <c r="A119" s="1"/>
      <c r="B119" s="1" t="s">
        <v>556</v>
      </c>
      <c r="C119" s="27">
        <v>-59.4</v>
      </c>
      <c r="D119" s="27">
        <v>-9.683</v>
      </c>
      <c r="E119" s="27">
        <v>22.225</v>
      </c>
      <c r="F119" s="27">
        <v>-10.277</v>
      </c>
      <c r="G119" s="27">
        <v>10.845</v>
      </c>
      <c r="H119" s="9"/>
      <c r="I119" s="1"/>
      <c r="J119" s="1" t="s">
        <v>557</v>
      </c>
      <c r="K119" s="1" t="s">
        <v>558</v>
      </c>
      <c r="L119" s="1" t="s">
        <v>559</v>
      </c>
      <c r="M119" s="1" t="s">
        <v>560</v>
      </c>
      <c r="N119" s="1" t="s">
        <v>561</v>
      </c>
    </row>
    <row r="120">
      <c r="A120" s="1"/>
      <c r="B120" s="1" t="s">
        <v>562</v>
      </c>
      <c r="C120" s="27">
        <v>-42.54</v>
      </c>
      <c r="D120" s="27">
        <v>-1.0480000000000018</v>
      </c>
      <c r="E120" s="27">
        <v>-19.232</v>
      </c>
      <c r="F120" s="27">
        <v>-31.783</v>
      </c>
      <c r="G120" s="27">
        <v>26.639</v>
      </c>
      <c r="H120" s="9"/>
      <c r="I120" s="1"/>
      <c r="J120" s="1" t="s">
        <v>563</v>
      </c>
      <c r="K120" s="1" t="s">
        <v>564</v>
      </c>
      <c r="L120" s="1" t="s">
        <v>565</v>
      </c>
      <c r="M120" s="1" t="s">
        <v>566</v>
      </c>
      <c r="N120" s="1" t="s">
        <v>567</v>
      </c>
    </row>
    <row r="121">
      <c r="A121" s="1"/>
      <c r="B121" s="1" t="s">
        <v>568</v>
      </c>
      <c r="C121" s="27">
        <v>35.666</v>
      </c>
      <c r="D121" s="27">
        <v>31.876999999999995</v>
      </c>
      <c r="E121" s="27">
        <v>-70.313</v>
      </c>
      <c r="F121" s="27">
        <v>28.072</v>
      </c>
      <c r="G121" s="27">
        <v>49.782</v>
      </c>
      <c r="H121" s="9"/>
      <c r="I121" s="1"/>
      <c r="J121" s="1" t="s">
        <v>569</v>
      </c>
      <c r="K121" s="1" t="s">
        <v>570</v>
      </c>
      <c r="L121" s="1" t="s">
        <v>571</v>
      </c>
      <c r="M121" s="1" t="s">
        <v>572</v>
      </c>
      <c r="N121" s="1" t="s">
        <v>573</v>
      </c>
    </row>
    <row r="122">
      <c r="A122" s="1"/>
      <c r="B122" s="1" t="s">
        <v>574</v>
      </c>
      <c r="C122" s="27">
        <v>2.249</v>
      </c>
      <c r="D122" s="27">
        <v>-2.706</v>
      </c>
      <c r="E122" s="27">
        <v>-5.793</v>
      </c>
      <c r="F122" s="27">
        <v>26.015</v>
      </c>
      <c r="G122" s="27">
        <v>-5.192</v>
      </c>
      <c r="H122" s="9"/>
      <c r="I122" s="1"/>
      <c r="J122" s="1" t="s">
        <v>575</v>
      </c>
      <c r="K122" s="1" t="s">
        <v>576</v>
      </c>
      <c r="L122" s="1" t="s">
        <v>577</v>
      </c>
      <c r="M122" s="1" t="s">
        <v>578</v>
      </c>
      <c r="N122" s="1" t="s">
        <v>579</v>
      </c>
    </row>
    <row r="123">
      <c r="A123" s="1"/>
      <c r="B123" s="1" t="s">
        <v>580</v>
      </c>
      <c r="C123" s="27">
        <v>-40.645</v>
      </c>
      <c r="D123" s="27">
        <v>-10.395000000000003</v>
      </c>
      <c r="E123" s="27">
        <v>-10.529</v>
      </c>
      <c r="F123" s="27">
        <v>-10.068</v>
      </c>
      <c r="G123" s="27">
        <v>-9.936</v>
      </c>
      <c r="H123" s="9"/>
      <c r="I123" s="1"/>
      <c r="J123" s="1" t="s">
        <v>581</v>
      </c>
      <c r="K123" s="1" t="s">
        <v>582</v>
      </c>
      <c r="L123" s="1" t="s">
        <v>583</v>
      </c>
      <c r="M123" s="1" t="s">
        <v>584</v>
      </c>
      <c r="N123" s="1" t="s">
        <v>585</v>
      </c>
    </row>
    <row r="124">
      <c r="A124" s="1"/>
      <c r="B124" s="1" t="s">
        <v>586</v>
      </c>
      <c r="C124" s="27">
        <v>0.065</v>
      </c>
      <c r="D124" s="27">
        <v>-6.6339999999999995</v>
      </c>
      <c r="E124" s="27">
        <v>-23.113</v>
      </c>
      <c r="F124" s="27">
        <v>4.116</v>
      </c>
      <c r="G124" s="27">
        <v>15.238</v>
      </c>
      <c r="H124" s="9"/>
      <c r="I124" s="1"/>
      <c r="J124" s="1" t="s">
        <v>587</v>
      </c>
      <c r="K124" s="1" t="s">
        <v>588</v>
      </c>
      <c r="L124" s="1" t="s">
        <v>589</v>
      </c>
      <c r="M124" s="1" t="s">
        <v>590</v>
      </c>
      <c r="N124" s="1" t="s">
        <v>591</v>
      </c>
    </row>
    <row r="125">
      <c r="A125" s="1"/>
      <c r="B125" s="1" t="s">
        <v>592</v>
      </c>
      <c r="C125" s="27">
        <v>-1.161</v>
      </c>
      <c r="D125" s="27">
        <v>17.947</v>
      </c>
      <c r="E125" s="27">
        <v>7.712</v>
      </c>
      <c r="F125" s="27">
        <v>-13.813</v>
      </c>
      <c r="G125" s="27">
        <v>-30.219</v>
      </c>
      <c r="H125" s="9"/>
      <c r="I125" s="1"/>
      <c r="J125" s="1" t="s">
        <v>593</v>
      </c>
      <c r="K125" s="1" t="s">
        <v>594</v>
      </c>
      <c r="L125" s="1" t="s">
        <v>595</v>
      </c>
      <c r="M125" s="1" t="s">
        <v>596</v>
      </c>
      <c r="N125" s="1" t="s">
        <v>597</v>
      </c>
    </row>
    <row r="126">
      <c r="A126" s="1"/>
      <c r="B126" s="1" t="s">
        <v>598</v>
      </c>
      <c r="C126" s="27">
        <v>157.691</v>
      </c>
      <c r="D126" s="27">
        <v>42.71900000000001</v>
      </c>
      <c r="E126" s="27">
        <v>44.148</v>
      </c>
      <c r="F126" s="27">
        <v>43.69</v>
      </c>
      <c r="G126" s="27">
        <v>45.87</v>
      </c>
      <c r="H126" s="9"/>
      <c r="I126" s="1"/>
      <c r="J126" s="1" t="s">
        <v>599</v>
      </c>
      <c r="K126" s="1" t="s">
        <v>600</v>
      </c>
      <c r="L126" s="1" t="s">
        <v>601</v>
      </c>
      <c r="M126" s="1" t="s">
        <v>602</v>
      </c>
      <c r="N126" s="1" t="s">
        <v>603</v>
      </c>
    </row>
    <row r="127">
      <c r="A127" s="1"/>
      <c r="B127" s="1" t="s">
        <v>604</v>
      </c>
      <c r="C127" s="27">
        <v>803.41</v>
      </c>
      <c r="D127" s="27">
        <v>0</v>
      </c>
      <c r="E127" s="27">
        <v>0</v>
      </c>
      <c r="F127" s="27">
        <v>0</v>
      </c>
      <c r="G127" s="27">
        <v>95</v>
      </c>
      <c r="H127" s="9"/>
      <c r="I127" s="1"/>
      <c r="J127" s="1" t="s">
        <v>605</v>
      </c>
      <c r="K127" s="1" t="s">
        <v>606</v>
      </c>
      <c r="L127" s="1" t="s">
        <v>607</v>
      </c>
      <c r="M127" s="1" t="s">
        <v>608</v>
      </c>
      <c r="N127" s="1" t="s">
        <v>609</v>
      </c>
    </row>
    <row r="128">
      <c r="A128" s="1"/>
      <c r="B128" s="1" t="s">
        <v>610</v>
      </c>
      <c r="C128" s="27">
        <v>-805</v>
      </c>
      <c r="D128" s="27">
        <v>-62.5</v>
      </c>
      <c r="E128" s="27">
        <v>0</v>
      </c>
      <c r="F128" s="27">
        <v>0</v>
      </c>
      <c r="G128" s="27">
        <v>-75</v>
      </c>
      <c r="H128" s="9"/>
      <c r="I128" s="1"/>
      <c r="J128" s="1" t="s">
        <v>611</v>
      </c>
      <c r="K128" s="1" t="s">
        <v>612</v>
      </c>
      <c r="L128" s="1" t="s">
        <v>613</v>
      </c>
      <c r="M128" s="1" t="s">
        <v>614</v>
      </c>
      <c r="N128" s="1" t="s">
        <v>615</v>
      </c>
    </row>
    <row r="129">
      <c r="A129" s="1"/>
      <c r="B129" s="1" t="s">
        <v>616</v>
      </c>
      <c r="C129" s="2"/>
      <c r="D129" s="2"/>
      <c r="E129" s="27">
        <v>-12.052</v>
      </c>
      <c r="F129" s="27">
        <v>0</v>
      </c>
      <c r="G129" s="27">
        <v>-4.124</v>
      </c>
      <c r="H129" s="9"/>
      <c r="I129" s="1"/>
      <c r="J129" s="1"/>
      <c r="K129" s="1"/>
      <c r="L129" s="1" t="s">
        <v>617</v>
      </c>
      <c r="M129" s="1" t="s">
        <v>618</v>
      </c>
      <c r="N129" s="1" t="s">
        <v>619</v>
      </c>
    </row>
    <row r="130">
      <c r="A130" s="1"/>
      <c r="B130" s="1" t="s">
        <v>620</v>
      </c>
      <c r="C130" s="27">
        <v>-3.545</v>
      </c>
      <c r="D130" s="27">
        <v>-6.699</v>
      </c>
      <c r="E130" s="27">
        <v>3.039</v>
      </c>
      <c r="F130" s="27">
        <v>-0.658</v>
      </c>
      <c r="G130" s="27">
        <v>18.427</v>
      </c>
      <c r="H130" s="9"/>
      <c r="I130" s="1"/>
      <c r="J130" s="1" t="s">
        <v>621</v>
      </c>
      <c r="K130" s="1" t="s">
        <v>622</v>
      </c>
      <c r="L130" s="1" t="s">
        <v>623</v>
      </c>
      <c r="M130" s="1" t="s">
        <v>624</v>
      </c>
      <c r="N130" s="1" t="s">
        <v>625</v>
      </c>
    </row>
    <row r="131">
      <c r="A131" s="1"/>
      <c r="B131" s="1" t="s">
        <v>626</v>
      </c>
      <c r="C131" s="27">
        <v>-159.973</v>
      </c>
      <c r="D131" s="27">
        <v>-41.64400000000002</v>
      </c>
      <c r="E131" s="27">
        <v>-41.411</v>
      </c>
      <c r="F131" s="27">
        <v>-40.968</v>
      </c>
      <c r="G131" s="27">
        <v>-40.305</v>
      </c>
      <c r="H131" s="9"/>
      <c r="I131" s="1"/>
      <c r="J131" s="1" t="s">
        <v>627</v>
      </c>
      <c r="K131" s="1" t="s">
        <v>628</v>
      </c>
      <c r="L131" s="1" t="s">
        <v>629</v>
      </c>
      <c r="M131" s="1" t="s">
        <v>630</v>
      </c>
      <c r="N131" s="1" t="s">
        <v>631</v>
      </c>
    </row>
    <row r="132">
      <c r="A132" s="1"/>
      <c r="B132" s="1" t="s">
        <v>632</v>
      </c>
      <c r="C132" s="27">
        <v>3.05</v>
      </c>
      <c r="D132" s="27">
        <v>1.084</v>
      </c>
      <c r="E132" s="27">
        <v>-2.273</v>
      </c>
      <c r="F132" s="27">
        <v>3.572</v>
      </c>
      <c r="G132" s="27">
        <v>-2.977</v>
      </c>
      <c r="H132" s="9"/>
      <c r="I132" s="1"/>
      <c r="J132" s="1" t="s">
        <v>633</v>
      </c>
      <c r="K132" s="1" t="s">
        <v>634</v>
      </c>
      <c r="L132" s="1" t="s">
        <v>635</v>
      </c>
      <c r="M132" s="1" t="s">
        <v>636</v>
      </c>
      <c r="N132" s="1" t="s">
        <v>637</v>
      </c>
    </row>
    <row r="133">
      <c r="A133" s="1"/>
      <c r="B133" s="1" t="s">
        <v>638</v>
      </c>
      <c r="C133" s="27">
        <v>-11.371</v>
      </c>
      <c r="D133" s="27">
        <v>-18.799</v>
      </c>
      <c r="E133" s="27">
        <v>-5.894</v>
      </c>
      <c r="F133" s="27">
        <v>14.283</v>
      </c>
      <c r="G133" s="27">
        <v>6.047</v>
      </c>
      <c r="H133" s="9"/>
      <c r="I133" s="1"/>
      <c r="J133" s="1" t="s">
        <v>639</v>
      </c>
      <c r="K133" s="1" t="s">
        <v>640</v>
      </c>
      <c r="L133" s="1" t="s">
        <v>641</v>
      </c>
      <c r="M133" s="1" t="s">
        <v>642</v>
      </c>
      <c r="N133" s="1" t="s">
        <v>643</v>
      </c>
    </row>
    <row r="134">
      <c r="A134" s="1"/>
      <c r="B134" s="1" t="s">
        <v>644</v>
      </c>
      <c r="C134" s="27">
        <v>-27.489</v>
      </c>
      <c r="D134" s="27">
        <v>-6.803</v>
      </c>
      <c r="E134" s="27">
        <v>-5.695</v>
      </c>
      <c r="F134" s="27">
        <v>-0.263</v>
      </c>
      <c r="G134" s="27">
        <v>-0.46</v>
      </c>
      <c r="H134" s="9"/>
      <c r="I134" s="1"/>
      <c r="J134" s="1" t="s">
        <v>645</v>
      </c>
      <c r="K134" s="1" t="s">
        <v>646</v>
      </c>
      <c r="L134" s="1" t="s">
        <v>647</v>
      </c>
      <c r="M134" s="1" t="s">
        <v>648</v>
      </c>
      <c r="N134" s="1" t="s">
        <v>649</v>
      </c>
    </row>
    <row r="135">
      <c r="A135" s="1"/>
      <c r="B135" s="1" t="s">
        <v>650</v>
      </c>
      <c r="C135" s="27">
        <v>6.522</v>
      </c>
      <c r="D135" s="27">
        <v>0</v>
      </c>
      <c r="E135" s="27">
        <v>5.139</v>
      </c>
      <c r="F135" s="27">
        <v>-1.937</v>
      </c>
      <c r="G135" s="27">
        <v>2.094</v>
      </c>
      <c r="H135" s="9"/>
      <c r="I135" s="1"/>
      <c r="J135" s="1" t="s">
        <v>651</v>
      </c>
      <c r="K135" s="1" t="s">
        <v>652</v>
      </c>
      <c r="L135" s="1" t="s">
        <v>653</v>
      </c>
      <c r="M135" s="1" t="s">
        <v>654</v>
      </c>
      <c r="N135" s="1" t="s">
        <v>655</v>
      </c>
    </row>
    <row r="136">
      <c r="A136" s="1"/>
      <c r="B136" s="1" t="s">
        <v>656</v>
      </c>
      <c r="C136" s="27">
        <v>7.522</v>
      </c>
      <c r="D136" s="27">
        <v>0</v>
      </c>
      <c r="E136" s="27">
        <v>3.935</v>
      </c>
      <c r="F136" s="27">
        <v>1.937</v>
      </c>
      <c r="G136" s="27">
        <v>-4.872</v>
      </c>
      <c r="H136" s="9"/>
      <c r="I136" s="1"/>
      <c r="J136" s="1" t="s">
        <v>657</v>
      </c>
      <c r="K136" s="1" t="s">
        <v>658</v>
      </c>
      <c r="L136" s="1" t="s">
        <v>659</v>
      </c>
      <c r="M136" s="1" t="s">
        <v>660</v>
      </c>
      <c r="N136" s="1" t="s">
        <v>661</v>
      </c>
    </row>
    <row r="137">
      <c r="A137" s="1"/>
      <c r="B137" s="1" t="s">
        <v>662</v>
      </c>
      <c r="C137" s="27">
        <v>30.982</v>
      </c>
      <c r="D137" s="27">
        <v>7.829999999999998</v>
      </c>
      <c r="E137" s="27">
        <v>7.997</v>
      </c>
      <c r="F137" s="27">
        <v>8.188</v>
      </c>
      <c r="G137" s="27">
        <v>8.084</v>
      </c>
      <c r="H137" s="9"/>
      <c r="I137" s="1"/>
      <c r="J137" s="1" t="s">
        <v>663</v>
      </c>
      <c r="K137" s="1" t="s">
        <v>664</v>
      </c>
      <c r="L137" s="1" t="s">
        <v>665</v>
      </c>
      <c r="M137" s="1" t="s">
        <v>666</v>
      </c>
      <c r="N137" s="1" t="s">
        <v>667</v>
      </c>
    </row>
    <row r="138">
      <c r="A138" s="1"/>
      <c r="B138" s="1" t="s">
        <v>668</v>
      </c>
      <c r="C138" s="27">
        <v>83.155</v>
      </c>
      <c r="D138" s="27">
        <v>25</v>
      </c>
      <c r="E138" s="27">
        <v>36.05</v>
      </c>
      <c r="F138" s="27">
        <v>0</v>
      </c>
      <c r="G138" s="27">
        <v>0</v>
      </c>
      <c r="H138" s="9"/>
      <c r="I138" s="1"/>
      <c r="J138" s="1"/>
      <c r="K138" s="1"/>
      <c r="L138" s="1" t="s">
        <v>669</v>
      </c>
      <c r="M138" s="1" t="s">
        <v>670</v>
      </c>
      <c r="N138" s="1" t="s">
        <v>671</v>
      </c>
    </row>
    <row r="139">
      <c r="A139" s="1"/>
      <c r="B139" s="1" t="s">
        <v>672</v>
      </c>
      <c r="C139" s="27">
        <v>61.229</v>
      </c>
      <c r="D139" s="27">
        <v>14.074999999999996</v>
      </c>
      <c r="E139" s="27">
        <v>18.457</v>
      </c>
      <c r="F139" s="27">
        <v>20.867</v>
      </c>
      <c r="G139" s="27">
        <v>22.217</v>
      </c>
      <c r="H139" s="9"/>
      <c r="I139" s="1"/>
      <c r="J139" s="1" t="s">
        <v>673</v>
      </c>
      <c r="K139" s="1" t="s">
        <v>674</v>
      </c>
      <c r="L139" s="1" t="s">
        <v>675</v>
      </c>
      <c r="M139" s="1" t="s">
        <v>676</v>
      </c>
      <c r="N139" s="1" t="s">
        <v>677</v>
      </c>
    </row>
    <row r="140">
      <c r="A140" s="1"/>
      <c r="B140" s="1" t="s">
        <v>678</v>
      </c>
      <c r="C140" s="27">
        <v>81.688</v>
      </c>
      <c r="D140" s="27">
        <v>9.072000000000005</v>
      </c>
      <c r="E140" s="27">
        <v>8.545</v>
      </c>
      <c r="F140" s="27">
        <v>8.118</v>
      </c>
      <c r="G140" s="27">
        <v>10.871</v>
      </c>
      <c r="H140" s="9"/>
      <c r="I140" s="1"/>
      <c r="J140" s="1" t="s">
        <v>679</v>
      </c>
      <c r="K140" s="1" t="s">
        <v>680</v>
      </c>
      <c r="L140" s="1" t="s">
        <v>681</v>
      </c>
      <c r="M140" s="1" t="s">
        <v>682</v>
      </c>
      <c r="N140" s="1" t="s">
        <v>683</v>
      </c>
    </row>
    <row r="141">
      <c r="A141" s="1"/>
      <c r="B141" s="1" t="s">
        <v>684</v>
      </c>
      <c r="C141" s="2">
        <f>D141</f>
        <v>8996</v>
      </c>
      <c r="D141" s="27">
        <v>8996</v>
      </c>
      <c r="E141" s="27">
        <v>9003</v>
      </c>
      <c r="F141" s="27">
        <v>9101</v>
      </c>
      <c r="G141" s="27">
        <v>9130</v>
      </c>
      <c r="H141" s="9"/>
      <c r="I141" s="1"/>
      <c r="J141" s="1"/>
      <c r="K141" s="1" t="s">
        <v>685</v>
      </c>
      <c r="L141" s="1" t="s">
        <v>686</v>
      </c>
      <c r="M141" s="1" t="s">
        <v>687</v>
      </c>
      <c r="N141" s="1" t="s">
        <v>688</v>
      </c>
    </row>
    <row r="142">
      <c r="A142" s="1"/>
      <c r="B142" s="1" t="s">
        <v>689</v>
      </c>
      <c r="C142" s="27">
        <v>1097.782</v>
      </c>
      <c r="D142" s="27">
        <v>288.67</v>
      </c>
      <c r="E142" s="27">
        <v>287.916</v>
      </c>
      <c r="F142" s="27">
        <v>296.742</v>
      </c>
      <c r="G142" s="27">
        <v>312.19</v>
      </c>
      <c r="H142" s="9"/>
      <c r="I142" s="1"/>
      <c r="J142" s="1" t="s">
        <v>690</v>
      </c>
      <c r="K142" s="1" t="s">
        <v>690</v>
      </c>
      <c r="L142" s="1" t="s">
        <v>691</v>
      </c>
      <c r="M142" s="1" t="s">
        <v>692</v>
      </c>
      <c r="N142" s="1" t="s">
        <v>693</v>
      </c>
    </row>
    <row r="143">
      <c r="A143" s="1"/>
      <c r="B143" s="1" t="s">
        <v>694</v>
      </c>
      <c r="C143" s="27">
        <v>0</v>
      </c>
      <c r="D143" s="27">
        <v>0</v>
      </c>
      <c r="E143" s="27">
        <v>0</v>
      </c>
      <c r="F143" s="27">
        <v>0</v>
      </c>
      <c r="G143" s="27">
        <v>499.159</v>
      </c>
      <c r="H143" s="9"/>
      <c r="I143" s="1"/>
      <c r="J143" s="1" t="s">
        <v>695</v>
      </c>
      <c r="K143" s="1" t="s">
        <v>695</v>
      </c>
      <c r="L143" s="1" t="s">
        <v>696</v>
      </c>
      <c r="M143" s="1" t="s">
        <v>697</v>
      </c>
      <c r="N143" s="1" t="s">
        <v>698</v>
      </c>
    </row>
    <row r="144">
      <c r="A144" s="1"/>
      <c r="B144" s="1" t="s">
        <v>699</v>
      </c>
      <c r="C144" s="27">
        <v>33.145</v>
      </c>
      <c r="D144" s="27">
        <v>33.145</v>
      </c>
      <c r="E144" s="27">
        <v>32.609</v>
      </c>
      <c r="F144" s="27">
        <v>33.575</v>
      </c>
      <c r="G144" s="27">
        <v>33.963</v>
      </c>
      <c r="H144" s="9"/>
      <c r="I144" s="1"/>
      <c r="J144" s="1" t="s">
        <v>700</v>
      </c>
      <c r="K144" s="1" t="s">
        <v>700</v>
      </c>
      <c r="L144" s="1" t="s">
        <v>701</v>
      </c>
      <c r="M144" s="1" t="s">
        <v>702</v>
      </c>
      <c r="N144" s="1" t="s">
        <v>703</v>
      </c>
    </row>
    <row r="145">
      <c r="A145" s="1"/>
      <c r="B145" s="1" t="s">
        <v>704</v>
      </c>
      <c r="C145" s="27">
        <v>13.041</v>
      </c>
      <c r="D145" s="27">
        <v>13.041</v>
      </c>
      <c r="E145" s="27">
        <v>13.704</v>
      </c>
      <c r="F145" s="27">
        <v>5.607</v>
      </c>
      <c r="G145" s="27">
        <v>5.182</v>
      </c>
      <c r="H145" s="9"/>
      <c r="I145" s="1"/>
      <c r="J145" s="1" t="s">
        <v>705</v>
      </c>
      <c r="K145" s="1" t="s">
        <v>705</v>
      </c>
      <c r="L145" s="1" t="s">
        <v>706</v>
      </c>
      <c r="M145" s="1" t="s">
        <v>707</v>
      </c>
      <c r="N145" s="1" t="s">
        <v>708</v>
      </c>
    </row>
    <row r="146">
      <c r="A146" s="1"/>
      <c r="B146" s="1" t="s">
        <v>709</v>
      </c>
      <c r="C146" s="27">
        <v>167.852</v>
      </c>
      <c r="D146" s="27">
        <v>167.852</v>
      </c>
      <c r="E146" s="27">
        <v>162.586</v>
      </c>
      <c r="F146" s="27">
        <v>188.722</v>
      </c>
      <c r="G146" s="27">
        <v>183.494</v>
      </c>
      <c r="H146" s="9"/>
      <c r="I146" s="1"/>
      <c r="J146" s="1" t="s">
        <v>710</v>
      </c>
      <c r="K146" s="1" t="s">
        <v>710</v>
      </c>
      <c r="L146" s="1" t="s">
        <v>711</v>
      </c>
      <c r="M146" s="1" t="s">
        <v>712</v>
      </c>
      <c r="N146" s="1" t="s">
        <v>713</v>
      </c>
    </row>
    <row r="147">
      <c r="A147" s="1"/>
      <c r="B147" s="1" t="s">
        <v>714</v>
      </c>
      <c r="C147" s="27">
        <v>38.385</v>
      </c>
      <c r="D147" s="27">
        <v>38.158</v>
      </c>
      <c r="E147" s="27">
        <v>37.615</v>
      </c>
      <c r="F147" s="27">
        <v>37.063</v>
      </c>
      <c r="G147" s="27">
        <v>36.191</v>
      </c>
      <c r="H147" s="9"/>
      <c r="I147" s="1"/>
      <c r="J147" s="1" t="s">
        <v>715</v>
      </c>
      <c r="K147" s="1" t="s">
        <v>715</v>
      </c>
      <c r="L147" s="1" t="s">
        <v>716</v>
      </c>
      <c r="M147" s="1" t="s">
        <v>717</v>
      </c>
      <c r="N147" s="1" t="s">
        <v>718</v>
      </c>
    </row>
    <row r="148">
      <c r="A148" s="1"/>
      <c r="B148" s="1" t="s">
        <v>719</v>
      </c>
      <c r="C148" s="27">
        <v>41.41</v>
      </c>
      <c r="D148" s="27">
        <v>41.41</v>
      </c>
      <c r="E148" s="27">
        <v>40.969</v>
      </c>
      <c r="F148" s="27">
        <v>40.305</v>
      </c>
      <c r="G148" s="27">
        <v>41.5</v>
      </c>
      <c r="H148" s="9"/>
      <c r="I148" s="1"/>
      <c r="J148" s="1" t="s">
        <v>720</v>
      </c>
      <c r="K148" s="1" t="s">
        <v>720</v>
      </c>
      <c r="L148" s="1" t="s">
        <v>721</v>
      </c>
      <c r="M148" s="1" t="s">
        <v>722</v>
      </c>
      <c r="N148" s="1" t="s">
        <v>723</v>
      </c>
    </row>
    <row r="149">
      <c r="A149" s="1"/>
      <c r="B149" s="1" t="s">
        <v>724</v>
      </c>
      <c r="C149" s="27">
        <v>61.226</v>
      </c>
      <c r="D149" s="27">
        <v>61.226</v>
      </c>
      <c r="E149" s="27">
        <v>59.533</v>
      </c>
      <c r="F149" s="27">
        <v>61.495</v>
      </c>
      <c r="G149" s="27">
        <v>41.945</v>
      </c>
      <c r="H149" s="9"/>
      <c r="I149" s="1"/>
      <c r="J149" s="1" t="s">
        <v>725</v>
      </c>
      <c r="K149" s="1" t="s">
        <v>725</v>
      </c>
      <c r="L149" s="1" t="s">
        <v>726</v>
      </c>
      <c r="M149" s="1" t="s">
        <v>727</v>
      </c>
      <c r="N149" s="1" t="s">
        <v>728</v>
      </c>
    </row>
    <row r="150">
      <c r="A150" s="1"/>
      <c r="B150" s="1" t="s">
        <v>729</v>
      </c>
      <c r="C150" s="27">
        <v>14.902</v>
      </c>
      <c r="D150" s="27">
        <v>14.902</v>
      </c>
      <c r="E150" s="27">
        <v>15.125</v>
      </c>
      <c r="F150" s="27">
        <v>14.728</v>
      </c>
      <c r="G150" s="27">
        <v>13.04</v>
      </c>
      <c r="H150" s="9"/>
      <c r="I150" s="1"/>
      <c r="J150" s="1" t="s">
        <v>730</v>
      </c>
      <c r="K150" s="1" t="s">
        <v>730</v>
      </c>
      <c r="L150" s="1" t="s">
        <v>731</v>
      </c>
      <c r="M150" s="1" t="s">
        <v>732</v>
      </c>
      <c r="N150" s="1" t="s">
        <v>733</v>
      </c>
    </row>
    <row r="151">
      <c r="A151" s="1"/>
      <c r="B151" s="1" t="s">
        <v>734</v>
      </c>
      <c r="C151" s="27">
        <v>580.284</v>
      </c>
      <c r="D151" s="27">
        <v>147.43099999999998</v>
      </c>
      <c r="E151" s="27">
        <v>149.517</v>
      </c>
      <c r="F151" s="27">
        <v>149.12</v>
      </c>
      <c r="G151" s="27">
        <v>151.94</v>
      </c>
      <c r="H151" s="9"/>
      <c r="I151" s="1"/>
      <c r="J151" s="1" t="s">
        <v>735</v>
      </c>
      <c r="K151" s="1" t="s">
        <v>736</v>
      </c>
      <c r="L151" s="1" t="s">
        <v>737</v>
      </c>
      <c r="M151" s="1" t="s">
        <v>738</v>
      </c>
      <c r="N151" s="1" t="s">
        <v>739</v>
      </c>
    </row>
    <row r="152">
      <c r="A152" s="1"/>
      <c r="B152" s="1" t="s">
        <v>740</v>
      </c>
      <c r="C152" s="27">
        <v>2186.413</v>
      </c>
      <c r="D152" s="27">
        <v>2186.413</v>
      </c>
      <c r="E152" s="27">
        <v>2167.884</v>
      </c>
      <c r="F152" s="27">
        <v>2129.112</v>
      </c>
      <c r="G152" s="27">
        <v>2032.29</v>
      </c>
      <c r="H152" s="9"/>
      <c r="I152" s="1"/>
      <c r="J152" s="1" t="s">
        <v>741</v>
      </c>
      <c r="K152" s="1" t="s">
        <v>741</v>
      </c>
      <c r="L152" s="1" t="s">
        <v>742</v>
      </c>
      <c r="M152" s="1" t="s">
        <v>743</v>
      </c>
      <c r="N152" s="1" t="s">
        <v>744</v>
      </c>
    </row>
    <row r="153">
      <c r="A153" s="1"/>
      <c r="B153" s="1" t="s">
        <v>745</v>
      </c>
      <c r="C153" s="27">
        <v>1284.708</v>
      </c>
      <c r="D153" s="27">
        <v>1284.708</v>
      </c>
      <c r="E153" s="27">
        <v>1279.593</v>
      </c>
      <c r="F153" s="27">
        <v>1287.221</v>
      </c>
      <c r="G153" s="27">
        <v>1283.377</v>
      </c>
      <c r="H153" s="9"/>
      <c r="I153" s="1"/>
      <c r="J153" s="1" t="s">
        <v>746</v>
      </c>
      <c r="K153" s="1" t="s">
        <v>746</v>
      </c>
      <c r="L153" s="1" t="s">
        <v>747</v>
      </c>
      <c r="M153" s="1" t="s">
        <v>748</v>
      </c>
      <c r="N153" s="1" t="s">
        <v>749</v>
      </c>
    </row>
    <row r="154">
      <c r="A154" s="1"/>
      <c r="B154" s="1" t="s">
        <v>750</v>
      </c>
      <c r="C154" s="27">
        <v>1916.102</v>
      </c>
      <c r="D154" s="27">
        <v>1916.102</v>
      </c>
      <c r="E154" s="27">
        <v>1899.838</v>
      </c>
      <c r="F154" s="27">
        <v>1884.91</v>
      </c>
      <c r="G154" s="27">
        <v>1868.418</v>
      </c>
      <c r="H154" s="9"/>
      <c r="I154" s="1"/>
      <c r="J154" s="1" t="s">
        <v>751</v>
      </c>
      <c r="K154" s="1" t="s">
        <v>751</v>
      </c>
      <c r="L154" s="1" t="s">
        <v>752</v>
      </c>
      <c r="M154" s="1" t="s">
        <v>753</v>
      </c>
      <c r="N154" s="1" t="s">
        <v>754</v>
      </c>
    </row>
    <row r="155">
      <c r="A155" s="1"/>
      <c r="B155" s="1" t="s">
        <v>755</v>
      </c>
      <c r="C155" s="27">
        <v>-56.324</v>
      </c>
      <c r="D155" s="27">
        <v>-12.886</v>
      </c>
      <c r="E155" s="27">
        <v>-13.385</v>
      </c>
      <c r="F155" s="27">
        <v>-13.062</v>
      </c>
      <c r="G155" s="27">
        <v>-13.839</v>
      </c>
      <c r="H155" s="9"/>
      <c r="I155" s="1"/>
      <c r="J155" s="1" t="s">
        <v>756</v>
      </c>
      <c r="K155" s="1" t="s">
        <v>756</v>
      </c>
      <c r="L155" s="1" t="s">
        <v>757</v>
      </c>
      <c r="M155" s="1" t="s">
        <v>758</v>
      </c>
      <c r="N155" s="1" t="s">
        <v>759</v>
      </c>
    </row>
    <row r="156">
      <c r="A156" s="1"/>
      <c r="B156" s="1" t="s">
        <v>760</v>
      </c>
      <c r="C156" s="27">
        <v>6.533</v>
      </c>
      <c r="D156" s="27">
        <v>2.05</v>
      </c>
      <c r="E156" s="27">
        <v>1.089</v>
      </c>
      <c r="F156" s="27">
        <v>0.891</v>
      </c>
      <c r="G156" s="27">
        <v>0.642</v>
      </c>
      <c r="H156" s="9"/>
      <c r="I156" s="1"/>
      <c r="J156" s="1" t="s">
        <v>761</v>
      </c>
      <c r="K156" s="1" t="s">
        <v>761</v>
      </c>
      <c r="L156" s="1" t="s">
        <v>762</v>
      </c>
      <c r="M156" s="1" t="s">
        <v>763</v>
      </c>
      <c r="N156" s="1" t="s">
        <v>764</v>
      </c>
    </row>
    <row r="157">
      <c r="A157" s="1"/>
      <c r="B157" s="1" t="s">
        <v>765</v>
      </c>
      <c r="C157" s="27">
        <v>17.445</v>
      </c>
      <c r="D157" s="27">
        <v>17.445</v>
      </c>
      <c r="E157" s="27">
        <v>17.233</v>
      </c>
      <c r="F157" s="27">
        <v>16.929</v>
      </c>
      <c r="G157" s="27">
        <v>16.122</v>
      </c>
      <c r="H157" s="9"/>
      <c r="I157" s="1"/>
      <c r="J157" s="1" t="s">
        <v>766</v>
      </c>
      <c r="K157" s="1" t="s">
        <v>766</v>
      </c>
      <c r="L157" s="1" t="s">
        <v>767</v>
      </c>
      <c r="M157" s="1" t="s">
        <v>768</v>
      </c>
      <c r="N157" s="1" t="s">
        <v>769</v>
      </c>
    </row>
    <row r="158">
      <c r="A158" s="1"/>
      <c r="B158" s="1" t="s">
        <v>770</v>
      </c>
      <c r="C158" s="27">
        <v>1368.26</v>
      </c>
      <c r="D158" s="27">
        <v>1368.26</v>
      </c>
      <c r="E158" s="27">
        <v>1368.738</v>
      </c>
      <c r="F158" s="27">
        <v>1369.216</v>
      </c>
      <c r="G158" s="27">
        <v>890.542</v>
      </c>
      <c r="H158" s="9"/>
      <c r="I158" s="1"/>
      <c r="J158" s="1" t="s">
        <v>771</v>
      </c>
      <c r="K158" s="1" t="s">
        <v>771</v>
      </c>
      <c r="L158" s="1" t="s">
        <v>772</v>
      </c>
      <c r="M158" s="1" t="s">
        <v>773</v>
      </c>
      <c r="N158" s="1" t="s">
        <v>774</v>
      </c>
    </row>
    <row r="159">
      <c r="A159" s="1"/>
      <c r="B159" s="1" t="s">
        <v>775</v>
      </c>
      <c r="C159" s="27">
        <v>157.104</v>
      </c>
      <c r="D159" s="27">
        <v>157.104</v>
      </c>
      <c r="E159" s="27">
        <v>158.687</v>
      </c>
      <c r="F159" s="27">
        <v>150.866</v>
      </c>
      <c r="G159" s="27">
        <v>146.978</v>
      </c>
      <c r="H159" s="9"/>
      <c r="I159" s="1"/>
      <c r="J159" s="1" t="s">
        <v>776</v>
      </c>
      <c r="K159" s="1" t="s">
        <v>776</v>
      </c>
      <c r="L159" s="1" t="s">
        <v>777</v>
      </c>
      <c r="M159" s="1" t="s">
        <v>778</v>
      </c>
      <c r="N159" s="1" t="s">
        <v>779</v>
      </c>
    </row>
    <row r="160">
      <c r="A160" s="1"/>
      <c r="B160" s="1" t="s">
        <v>780</v>
      </c>
      <c r="C160" s="27">
        <v>45.095</v>
      </c>
      <c r="D160" s="27">
        <v>45.095</v>
      </c>
      <c r="E160" s="27">
        <v>44.513</v>
      </c>
      <c r="F160" s="27">
        <v>41.387</v>
      </c>
      <c r="G160" s="27">
        <v>41.315</v>
      </c>
      <c r="H160" s="9"/>
      <c r="I160" s="1"/>
      <c r="J160" s="1" t="s">
        <v>781</v>
      </c>
      <c r="K160" s="1" t="s">
        <v>781</v>
      </c>
      <c r="L160" s="1" t="s">
        <v>782</v>
      </c>
      <c r="M160" s="1" t="s">
        <v>783</v>
      </c>
      <c r="N160" s="1" t="s">
        <v>784</v>
      </c>
    </row>
    <row r="161">
      <c r="A161" s="1"/>
      <c r="B161" s="1" t="s">
        <v>785</v>
      </c>
      <c r="C161" s="2">
        <f>D161</f>
        <v>2370.9</v>
      </c>
      <c r="D161" s="27">
        <v>2370.9</v>
      </c>
      <c r="E161" s="27">
        <v>2389.6</v>
      </c>
      <c r="F161" s="27">
        <v>2449.1</v>
      </c>
      <c r="G161" s="27">
        <v>2485.6</v>
      </c>
      <c r="H161" s="9"/>
      <c r="I161" s="1"/>
      <c r="J161" s="1"/>
      <c r="K161" s="1" t="s">
        <v>517</v>
      </c>
      <c r="L161" s="1"/>
      <c r="M161" s="1"/>
      <c r="N161" s="1" t="s">
        <v>518</v>
      </c>
    </row>
    <row r="162">
      <c r="A162" s="1"/>
      <c r="B162" s="1" t="s">
        <v>786</v>
      </c>
      <c r="C162" s="27">
        <v>105.498</v>
      </c>
      <c r="D162" s="27">
        <v>105.498</v>
      </c>
      <c r="E162" s="27">
        <v>62.681</v>
      </c>
      <c r="F162" s="27">
        <v>57.139</v>
      </c>
      <c r="G162" s="27">
        <v>69.055</v>
      </c>
      <c r="H162" s="9"/>
      <c r="I162" s="1"/>
      <c r="J162" s="1" t="s">
        <v>787</v>
      </c>
      <c r="K162" s="1" t="s">
        <v>787</v>
      </c>
      <c r="L162" s="1" t="s">
        <v>788</v>
      </c>
      <c r="M162" s="1" t="s">
        <v>789</v>
      </c>
      <c r="N162" s="1" t="s">
        <v>790</v>
      </c>
    </row>
    <row r="163">
      <c r="A163" s="1"/>
      <c r="B163" s="1" t="s">
        <v>791</v>
      </c>
      <c r="C163" s="27">
        <v>22.446</v>
      </c>
      <c r="D163" s="27">
        <v>22.466</v>
      </c>
      <c r="E163" s="27">
        <v>10.338</v>
      </c>
      <c r="F163" s="27">
        <v>-11.679</v>
      </c>
      <c r="G163" s="27">
        <v>1.017</v>
      </c>
      <c r="H163" s="9"/>
      <c r="I163" s="1"/>
      <c r="J163" s="1" t="s">
        <v>792</v>
      </c>
      <c r="K163" s="1" t="s">
        <v>792</v>
      </c>
      <c r="L163" s="1" t="s">
        <v>793</v>
      </c>
      <c r="M163" s="1" t="s">
        <v>794</v>
      </c>
      <c r="N163" s="1" t="s">
        <v>795</v>
      </c>
    </row>
    <row r="164">
      <c r="A164" s="1"/>
      <c r="B164" s="1" t="s">
        <v>796</v>
      </c>
      <c r="C164" s="27">
        <v>11.192</v>
      </c>
      <c r="D164" s="27">
        <v>11.192</v>
      </c>
      <c r="E164" s="27">
        <v>7.065</v>
      </c>
      <c r="F164" s="27">
        <v>8.59</v>
      </c>
      <c r="G164" s="27">
        <v>3.121</v>
      </c>
      <c r="H164" s="9"/>
      <c r="I164" s="1"/>
      <c r="J164" s="1" t="s">
        <v>797</v>
      </c>
      <c r="K164" s="1" t="s">
        <v>797</v>
      </c>
      <c r="L164" s="1" t="s">
        <v>798</v>
      </c>
      <c r="M164" s="1" t="s">
        <v>799</v>
      </c>
      <c r="N164" s="1" t="s">
        <v>800</v>
      </c>
    </row>
    <row r="165">
      <c r="A165" s="1"/>
      <c r="B165" s="1" t="s">
        <v>801</v>
      </c>
      <c r="C165" s="27">
        <v>85.203</v>
      </c>
      <c r="D165" s="27">
        <v>85.203</v>
      </c>
      <c r="E165" s="27">
        <v>84.964</v>
      </c>
      <c r="F165" s="27">
        <v>84.427</v>
      </c>
      <c r="G165" s="27">
        <v>82.319</v>
      </c>
      <c r="H165" s="9"/>
      <c r="I165" s="1"/>
      <c r="J165" s="1" t="s">
        <v>802</v>
      </c>
      <c r="K165" s="1" t="s">
        <v>802</v>
      </c>
      <c r="L165" s="1" t="s">
        <v>803</v>
      </c>
      <c r="M165" s="1" t="s">
        <v>804</v>
      </c>
      <c r="N165" s="1" t="s">
        <v>805</v>
      </c>
    </row>
    <row r="166">
      <c r="A166" s="1"/>
      <c r="B166" s="1" t="s">
        <v>806</v>
      </c>
      <c r="C166" s="27">
        <v>70.379</v>
      </c>
      <c r="D166" s="27">
        <v>70.379</v>
      </c>
      <c r="E166" s="27">
        <v>100.851</v>
      </c>
      <c r="F166" s="27">
        <v>89.997</v>
      </c>
      <c r="G166" s="27">
        <v>74.968</v>
      </c>
      <c r="H166" s="9"/>
      <c r="I166" s="1"/>
      <c r="J166" s="1" t="s">
        <v>807</v>
      </c>
      <c r="K166" s="1" t="s">
        <v>807</v>
      </c>
      <c r="L166" s="1" t="s">
        <v>808</v>
      </c>
      <c r="M166" s="1" t="s">
        <v>809</v>
      </c>
      <c r="N166" s="1" t="s">
        <v>810</v>
      </c>
    </row>
    <row r="167">
      <c r="A167" s="1"/>
      <c r="B167" s="1" t="s">
        <v>811</v>
      </c>
      <c r="C167" s="27">
        <v>33.6</v>
      </c>
      <c r="D167" s="27">
        <v>33.6</v>
      </c>
      <c r="E167" s="27">
        <v>26.04</v>
      </c>
      <c r="F167" s="27">
        <v>28.681</v>
      </c>
      <c r="G167" s="27">
        <v>58.325</v>
      </c>
      <c r="H167" s="9"/>
      <c r="I167" s="1"/>
      <c r="J167" s="1" t="s">
        <v>812</v>
      </c>
      <c r="K167" s="1" t="s">
        <v>812</v>
      </c>
      <c r="L167" s="1" t="s">
        <v>813</v>
      </c>
      <c r="M167" s="1" t="s">
        <v>814</v>
      </c>
      <c r="N167" s="1" t="s">
        <v>815</v>
      </c>
    </row>
    <row r="168">
      <c r="A168" s="1"/>
      <c r="B168" s="1" t="s">
        <v>816</v>
      </c>
      <c r="C168" s="27">
        <v>305.963</v>
      </c>
      <c r="D168" s="27">
        <v>69.47300000000001</v>
      </c>
      <c r="E168" s="27">
        <v>78.533</v>
      </c>
      <c r="F168" s="27">
        <v>74.201</v>
      </c>
      <c r="G168" s="27">
        <v>63.587</v>
      </c>
      <c r="H168" s="9"/>
      <c r="I168" s="1"/>
      <c r="J168" s="1" t="s">
        <v>817</v>
      </c>
      <c r="K168" s="1" t="s">
        <v>818</v>
      </c>
      <c r="L168" s="1" t="s">
        <v>819</v>
      </c>
      <c r="M168" s="1" t="s">
        <v>820</v>
      </c>
      <c r="N168" s="1" t="s">
        <v>821</v>
      </c>
    </row>
    <row r="169">
      <c r="A169" s="1"/>
      <c r="B169" s="1" t="s">
        <v>822</v>
      </c>
      <c r="C169" s="27">
        <v>168.338</v>
      </c>
      <c r="D169" s="27">
        <v>42.479</v>
      </c>
      <c r="E169" s="27">
        <v>45.384</v>
      </c>
      <c r="F169" s="27">
        <v>44.518</v>
      </c>
      <c r="G169" s="27">
        <v>44.532</v>
      </c>
      <c r="H169" s="9"/>
      <c r="I169" s="1"/>
      <c r="J169" s="1" t="s">
        <v>823</v>
      </c>
      <c r="K169" s="1" t="s">
        <v>824</v>
      </c>
      <c r="L169" s="1" t="s">
        <v>825</v>
      </c>
      <c r="M169" s="1" t="s">
        <v>826</v>
      </c>
      <c r="N169" s="1" t="s">
        <v>827</v>
      </c>
    </row>
    <row r="170">
      <c r="A170" s="1"/>
      <c r="B170" s="1" t="s">
        <v>828</v>
      </c>
      <c r="C170" s="27">
        <v>274.002</v>
      </c>
      <c r="D170" s="27">
        <v>65.369</v>
      </c>
      <c r="E170" s="27">
        <v>68.154</v>
      </c>
      <c r="F170" s="27">
        <v>66.242</v>
      </c>
      <c r="G170" s="27">
        <v>58.182</v>
      </c>
      <c r="H170" s="9"/>
      <c r="I170" s="1"/>
      <c r="J170" s="1" t="s">
        <v>829</v>
      </c>
      <c r="K170" s="1" t="s">
        <v>830</v>
      </c>
      <c r="L170" s="1" t="s">
        <v>831</v>
      </c>
      <c r="M170" s="1" t="s">
        <v>832</v>
      </c>
      <c r="N170" s="1" t="s">
        <v>833</v>
      </c>
    </row>
    <row r="171">
      <c r="A171" s="1"/>
      <c r="B171" s="1" t="s">
        <v>834</v>
      </c>
      <c r="C171" s="27">
        <v>2321.748</v>
      </c>
      <c r="D171" s="27">
        <v>596.901</v>
      </c>
      <c r="E171" s="27">
        <v>607.621</v>
      </c>
      <c r="F171" s="27">
        <v>611.019</v>
      </c>
      <c r="G171" s="27">
        <v>622.918</v>
      </c>
      <c r="H171" s="9"/>
      <c r="I171" s="1"/>
      <c r="J171" s="1" t="s">
        <v>835</v>
      </c>
      <c r="K171" s="1" t="s">
        <v>835</v>
      </c>
      <c r="L171" s="1" t="s">
        <v>836</v>
      </c>
      <c r="M171" s="1" t="s">
        <v>837</v>
      </c>
      <c r="N171" s="1" t="s">
        <v>838</v>
      </c>
    </row>
    <row r="172">
      <c r="A172" s="1"/>
      <c r="B172" s="1" t="s">
        <v>839</v>
      </c>
      <c r="C172" s="27">
        <v>121.776</v>
      </c>
      <c r="D172" s="27">
        <v>121.776</v>
      </c>
      <c r="E172" s="27">
        <v>125.603</v>
      </c>
      <c r="F172" s="27">
        <v>120.46</v>
      </c>
      <c r="G172" s="27">
        <v>119.364</v>
      </c>
      <c r="H172" s="9"/>
      <c r="I172" s="1"/>
      <c r="J172" s="1" t="s">
        <v>840</v>
      </c>
      <c r="K172" s="1" t="s">
        <v>840</v>
      </c>
      <c r="L172" s="1" t="s">
        <v>841</v>
      </c>
      <c r="M172" s="1" t="s">
        <v>842</v>
      </c>
      <c r="N172" s="1" t="s">
        <v>843</v>
      </c>
    </row>
    <row r="173">
      <c r="A173" s="1"/>
      <c r="B173" s="1" t="s">
        <v>844</v>
      </c>
      <c r="C173" s="27">
        <v>475.663</v>
      </c>
      <c r="D173" s="27">
        <v>130.91</v>
      </c>
      <c r="E173" s="27">
        <v>127.634</v>
      </c>
      <c r="F173" s="27">
        <v>129.316</v>
      </c>
      <c r="G173" s="27">
        <v>144.427</v>
      </c>
      <c r="H173" s="9"/>
      <c r="I173" s="1"/>
      <c r="J173" s="1" t="s">
        <v>845</v>
      </c>
      <c r="K173" s="1" t="s">
        <v>845</v>
      </c>
      <c r="L173" s="1" t="s">
        <v>846</v>
      </c>
      <c r="M173" s="1" t="s">
        <v>847</v>
      </c>
      <c r="N173" s="1" t="s">
        <v>848</v>
      </c>
    </row>
    <row r="174">
      <c r="A174" s="1"/>
      <c r="B174" s="1" t="s">
        <v>849</v>
      </c>
      <c r="C174" s="27">
        <v>123.918</v>
      </c>
      <c r="D174" s="27">
        <v>35.335</v>
      </c>
      <c r="E174" s="27">
        <v>37.533</v>
      </c>
      <c r="F174" s="27">
        <v>28.055</v>
      </c>
      <c r="G174" s="27">
        <v>27.403</v>
      </c>
      <c r="H174" s="9"/>
      <c r="I174" s="1"/>
      <c r="J174" s="1" t="s">
        <v>850</v>
      </c>
      <c r="K174" s="1" t="s">
        <v>850</v>
      </c>
      <c r="L174" s="1" t="s">
        <v>851</v>
      </c>
      <c r="M174" s="1" t="s">
        <v>852</v>
      </c>
      <c r="N174" s="1" t="s">
        <v>853</v>
      </c>
    </row>
    <row r="175">
      <c r="A175" s="1"/>
      <c r="B175" s="1" t="s">
        <v>854</v>
      </c>
      <c r="C175" s="2">
        <f>D175</f>
        <v>237324</v>
      </c>
      <c r="D175" s="27">
        <v>237324</v>
      </c>
      <c r="E175" s="27">
        <v>239863</v>
      </c>
      <c r="F175" s="27">
        <v>241352</v>
      </c>
      <c r="G175" s="27">
        <v>247766</v>
      </c>
      <c r="H175" s="9"/>
      <c r="I175" s="1"/>
      <c r="J175" s="1"/>
      <c r="K175" s="1" t="s">
        <v>685</v>
      </c>
      <c r="L175" s="1" t="s">
        <v>855</v>
      </c>
      <c r="M175" s="1" t="s">
        <v>856</v>
      </c>
      <c r="N175" s="1" t="s">
        <v>857</v>
      </c>
    </row>
    <row r="176">
      <c r="A176" s="1"/>
      <c r="B176" s="1"/>
      <c r="C176" s="2"/>
      <c r="D176" s="2"/>
      <c r="E176" s="2"/>
      <c r="F176" s="2"/>
      <c r="G176" s="2"/>
      <c r="H176" s="9"/>
      <c r="I176" s="1"/>
      <c r="J176" s="1"/>
      <c r="K176" s="1"/>
      <c r="L176" s="1"/>
      <c r="M176" s="1"/>
      <c r="N176" s="1"/>
    </row>
    <row r="177">
      <c r="A177" s="1"/>
      <c r="B177" s="1"/>
      <c r="C177" s="2"/>
      <c r="D177" s="2"/>
      <c r="E177" s="2"/>
      <c r="F177" s="2"/>
      <c r="G177" s="2"/>
      <c r="H177" s="9"/>
      <c r="I177" s="1"/>
      <c r="J177" s="1"/>
      <c r="K177" s="1"/>
      <c r="L177" s="1"/>
      <c r="M177" s="1"/>
      <c r="N177" s="1"/>
    </row>
    <row r="178">
      <c r="A178" s="1"/>
      <c r="B178" s="1"/>
      <c r="C178" s="2"/>
      <c r="D178" s="2"/>
      <c r="E178" s="2"/>
      <c r="F178" s="2"/>
      <c r="G178" s="2"/>
      <c r="H178" s="9"/>
      <c r="I178" s="1"/>
      <c r="J178" s="1"/>
      <c r="K178" s="1"/>
      <c r="L178" s="1"/>
      <c r="M178" s="1"/>
      <c r="N178" s="1"/>
    </row>
    <row r="179">
      <c r="A179" s="1"/>
      <c r="B179" s="1"/>
      <c r="C179" s="2"/>
      <c r="D179" s="2"/>
      <c r="E179" s="2"/>
      <c r="F179" s="2"/>
      <c r="G179" s="2"/>
      <c r="H179" s="9"/>
      <c r="I179" s="1"/>
      <c r="J179" s="1"/>
      <c r="K179" s="1"/>
      <c r="L179" s="1"/>
      <c r="M179" s="1"/>
      <c r="N179" s="1"/>
    </row>
    <row r="180">
      <c r="A180" s="1"/>
      <c r="B180" s="1" t="s">
        <v>858</v>
      </c>
      <c r="C180" s="27">
        <v>843.432</v>
      </c>
      <c r="D180" s="27">
        <v>201.701</v>
      </c>
      <c r="E180" s="27">
        <v>220.094</v>
      </c>
      <c r="F180" s="27">
        <v>214.068</v>
      </c>
      <c r="G180" s="27">
        <v>211.752</v>
      </c>
      <c r="H180" s="9"/>
      <c r="I180" s="1"/>
      <c r="J180" s="1"/>
      <c r="K180" s="1"/>
      <c r="L180" s="1"/>
      <c r="M180" s="1"/>
      <c r="N180" s="1"/>
    </row>
    <row r="181">
      <c r="A181" s="1"/>
      <c r="B181" s="1" t="s">
        <v>859</v>
      </c>
      <c r="C181" s="27">
        <v>0.91</v>
      </c>
      <c r="D181" s="27">
        <v>0.91</v>
      </c>
      <c r="E181" s="27">
        <v>0.91</v>
      </c>
      <c r="F181" s="27">
        <v>0.91</v>
      </c>
      <c r="G181" s="27">
        <v>0.9</v>
      </c>
      <c r="H181" s="9"/>
      <c r="I181" s="1"/>
      <c r="J181" s="1"/>
      <c r="K181" s="1"/>
      <c r="L181" s="1"/>
      <c r="M181" s="1"/>
      <c r="N181" s="1"/>
    </row>
    <row r="182">
      <c r="A182" s="1"/>
      <c r="B182" s="1" t="s">
        <v>860</v>
      </c>
      <c r="C182" s="1"/>
      <c r="D182" s="45">
        <v>37.64587</v>
      </c>
      <c r="E182" s="45">
        <v>37.243824</v>
      </c>
      <c r="F182" s="45">
        <v>36.640727</v>
      </c>
      <c r="G182" s="45">
        <v>35.777453</v>
      </c>
      <c r="H182" s="1"/>
      <c r="I182" s="1"/>
      <c r="J182" s="1"/>
      <c r="K182" s="1"/>
      <c r="L182" s="1"/>
      <c r="M182" s="1"/>
      <c r="N182" s="1"/>
    </row>
    <row r="183">
      <c r="A183" s="1"/>
      <c r="B183" s="1" t="s">
        <v>861</v>
      </c>
      <c r="C183" s="1"/>
      <c r="D183" s="45">
        <v>-0.259721</v>
      </c>
      <c r="E183" s="45">
        <v>-0.4781</v>
      </c>
      <c r="F183" s="45">
        <v>-0.65175</v>
      </c>
      <c r="G183" s="45">
        <v>-0.92637</v>
      </c>
      <c r="H183" s="1"/>
      <c r="I183" s="1"/>
      <c r="J183" s="1"/>
      <c r="K183" s="1"/>
      <c r="L183" s="1"/>
      <c r="M183" s="1"/>
      <c r="N183" s="1"/>
    </row>
    <row r="184">
      <c r="A184" s="1"/>
      <c r="B184" s="1" t="s">
        <v>862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>
      <c r="A185" s="1"/>
      <c r="B185" s="1" t="s">
        <v>863</v>
      </c>
      <c r="C185" s="1"/>
      <c r="D185" s="45">
        <v>362.5</v>
      </c>
      <c r="E185" s="45">
        <v>367.242</v>
      </c>
      <c r="F185" s="45">
        <v>369.661</v>
      </c>
      <c r="G185" s="45">
        <v>380.501</v>
      </c>
      <c r="H185" s="1"/>
      <c r="I185" s="1"/>
      <c r="J185" s="1"/>
      <c r="K185" s="1"/>
      <c r="L185" s="1"/>
      <c r="M185" s="1"/>
      <c r="N185" s="1"/>
    </row>
    <row r="186">
      <c r="A186" s="1"/>
      <c r="B186" s="1" t="s">
        <v>864</v>
      </c>
      <c r="C186" s="1"/>
      <c r="D186" s="45">
        <v>143.1</v>
      </c>
      <c r="E186" s="45">
        <v>143.725</v>
      </c>
      <c r="F186" s="45">
        <v>143.387</v>
      </c>
      <c r="G186" s="45">
        <v>145.741</v>
      </c>
      <c r="H186" s="1"/>
      <c r="I186" s="1"/>
      <c r="J186" s="1"/>
      <c r="K186" s="1"/>
      <c r="L186" s="1"/>
      <c r="M186" s="1"/>
      <c r="N186" s="1"/>
    </row>
    <row r="187">
      <c r="A187" s="1"/>
      <c r="B187" s="1" t="s">
        <v>865</v>
      </c>
      <c r="C187" s="1"/>
      <c r="D187" s="45">
        <v>56.6</v>
      </c>
      <c r="E187" s="45">
        <v>57.7</v>
      </c>
      <c r="F187" s="45">
        <v>57.612</v>
      </c>
      <c r="G187" s="45">
        <v>59.278</v>
      </c>
      <c r="H187" s="1"/>
      <c r="I187" s="1"/>
      <c r="J187" s="1"/>
      <c r="K187" s="1"/>
      <c r="L187" s="1"/>
      <c r="M187" s="1"/>
      <c r="N187" s="1"/>
    </row>
    <row r="188">
      <c r="A188" s="1"/>
      <c r="B188" s="1" t="s">
        <v>866</v>
      </c>
      <c r="C188" s="45">
        <v>2203.056</v>
      </c>
      <c r="D188" s="45">
        <v>562.187</v>
      </c>
      <c r="E188" s="45">
        <v>568.667</v>
      </c>
      <c r="F188" s="2">
        <f>G11</f>
        <v>570.66</v>
      </c>
      <c r="G188" s="2">
        <f>G12</f>
        <v>585.52</v>
      </c>
      <c r="H188" s="1"/>
      <c r="I188" s="1"/>
      <c r="J188" s="1"/>
      <c r="K188" s="1"/>
      <c r="L188" s="1"/>
      <c r="M188" s="1"/>
      <c r="N188" s="1"/>
    </row>
    <row r="189">
      <c r="A189" s="1"/>
      <c r="B189" s="1" t="s">
        <v>867</v>
      </c>
      <c r="C189" s="45">
        <v>2300.184</v>
      </c>
      <c r="D189" s="45">
        <v>587.326</v>
      </c>
      <c r="E189" s="45">
        <v>600.029</v>
      </c>
      <c r="F189" s="45">
        <v>606.176</v>
      </c>
      <c r="G189" s="45">
        <v>622.866</v>
      </c>
      <c r="H189" s="1"/>
      <c r="I189" s="1"/>
      <c r="J189" s="1"/>
      <c r="K189" s="1"/>
      <c r="L189" s="1"/>
      <c r="M189" s="1"/>
      <c r="N189" s="1"/>
    </row>
    <row r="190">
      <c r="A190" s="1"/>
      <c r="B190" s="1" t="s">
        <v>868</v>
      </c>
      <c r="C190" s="45">
        <v>2203.056</v>
      </c>
      <c r="D190" s="45">
        <v>562.187</v>
      </c>
      <c r="E190" s="45">
        <v>566.017</v>
      </c>
      <c r="F190" s="45">
        <v>567.543</v>
      </c>
      <c r="G190" s="45">
        <v>582.224</v>
      </c>
      <c r="H190" s="1"/>
      <c r="I190" s="1"/>
      <c r="J190" s="1"/>
      <c r="K190" s="1"/>
      <c r="L190" s="1"/>
      <c r="M190" s="1"/>
      <c r="N190" s="1"/>
    </row>
    <row r="191">
      <c r="A191" s="1"/>
      <c r="B191" s="1" t="s">
        <v>869</v>
      </c>
      <c r="C191" s="45">
        <v>0.901</v>
      </c>
      <c r="D191" s="45">
        <v>1.182</v>
      </c>
      <c r="E191" s="45">
        <v>0.918</v>
      </c>
      <c r="F191" s="45">
        <v>1.451</v>
      </c>
      <c r="G191" s="45">
        <v>0.052</v>
      </c>
      <c r="H191" s="1"/>
      <c r="I191" s="1"/>
      <c r="J191" s="1"/>
      <c r="K191" s="1"/>
      <c r="L191" s="1"/>
      <c r="M191" s="1"/>
      <c r="N191" s="1"/>
    </row>
    <row r="192">
      <c r="A192" s="1"/>
      <c r="B192" s="1" t="s">
        <v>870</v>
      </c>
      <c r="C192" s="1"/>
      <c r="D192" s="1"/>
      <c r="E192" s="1"/>
      <c r="F192" s="1"/>
      <c r="G192" s="45">
        <v>0.07</v>
      </c>
      <c r="H192" s="1"/>
      <c r="I192" s="1"/>
      <c r="J192" s="1"/>
      <c r="K192" s="1"/>
      <c r="L192" s="1"/>
      <c r="M192" s="1"/>
      <c r="N192" s="1"/>
    </row>
    <row r="193">
      <c r="A193" s="1"/>
      <c r="B193" s="1" t="s">
        <v>871</v>
      </c>
      <c r="C193" s="1"/>
      <c r="D193" s="1"/>
      <c r="E193" s="1"/>
      <c r="F193" s="1"/>
      <c r="G193" s="45">
        <v>0.053</v>
      </c>
      <c r="H193" s="1"/>
      <c r="I193" s="1"/>
      <c r="J193" s="1"/>
      <c r="K193" s="1"/>
      <c r="L193" s="1"/>
      <c r="M193" s="1"/>
      <c r="N193" s="1"/>
    </row>
    <row r="194">
      <c r="A194" s="1"/>
      <c r="B194" s="1" t="s">
        <v>872</v>
      </c>
      <c r="C194" s="1"/>
      <c r="D194" s="1"/>
      <c r="E194" s="1"/>
      <c r="F194" s="1"/>
      <c r="G194" s="45">
        <v>0.105</v>
      </c>
      <c r="H194" s="1"/>
      <c r="I194" s="1"/>
      <c r="J194" s="1"/>
      <c r="K194" s="1"/>
      <c r="L194" s="1"/>
      <c r="M194" s="1"/>
      <c r="N194" s="1"/>
    </row>
    <row r="195">
      <c r="G195" s="1" t="s">
        <v>873</v>
      </c>
      <c r="H195" s="45">
        <v>9452</v>
      </c>
    </row>
    <row r="196">
      <c r="G196" s="1" t="s">
        <v>874</v>
      </c>
      <c r="H196" s="45">
        <v>250000</v>
      </c>
    </row>
    <row r="197">
      <c r="B197" s="47" t="s">
        <v>875</v>
      </c>
      <c r="D197" s="2">
        <f>G205</f>
        <v>1513.1</v>
      </c>
      <c r="G197" s="1"/>
      <c r="H197" s="1"/>
    </row>
    <row r="198">
      <c r="B198" s="47" t="s">
        <v>876</v>
      </c>
      <c r="D198" s="2">
        <f>G206</f>
        <v>581.9</v>
      </c>
      <c r="G198" s="1"/>
      <c r="H198" s="1"/>
    </row>
    <row r="199">
      <c r="B199" s="47" t="s">
        <v>877</v>
      </c>
      <c r="D199" s="2">
        <f>G207</f>
        <v>240.1</v>
      </c>
      <c r="G199" s="1"/>
      <c r="H199" s="1"/>
    </row>
    <row r="200">
      <c r="G200" s="1"/>
      <c r="H200" s="27"/>
    </row>
    <row r="205">
      <c r="B205" s="1" t="s">
        <v>878</v>
      </c>
      <c r="C205" s="1"/>
      <c r="D205" s="27">
        <v>1455.4</v>
      </c>
      <c r="E205" s="27">
        <v>1464.5</v>
      </c>
      <c r="F205" s="27">
        <v>1501.1</v>
      </c>
      <c r="G205" s="27">
        <v>1513.1</v>
      </c>
      <c r="J205" s="1" t="s">
        <v>879</v>
      </c>
    </row>
    <row r="206">
      <c r="B206" s="1" t="s">
        <v>880</v>
      </c>
      <c r="C206" s="1"/>
      <c r="D206" s="27">
        <v>569.7</v>
      </c>
      <c r="E206" s="27">
        <v>572.4</v>
      </c>
      <c r="F206" s="27">
        <v>571.3</v>
      </c>
      <c r="G206" s="27">
        <v>581.9</v>
      </c>
    </row>
    <row r="207">
      <c r="B207" s="1" t="s">
        <v>881</v>
      </c>
      <c r="C207" s="1"/>
      <c r="D207" s="27">
        <v>230.3</v>
      </c>
      <c r="E207" s="27">
        <v>229</v>
      </c>
      <c r="F207" s="27">
        <v>233.7</v>
      </c>
      <c r="G207" s="27">
        <v>240.1</v>
      </c>
    </row>
    <row r="208">
      <c r="B208" s="1" t="s">
        <v>882</v>
      </c>
      <c r="C208" s="1"/>
      <c r="D208" s="27"/>
      <c r="E208" s="27">
        <v>81.798</v>
      </c>
      <c r="F208" s="27">
        <v>73.127</v>
      </c>
      <c r="G208" s="27">
        <v>81.565</v>
      </c>
    </row>
    <row r="209">
      <c r="B209" s="1" t="s">
        <v>883</v>
      </c>
      <c r="C209" s="1"/>
      <c r="D209" s="27"/>
      <c r="E209" s="27">
        <v>69.038</v>
      </c>
      <c r="F209" s="27">
        <v>70.568</v>
      </c>
      <c r="G209" s="27">
        <v>69.027</v>
      </c>
    </row>
    <row r="210">
      <c r="B210" s="1" t="s">
        <v>884</v>
      </c>
      <c r="C210" s="1"/>
      <c r="D210" s="27"/>
      <c r="E210" s="27">
        <v>40.499</v>
      </c>
      <c r="F210" s="27">
        <v>41.797</v>
      </c>
      <c r="G210" s="27">
        <v>43.563</v>
      </c>
    </row>
  </sheetData>
</worksheet>
</file>