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over" sheetId="1" r:id="rId1"/>
    <sheet name="Revenue summary" sheetId="2" r:id="rId3"/>
    <sheet name="Segment - Regulated Industries" sheetId="3" r:id="rId4"/>
    <sheet name="Segment - Intelligent Infra" sheetId="4" r:id="rId5"/>
    <sheet name="Segment - Connected Living" sheetId="5" r:id="rId6"/>
    <sheet name="Income Statement" sheetId="6" r:id="rId7"/>
    <sheet name="Balance Sheet" sheetId="7" r:id="rId8"/>
    <sheet name="Cash Flow Statement" sheetId="8" r:id="rId9"/>
    <sheet name="Geo" sheetId="9" r:id="rId10"/>
    <sheet name="Share Count" sheetId="10" r:id="rId11"/>
    <sheet name="Guidance" sheetId="11" r:id="rId12"/>
    <sheet name="Sources" sheetId="12" r:id="rId13"/>
    <sheet name="Inputs" sheetId="13" r:id="rId14"/>
  </sheets>
  <calcPr calcId="0"/>
</workbook>
</file>

<file path=xl/sharedStrings.xml><?xml version="1.0" encoding="utf-8"?>
<sst xmlns="http://schemas.openxmlformats.org/spreadsheetml/2006/main" count="827" uniqueCount="454">
  <si>
    <t>JABIL INC.</t>
  </si>
  <si>
    <t>Cover</t>
  </si>
  <si>
    <t>$ millions, except per share</t>
  </si>
  <si>
    <t>Period</t>
  </si>
  <si>
    <t>FY25A</t>
  </si>
  <si>
    <t>4Q25A</t>
  </si>
  <si>
    <t>1Q26A</t>
  </si>
  <si>
    <t>2Q26A</t>
  </si>
  <si>
    <t>3Q26A</t>
  </si>
  <si>
    <t>4Q26E</t>
  </si>
  <si>
    <t>Period end</t>
  </si>
  <si>
    <t>Days in period</t>
  </si>
  <si>
    <t>Company Model — built by Shortcut</t>
  </si>
  <si>
    <t>Company</t>
  </si>
  <si>
    <t>Ticker / exchange</t>
  </si>
  <si>
    <t>Fiscal year end</t>
  </si>
  <si>
    <t>August 31</t>
  </si>
  <si>
    <t>Reporting currency</t>
  </si>
  <si>
    <t>USD ($m)</t>
  </si>
  <si>
    <t>EPS basis</t>
  </si>
  <si>
    <t>Issuer core (non-GAAP), diluted USD/common share</t>
  </si>
  <si>
    <t>Information cutoff (UTC)</t>
  </si>
  <si>
    <t>2026-09-26 18:44:22</t>
  </si>
  <si>
    <t>Expected results, premarket</t>
  </si>
  <si>
    <t>4Q26E METRIC</t>
  </si>
  <si>
    <t>ESTIMATE</t>
  </si>
  <si>
    <t>CAPIQ 09/24</t>
  </si>
  <si>
    <t>VS CONSENSUS</t>
  </si>
  <si>
    <t>GUIDE MID</t>
  </si>
  <si>
    <t>VS MIDPOINT</t>
  </si>
  <si>
    <t>Net revenue ($m)</t>
  </si>
  <si>
    <t>Core net earnings ($m)</t>
  </si>
  <si>
    <t>not guided</t>
  </si>
  <si>
    <t>Issuer guided core and GAAP EPS but gave no net-income range; no midpoint is inferred.</t>
  </si>
  <si>
    <t>Normalized diluted EPS ($)</t>
  </si>
  <si>
    <t>GAAP diluted EPS ($)</t>
  </si>
  <si>
    <t>GAAP net income ($m)</t>
  </si>
  <si>
    <t>P(beat consensus EPS)</t>
  </si>
  <si>
    <t>Confidence</t>
  </si>
  <si>
    <t>medium</t>
  </si>
  <si>
    <t>OVERALL CHECK RESULT</t>
  </si>
  <si>
    <t>SEGMENT GROWTH / ALLOCATION CHECK</t>
  </si>
  <si>
    <t>Pre-release evidence cutoff</t>
  </si>
  <si>
    <t>2026-09-26 18:44:22 UTC; target-quarter actuals not used.</t>
  </si>
  <si>
    <t>Revenue summary</t>
  </si>
  <si>
    <t>SEGMENT SALES &amp; MIX</t>
  </si>
  <si>
    <t>Regulated Industries</t>
  </si>
  <si>
    <t xml:space="preserve">    Y/Y growth</t>
  </si>
  <si>
    <t xml:space="preserve">    Q/Q growth</t>
  </si>
  <si>
    <t xml:space="preserve">    % of total</t>
  </si>
  <si>
    <t>Intelligent Infrastructure</t>
  </si>
  <si>
    <t>Connected Living &amp; Digital Commerce</t>
  </si>
  <si>
    <t>TOTAL REVENUE</t>
  </si>
  <si>
    <t>SEGMENT REVENUE CHECK = 0</t>
  </si>
  <si>
    <t>Net revenue from US / foreign split</t>
  </si>
  <si>
    <t>GEOGRAPHY RECONCILIATION = 0</t>
  </si>
  <si>
    <t>Segment - Regulated Industries</t>
  </si>
  <si>
    <t>REVENUE RECOGNITION</t>
  </si>
  <si>
    <t>Point-in-time revenue</t>
  </si>
  <si>
    <t xml:space="preserve">    Y/Y change</t>
  </si>
  <si>
    <t xml:space="preserve">    Sequential change</t>
  </si>
  <si>
    <t>Over-time revenue</t>
  </si>
  <si>
    <t>SEGMENT NET REVENUE</t>
  </si>
  <si>
    <t xml:space="preserve">    Organic proxy (if forecast FX/scope = 0; actual not disclosed)</t>
  </si>
  <si>
    <t>Organic/FX/scope are not separately disclosed; H17 is conditional on explicit zero forecast impacts.</t>
  </si>
  <si>
    <t xml:space="preserve">    Forecast M&amp;A/scope assumption; actual unavailable</t>
  </si>
  <si>
    <t xml:space="preserve">    Forecast FX assumption; actual unavailable</t>
  </si>
  <si>
    <t xml:space="preserve">    Total Y/Y growth</t>
  </si>
  <si>
    <t xml:space="preserve">    Sequential growth</t>
  </si>
  <si>
    <t xml:space="preserve">    Point-in-time mix</t>
  </si>
  <si>
    <t>Segment expenses</t>
  </si>
  <si>
    <t>SEGMENT INCOME (CORE)</t>
  </si>
  <si>
    <t xml:space="preserve">    Segment income margin</t>
  </si>
  <si>
    <t xml:space="preserve">    Change in margin (bps)</t>
  </si>
  <si>
    <t xml:space="preserve">    Segment expenses Y/Y change</t>
  </si>
  <si>
    <t xml:space="preserve">    Segment expenses sequential change</t>
  </si>
  <si>
    <t xml:space="preserve">    Segment expense / revenue</t>
  </si>
  <si>
    <t xml:space="preserve">    Segment expense ratio change (bps)</t>
  </si>
  <si>
    <t xml:space="preserve">    Point-in-time: organic proxy (actual not disclosed)</t>
  </si>
  <si>
    <t xml:space="preserve">    Point-in-time: scope impact, assumption only</t>
  </si>
  <si>
    <t xml:space="preserve">    Point-in-time: FX impact, assumption only</t>
  </si>
  <si>
    <t xml:space="preserve">    Point-in-time: total Y/Y</t>
  </si>
  <si>
    <t>9M FY25 segment expenses</t>
  </si>
  <si>
    <t>FY25 nine-month sourced data → Q4 bridge</t>
  </si>
  <si>
    <t>Nine-month point-in-time revenue</t>
  </si>
  <si>
    <t>Nine-month over-time revenue</t>
  </si>
  <si>
    <t xml:space="preserve">    Over-time: organic proxy (actual not disclosed)</t>
  </si>
  <si>
    <t xml:space="preserve">    Over-time: scope impact, assumption only</t>
  </si>
  <si>
    <t xml:space="preserve">    Over-time: FX impact, assumption only</t>
  </si>
  <si>
    <t xml:space="preserve">    Over-time: total Y/Y</t>
  </si>
  <si>
    <t>Prior-year comps (from FY25 10-K, FY26 quarterly 10-Q)</t>
  </si>
  <si>
    <t>Prior-year point-in-time revenue</t>
  </si>
  <si>
    <t>Prior-year over-time revenue</t>
  </si>
  <si>
    <t>Prior-year total revenue</t>
  </si>
  <si>
    <t>FY25 Q3 point-in-time for Q4 sequential</t>
  </si>
  <si>
    <t>FY25 Q3 over-time for Q4 sequential</t>
  </si>
  <si>
    <t>Prior-year segment expenses (actual)</t>
  </si>
  <si>
    <t>END-MARKET FORECAST / SOURCE AVAILABILITY</t>
  </si>
  <si>
    <t>Quarterly end-market dollar actuals, FX and scope by market are not separately disclosed; growth is unavailable rather than fabricated.</t>
  </si>
  <si>
    <t>Automotive &amp; transportation</t>
  </si>
  <si>
    <t xml:space="preserve">    Y/Y — quarterly dollars unavailable</t>
  </si>
  <si>
    <t>unavailable</t>
  </si>
  <si>
    <t xml:space="preserve">    Sequential — quarterly dollars unavailable</t>
  </si>
  <si>
    <t xml:space="preserve">    Organic — market growth unavailable</t>
  </si>
  <si>
    <t xml:space="preserve">    M&amp;A / scope — unavailable</t>
  </si>
  <si>
    <t xml:space="preserve">    FX impact — unavailable</t>
  </si>
  <si>
    <t xml:space="preserve">    Total Y/Y — quarterly dollars unavailable</t>
  </si>
  <si>
    <t xml:space="preserve">    Mix of segment revenue</t>
  </si>
  <si>
    <t>Healthcare &amp; packaging</t>
  </si>
  <si>
    <t>Renewables &amp; energy infrastructure</t>
  </si>
  <si>
    <t>Total forecast by end-market allocation</t>
  </si>
  <si>
    <t>END-MARKET ALLOCATION CHECK = 0</t>
  </si>
  <si>
    <t>Segment - Intelligent Infra</t>
  </si>
  <si>
    <t>Cloud &amp; data center infrastructure</t>
  </si>
  <si>
    <t>Networking &amp; communications</t>
  </si>
  <si>
    <t>Capital equipment</t>
  </si>
  <si>
    <t>Segment - Connected Living</t>
  </si>
  <si>
    <t>Connected living</t>
  </si>
  <si>
    <t>Digital commerce</t>
  </si>
  <si>
    <t>Income Statement</t>
  </si>
  <si>
    <t>REVENUE &amp; GAAP INCOME</t>
  </si>
  <si>
    <t>Net revenue</t>
  </si>
  <si>
    <t xml:space="preserve">    Revenue growth Y/Y</t>
  </si>
  <si>
    <t>Cost of revenue</t>
  </si>
  <si>
    <t>GROSS PROFIT</t>
  </si>
  <si>
    <t xml:space="preserve">    Gross margin</t>
  </si>
  <si>
    <t xml:space="preserve">    Gross margin change (bps)</t>
  </si>
  <si>
    <t>Selling, general &amp; administrative</t>
  </si>
  <si>
    <t>Research and development</t>
  </si>
  <si>
    <t>Amortization of intangibles</t>
  </si>
  <si>
    <t>Restructuring / severance</t>
  </si>
  <si>
    <t>Loss (gain) from divestitures</t>
  </si>
  <si>
    <t>Acquisition / divestiture charges</t>
  </si>
  <si>
    <t>GAAP OPERATING INCOME</t>
  </si>
  <si>
    <t xml:space="preserve">    GAAP operating margin</t>
  </si>
  <si>
    <t xml:space="preserve">    Margin change (bps)</t>
  </si>
  <si>
    <t>Loss on securities</t>
  </si>
  <si>
    <t>Other expense</t>
  </si>
  <si>
    <t>Net interest expense</t>
  </si>
  <si>
    <t>Income before taxes</t>
  </si>
  <si>
    <t>Income tax expense</t>
  </si>
  <si>
    <t xml:space="preserve">    Effective GAAP tax rate</t>
  </si>
  <si>
    <t>Consolidated net income</t>
  </si>
  <si>
    <t>Noncontrolling income (loss)</t>
  </si>
  <si>
    <t>Basic weighted shares (m)</t>
  </si>
  <si>
    <t>GAAP basic EPS</t>
  </si>
  <si>
    <t>Diluted weighted shares (m)</t>
  </si>
  <si>
    <t>GAAP DILUTED EPS</t>
  </si>
  <si>
    <t>GAAP NET INCOME ATTRIBUTABLE</t>
  </si>
  <si>
    <t>CORE / NORMALIZED RECONCILIATION</t>
  </si>
  <si>
    <t>Add: amortization of intangibles</t>
  </si>
  <si>
    <t>Add: stock-based compensation</t>
  </si>
  <si>
    <t>Add: restructuring / severance</t>
  </si>
  <si>
    <t>Add: divestiture losses (net)</t>
  </si>
  <si>
    <t>Add: acquisition related charges</t>
  </si>
  <si>
    <t>Add: periodic benefit cost (net)</t>
  </si>
  <si>
    <t>Add: business interruption / impairment</t>
  </si>
  <si>
    <t>Add: loss on securities</t>
  </si>
  <si>
    <t>Tax and other normalization</t>
  </si>
  <si>
    <t>CORE NET EARNINGS ATTRIBUTABLE</t>
  </si>
  <si>
    <t>NORMALIZED DILUTED EPS (issuer core)</t>
  </si>
  <si>
    <t xml:space="preserve">    Issuer EPS vs rounded bridge; forecast vs consensus</t>
  </si>
  <si>
    <t xml:space="preserve">    Forecast GAAP EPS arithmetic check = 0</t>
  </si>
  <si>
    <t>CORE OPERATING INCOME</t>
  </si>
  <si>
    <t xml:space="preserve">    Core operating margin</t>
  </si>
  <si>
    <t xml:space="preserve">    Core margin change (bps)</t>
  </si>
  <si>
    <t>CORE-TO-GAAP OPERATING BRIDGE CHECK = 0</t>
  </si>
  <si>
    <t>GROSS PROFIT − REVENUE + COST = 0</t>
  </si>
  <si>
    <t>Balance Sheet</t>
  </si>
  <si>
    <t>ASSETS</t>
  </si>
  <si>
    <t>Cash and cash equivalents</t>
  </si>
  <si>
    <t>Trade receivables</t>
  </si>
  <si>
    <t>Contract assets</t>
  </si>
  <si>
    <t>Inventories</t>
  </si>
  <si>
    <t>Other current assets</t>
  </si>
  <si>
    <t>CURRENT ASSETS</t>
  </si>
  <si>
    <t>Property, plant &amp; equipment</t>
  </si>
  <si>
    <t>Operating lease right-of-use assets</t>
  </si>
  <si>
    <t>Goodwill</t>
  </si>
  <si>
    <t>Intangible assets, net</t>
  </si>
  <si>
    <t>Deferred income tax assets</t>
  </si>
  <si>
    <t>Other noncurrent assets</t>
  </si>
  <si>
    <t>TOTAL ASSETS</t>
  </si>
  <si>
    <t>LIABILITIES</t>
  </si>
  <si>
    <t>Current debt</t>
  </si>
  <si>
    <t>Accounts payable</t>
  </si>
  <si>
    <t>Accrued expenses / forecast balancing working capital</t>
  </si>
  <si>
    <t>Current operating leases</t>
  </si>
  <si>
    <t>CURRENT LIABILITIES</t>
  </si>
  <si>
    <t>Long-term debt</t>
  </si>
  <si>
    <t>Other liabilities</t>
  </si>
  <si>
    <t>Noncurrent operating leases</t>
  </si>
  <si>
    <t>Income tax liabilities</t>
  </si>
  <si>
    <t>Deferred income tax liabilities</t>
  </si>
  <si>
    <t>TOTAL LIABILITIES</t>
  </si>
  <si>
    <t>EQUITY</t>
  </si>
  <si>
    <t>Additional paid-in capital</t>
  </si>
  <si>
    <t>Retained earnings</t>
  </si>
  <si>
    <t>Accumulated other comprehensive loss</t>
  </si>
  <si>
    <t>Treasury stock, at cost</t>
  </si>
  <si>
    <t>Noncontrolling interests</t>
  </si>
  <si>
    <t>TOTAL EQUITY</t>
  </si>
  <si>
    <t>TOTAL LIABILITIES + EQUITY</t>
  </si>
  <si>
    <t>ASSETS − LIABILITIES − EQUITY = 0</t>
  </si>
  <si>
    <t>Cash Flow Statement</t>
  </si>
  <si>
    <t>OPERATING ACTIVITIES</t>
  </si>
  <si>
    <t>Consolidated GAAP net income</t>
  </si>
  <si>
    <t>Depreciation / amortization / other noncash</t>
  </si>
  <si>
    <t>Other operating assets &amp; liabilities</t>
  </si>
  <si>
    <t>CASH FROM OPERATIONS</t>
  </si>
  <si>
    <t>Purchase of PP&amp;E</t>
  </si>
  <si>
    <t>Proceeds from sale of PP&amp;E</t>
  </si>
  <si>
    <t>Acquisitions / divestitures, net</t>
  </si>
  <si>
    <t>Other investing cash flows</t>
  </si>
  <si>
    <t>CASH FROM INVESTING</t>
  </si>
  <si>
    <t>Debt proceeds</t>
  </si>
  <si>
    <t>Debt repayments</t>
  </si>
  <si>
    <t>Share repurchases</t>
  </si>
  <si>
    <t>Dividends paid</t>
  </si>
  <si>
    <t>Employee equity issuance proceeds</t>
  </si>
  <si>
    <t>Share-withholding tax payments</t>
  </si>
  <si>
    <t>Other financing cash flows</t>
  </si>
  <si>
    <t>CASH FROM FINANCING</t>
  </si>
  <si>
    <t>Foreign-exchange cash effects</t>
  </si>
  <si>
    <t>CHANGE IN CASH</t>
  </si>
  <si>
    <t>Opening cash</t>
  </si>
  <si>
    <t>Closing cash</t>
  </si>
  <si>
    <t>Balance Sheet cash less opening cash</t>
  </si>
  <si>
    <t>CASH CHANGE TIES TO BALANCE SHEET = 0</t>
  </si>
  <si>
    <t>Adjusted free cash flow</t>
  </si>
  <si>
    <t>ENDING CASH (LINK TO BALANCE SHEET)</t>
  </si>
  <si>
    <t>Geo</t>
  </si>
  <si>
    <t>REVENUE BY CUSTOMER-CONTRACT LOCATION</t>
  </si>
  <si>
    <t>Mexico (FY25 country disclosure)</t>
  </si>
  <si>
    <t>China (FY25 country disclosure)</t>
  </si>
  <si>
    <t>Malaysia (FY25 country disclosure)</t>
  </si>
  <si>
    <t>Other foreign countries (FY25 only)</t>
  </si>
  <si>
    <t>TOTAL FOREIGN REVENUE</t>
  </si>
  <si>
    <t>United States</t>
  </si>
  <si>
    <t xml:space="preserve">    Foreign-source mix</t>
  </si>
  <si>
    <t>REVENUE / REVENUE SUMMARY CHECK = 0</t>
  </si>
  <si>
    <t>Quarterly individual-country data: unavailable in reviewed 10-Qs</t>
  </si>
  <si>
    <t>Quarterly foreign % from consolidated SEC 10-Q footnote</t>
  </si>
  <si>
    <t>Q4 FY25 = FY25 foreign less disclosed 9M ratio × 9M revenue</t>
  </si>
  <si>
    <t>Q4 FY25 implied amounts approximate (9M foreign ratio rounded)</t>
  </si>
  <si>
    <t>Share Count</t>
  </si>
  <si>
    <t>SHARE COUNT &amp; CAPITAL RETURNS</t>
  </si>
  <si>
    <t>Basic weighted shares (reported)</t>
  </si>
  <si>
    <t>Diluted weighted shares (reported)</t>
  </si>
  <si>
    <t>Share repurchases ($m, cash outflow)</t>
  </si>
  <si>
    <t>Employee share issuance proceeds ($m)</t>
  </si>
  <si>
    <t>Opening common shares outstanding (m)</t>
  </si>
  <si>
    <t>Shares repurchased (m)</t>
  </si>
  <si>
    <t>New employee shares issued (m)</t>
  </si>
  <si>
    <t>FORECAST BASIC WEIGHTED SHARES</t>
  </si>
  <si>
    <t>FORECAST DILUTED WEIGHTED SHARES</t>
  </si>
  <si>
    <t>Closing common shares outstanding (m)</t>
  </si>
  <si>
    <t>Incremental dilutive stock awards (m)</t>
  </si>
  <si>
    <t>Forecast buyback price proxy ($/share)</t>
  </si>
  <si>
    <t>Shares used for forecast EPS</t>
  </si>
  <si>
    <t>Guidance</t>
  </si>
  <si>
    <t>Guidance date</t>
  </si>
  <si>
    <t>Metric</t>
  </si>
  <si>
    <t>Low</t>
  </si>
  <si>
    <t>High</t>
  </si>
  <si>
    <t>Midpoint</t>
  </si>
  <si>
    <t>Actual (if released)</t>
  </si>
  <si>
    <t>Beat / miss</t>
  </si>
  <si>
    <t>Est. vs midpoint</t>
  </si>
  <si>
    <t>Revenue</t>
  </si>
  <si>
    <t>GAAP operating income</t>
  </si>
  <si>
    <t>GAAP diluted EPS</t>
  </si>
  <si>
    <t>Amortization adjustment</t>
  </si>
  <si>
    <t>Restructuring adjustment</t>
  </si>
  <si>
    <t>Stock-compensation adjustment</t>
  </si>
  <si>
    <t>Core operating income</t>
  </si>
  <si>
    <t>Core diluted EPS</t>
  </si>
  <si>
    <t>FY26E</t>
  </si>
  <si>
    <t>Core EPS</t>
  </si>
  <si>
    <t>Core operating margin</t>
  </si>
  <si>
    <t>Adjusted FCF (floor only)</t>
  </si>
  <si>
    <t>Sources</t>
  </si>
  <si>
    <t>Sources as available before 2026-09-26 18:44:22 UTC; consensus captured 2026-09-24 (date only)</t>
  </si>
  <si>
    <t>ID</t>
  </si>
  <si>
    <t>Publication date</t>
  </si>
  <si>
    <t>Publisher</t>
  </si>
  <si>
    <t>URL or attached file</t>
  </si>
  <si>
    <t>Feeds / disclosure status</t>
  </si>
  <si>
    <t>S01</t>
  </si>
  <si>
    <t>S&amp;P Capital IQ</t>
  </si>
  <si>
    <t>JBL_consensus.json</t>
  </si>
  <si>
    <t>Inputs!B10:C58; eight normalized EPS estimates; no target-price fields</t>
  </si>
  <si>
    <t>S02</t>
  </si>
  <si>
    <t>JBL_history.csv</t>
  </si>
  <si>
    <t>Inputs!B59:I65; historical EPS/revenue actuals and prior consensus</t>
  </si>
  <si>
    <t>S03</t>
  </si>
  <si>
    <t>Jabil / SEC</t>
  </si>
  <si>
    <t>https://www.sec.gov/Archives/edgar/data/898293/000162828025045293/jbl-20250831.htm</t>
  </si>
  <si>
    <t>FY25 GAAP statement; fiscal year-end; reportable segments</t>
  </si>
  <si>
    <t>S04</t>
  </si>
  <si>
    <t>https://www.sec.gov/Archives/edgar/data/898293/000162828025045293/R48.htm</t>
  </si>
  <si>
    <t>FY25 segment recognition, segment expenses and geographic country sales</t>
  </si>
  <si>
    <t>S05</t>
  </si>
  <si>
    <t>Jabil</t>
  </si>
  <si>
    <t>https://investors.jabil.com/news/news-details/2025/Jabil-Posts-Fourth-Quarter-and-Fiscal-Year-2025-Results/</t>
  </si>
  <si>
    <t>Q425 and FY25 income, CFO/CFI/CFF, GAAP/core bridge</t>
  </si>
  <si>
    <t>S06</t>
  </si>
  <si>
    <t>https://www.sec.gov/Archives/edgar/data/898293/000162828026001450/jbl-20251130.htm</t>
  </si>
  <si>
    <t>Q126 BS, IS, CF, segment and foreign source %</t>
  </si>
  <si>
    <t>S07</t>
  </si>
  <si>
    <t>https://www.sec.gov/Archives/edgar/data/898293/000162828026024148/jbl-20260228.htm</t>
  </si>
  <si>
    <t>Q226 BS, IS, CF, segment and foreign source %</t>
  </si>
  <si>
    <t>S08</t>
  </si>
  <si>
    <t>https://www.sec.gov/Archives/edgar/data/898293/000162828026046138/jbl-20260531.htm</t>
  </si>
  <si>
    <t>Q326 BS, IS, CF, nine-month FY25 comps, end-market trends</t>
  </si>
  <si>
    <t>S09</t>
  </si>
  <si>
    <t>https://www.sec.gov/Archives/edgar/data/898293/000162828026043719/jbl-20260617ex991.htm</t>
  </si>
  <si>
    <t>Q426 issuer 9.2–10.0b guide, bridge, FY26 guidance</t>
  </si>
  <si>
    <t>S10</t>
  </si>
  <si>
    <t>Jabil / transcript</t>
  </si>
  <si>
    <t>https://stockanalysis.com/stocks/jbl/transcripts/609377-q3-2026/</t>
  </si>
  <si>
    <t>Guided Q426 segment split, $80m net interest, ~21% core tax</t>
  </si>
  <si>
    <t>S11</t>
  </si>
  <si>
    <t>https://investors.jabil.com/news/news-details/2025/Jabil-Posts-First-Quarter-Results/</t>
  </si>
  <si>
    <t>Q226 guidance, Q126 non-GAAP bridge</t>
  </si>
  <si>
    <t>S12</t>
  </si>
  <si>
    <t>https://investors.jabil.com/news/news-details/2026/Jabil-Posts-Second-Quarter-Results/default.aspx</t>
  </si>
  <si>
    <t>Q326 guidance, Q226 non-GAAP bridge</t>
  </si>
  <si>
    <t>S13</t>
  </si>
  <si>
    <t>Celestica / GlobeNewswire</t>
  </si>
  <si>
    <t>https://www.barchart.com/story/news/3487085/celestica-announces-second-quarter-2026-financial-results</t>
  </si>
  <si>
    <t>Peer cloud-infrastructure demand and increased forward forecast</t>
  </si>
  <si>
    <t>S14</t>
  </si>
  <si>
    <t>AlphaStreet</t>
  </si>
  <si>
    <t>https://news.alphastreet.com/jabil-jbl-q4-2026-preview-eps-est-4-07-reports-september-30/amp/</t>
  </si>
  <si>
    <t>Pre-release consensus corroboration; avoid erroneous legacy EMS/DMS labels</t>
  </si>
  <si>
    <t>Attached consensus SHA256</t>
  </si>
  <si>
    <t>02182a81b4b2f3a6fd42ecb8fdbfa087569ca48155c4ade97e63f5922c5ebefe</t>
  </si>
  <si>
    <t>Attached history SHA256</t>
  </si>
  <si>
    <t>0604add66df9efe7bd6bb9efc79091e539b53b1240c5aecfb0f9621ef40c9482</t>
  </si>
  <si>
    <t>Disclosure note 1</t>
  </si>
  <si>
    <t>Quarterly individual-country revenue is unavailable: checked FY26 Q1/Q2/Q3 SEC 10-Q; FY25 SEC 10-K country totals only.</t>
  </si>
  <si>
    <t>Disclosure note 2</t>
  </si>
  <si>
    <t>Individual quarterly end-market dollars and unit/price ladder unavailable: reviewed FY25 SEC 10-K and FY26 Q1–Q3 SEC 10-Q.</t>
  </si>
  <si>
    <t>Disclosure note 3</t>
  </si>
  <si>
    <t>No Dates / Consensus / Checks tabs: dates on headers, consensus on Cover, assertions in artifacts/checks.md.</t>
  </si>
  <si>
    <t>Disclosure note 4</t>
  </si>
  <si>
    <t>Excel limits worksheet names to 31 characters; official full segment names appear on Revenue summary.</t>
  </si>
  <si>
    <t>Disclosure note 5</t>
  </si>
  <si>
    <t>NYSE:JBL common shares and USD reporting verified in SEC FY25 10-K and FY26 Q3 10-Q.</t>
  </si>
  <si>
    <t>Disclosure note 6</t>
  </si>
  <si>
    <t>FY25 Q4 geo split inferred using rounded 9-month foreign mix; not a separately published quarterly geography amount.</t>
  </si>
  <si>
    <t>Inputs</t>
  </si>
  <si>
    <t>CAPITAL IQ: captured 2026-09-24 (date only; not 2026-09-26)</t>
  </si>
  <si>
    <t>JBL_consensus.json SHA256 02182a81b4b2f3a6fd42ecb8fdbfa087569ca48155c4ade97e63f5922c5ebefe</t>
  </si>
  <si>
    <t>S&amp;P CAPITAL IQ — SUMMARY ROW</t>
  </si>
  <si>
    <t>Value</t>
  </si>
  <si>
    <t>ticker</t>
  </si>
  <si>
    <t>JBL</t>
  </si>
  <si>
    <t>company</t>
  </si>
  <si>
    <t>Jabil Inc.</t>
  </si>
  <si>
    <t>exchange_ticker</t>
  </si>
  <si>
    <t>NYSE:JBL</t>
  </si>
  <si>
    <t>capiq_company_id</t>
  </si>
  <si>
    <t>analyst_count</t>
  </si>
  <si>
    <t>fiscal_year_end</t>
  </si>
  <si>
    <t>Aug-31</t>
  </si>
  <si>
    <t>forward_quarter_label</t>
  </si>
  <si>
    <t>FQ4 2026 - Aug 2026</t>
  </si>
  <si>
    <t>period_end_date</t>
  </si>
  <si>
    <t>expected_report_date</t>
  </si>
  <si>
    <t>eps_normalized_mean</t>
  </si>
  <si>
    <t>eps_normalized_median</t>
  </si>
  <si>
    <t>eps_normalized_high</t>
  </si>
  <si>
    <t>eps_normalized_low</t>
  </si>
  <si>
    <t>eps_normalized_std_dev</t>
  </si>
  <si>
    <t>eps_normalized_n_est</t>
  </si>
  <si>
    <t>eps_normalized_guidance</t>
  </si>
  <si>
    <t>eps_normalized_guidance_low</t>
  </si>
  <si>
    <t>eps_normalized_guidance_high</t>
  </si>
  <si>
    <t>eps_gaap_mean</t>
  </si>
  <si>
    <t>eps_gaap_median</t>
  </si>
  <si>
    <t>eps_gaap_high</t>
  </si>
  <si>
    <t>eps_gaap_low</t>
  </si>
  <si>
    <t>eps_gaap_std_dev</t>
  </si>
  <si>
    <t>eps_gaap_n_est</t>
  </si>
  <si>
    <t>eps_gaap_guidance_low</t>
  </si>
  <si>
    <t>eps_gaap_guidance_high</t>
  </si>
  <si>
    <t>revenue_m_mean</t>
  </si>
  <si>
    <t>revenue_m_median</t>
  </si>
  <si>
    <t>revenue_m_high</t>
  </si>
  <si>
    <t>revenue_m_low</t>
  </si>
  <si>
    <t>revenue_m_std_dev</t>
  </si>
  <si>
    <t>revenue_m_n_est</t>
  </si>
  <si>
    <t>revenue_m_guidance_low</t>
  </si>
  <si>
    <t>revenue_m_guidance_high</t>
  </si>
  <si>
    <t>ebitda_m_mean</t>
  </si>
  <si>
    <t>ebit_m_mean</t>
  </si>
  <si>
    <t>net_income_excl_excep_m_mean</t>
  </si>
  <si>
    <t>net_income_gaap_m_mean</t>
  </si>
  <si>
    <t>gross_margin_pct_mean</t>
  </si>
  <si>
    <t>effective_tax_rate_pct_mean</t>
  </si>
  <si>
    <t>capex_m_mean</t>
  </si>
  <si>
    <t>fcf_m_mean</t>
  </si>
  <si>
    <t>cfo_m_mean</t>
  </si>
  <si>
    <t>d_and_a_m_mean</t>
  </si>
  <si>
    <t>recommendation</t>
  </si>
  <si>
    <t>Buy</t>
  </si>
  <si>
    <t>recommendation_score</t>
  </si>
  <si>
    <t>last_close_price</t>
  </si>
  <si>
    <t>notes</t>
  </si>
  <si>
    <t>Results before open Sep 30. 52wk range 428.93/189.60.</t>
  </si>
  <si>
    <t>eps_normalized_consensus</t>
  </si>
  <si>
    <t>eps_normalized_actual</t>
  </si>
  <si>
    <t>eps_gaap_consensus</t>
  </si>
  <si>
    <t>eps_gaap_actual</t>
  </si>
  <si>
    <t>revenue_m_consensus</t>
  </si>
  <si>
    <t>revenue_m_actual</t>
  </si>
  <si>
    <t>report_date</t>
  </si>
  <si>
    <t>JBL_history.csv SHA256 0604add66df9efe7bd6bb9efc79091e539b53b1240c5aecfb0f9621ef40c9482</t>
  </si>
  <si>
    <t>Summary captured 2026-09-24 (date only)</t>
  </si>
  <si>
    <t>History observations: rows 60:65; normalized contributor count: C25</t>
  </si>
  <si>
    <t>FORECAST ASSUMPTIONS (not reported)</t>
  </si>
  <si>
    <t>USD millions unless noted</t>
  </si>
  <si>
    <t>Normalized core tax rate</t>
  </si>
  <si>
    <t>Forecast operating cash flow ($m)</t>
  </si>
  <si>
    <t>Forecast change in receivables</t>
  </si>
  <si>
    <t>Forecast change in contract assets</t>
  </si>
  <si>
    <t>Forecast change in inventory</t>
  </si>
  <si>
    <t>Forecast change in other current assets</t>
  </si>
  <si>
    <t>Forecast change in PP&amp;E net of depreciation</t>
  </si>
  <si>
    <t>Forecast change in accounts payable</t>
  </si>
  <si>
    <t>Forecast GAAP gross margin</t>
  </si>
  <si>
    <t>Forecast R&amp;D expense</t>
  </si>
  <si>
    <t>Forecast other expense</t>
  </si>
  <si>
    <t>Forecast net interest expense</t>
  </si>
  <si>
    <t>Forecast diluted incremental awards (m)</t>
  </si>
  <si>
    <t>Forecast CF noncash addbacks</t>
  </si>
  <si>
    <t>Forecast capital expenditures</t>
  </si>
  <si>
    <t>Forecast PP&amp;E disposal cash</t>
  </si>
  <si>
    <t>Forecast debt proceeds</t>
  </si>
  <si>
    <t>Forecast debt repayments</t>
  </si>
  <si>
    <t>Forecast buyback cash</t>
  </si>
  <si>
    <t>Forecast dividends</t>
  </si>
  <si>
    <t>Forecast employee proceeds</t>
  </si>
  <si>
    <t>Forecast foreign revenue share</t>
  </si>
  <si>
    <t>Undisclosed scope/FX analytical proxy (zero does not assert absence)</t>
  </si>
  <si>
    <t>CAPITAL IQ FULL RAW SUMMARY: ARCHIVED PRICE FIELDS, NOT USED</t>
  </si>
  <si>
    <t>target_price_mean</t>
  </si>
  <si>
    <t>target_price_median</t>
  </si>
  <si>
    <t>target_price_high</t>
  </si>
  <si>
    <t>target_price_low</t>
  </si>
  <si>
    <t>target_price_std_dev</t>
  </si>
  <si>
    <t>target_price_n_est</t>
  </si>
</sst>
</file>

<file path=xl/styles.xml><?xml version="1.0" encoding="utf-8"?>
<styleSheet xmlns="http://schemas.openxmlformats.org/spreadsheetml/2006/main">
  <numFmts count="6">
    <numFmt numFmtId="164" formatCode="#,##0.0_);(#,##0.0);–_)"/>
    <numFmt numFmtId="165" formatCode="$0.00"/>
    <numFmt numFmtId="166" formatCode="d-mmm-yyyy"/>
    <numFmt numFmtId="167" formatCode="yyyy-mm-dd"/>
    <numFmt numFmtId="168" formatCode="0.0%"/>
    <numFmt numFmtId="169" formatCode="0.0%_);(0.0%);–_)"/>
  </numFmts>
  <fonts count="10">
    <font>
      <sz val="11"/>
      <name val="Calibri"/>
    </font>
    <font>
      <b val="0"/>
      <i val="0"/>
      <strike val="0"/>
      <sz val="11"/>
      <color rgb="FF000000"/>
      <name val="Aptos Narrow"/>
    </font>
    <font>
      <b/>
      <i val="0"/>
      <strike val="0"/>
      <sz val="11"/>
      <color rgb="FF000000"/>
      <name val="Aptos Narrow"/>
    </font>
    <font>
      <b val="0"/>
      <i val="0"/>
      <strike val="0"/>
      <sz val="11"/>
      <color rgb="FF006100"/>
      <name val="Aptos Narrow"/>
    </font>
    <font>
      <b/>
      <i val="0"/>
      <strike val="0"/>
      <sz val="11"/>
      <color rgb="FF006100"/>
      <name val="Aptos Narrow"/>
    </font>
    <font>
      <b val="0"/>
      <i val="0"/>
      <strike val="0"/>
      <sz val="11"/>
      <color rgb="FF0000FF"/>
      <name val="Aptos Narrow"/>
    </font>
    <font>
      <b/>
      <i val="0"/>
      <strike val="0"/>
      <sz val="11"/>
      <color rgb="FF0000FF"/>
      <name val="Aptos Narrow"/>
    </font>
    <font>
      <b val="0"/>
      <i/>
      <strike val="0"/>
      <sz val="11"/>
      <color rgb="FF000000"/>
      <name val="Aptos Narrow"/>
    </font>
    <font>
      <b val="0"/>
      <i/>
      <strike val="0"/>
      <sz val="11"/>
      <color rgb="FF006100"/>
      <name val="Aptos Narrow"/>
    </font>
    <font>
      <b val="0"/>
      <i/>
      <strike val="0"/>
      <sz val="11"/>
      <color rgb="FF0000FF"/>
      <name val="Aptos Narrow"/>
    </font>
  </fonts>
  <fills count="5">
    <fill>
      <patternFill patternType="none"/>
    </fill>
    <fill>
      <patternFill patternType="gray125"/>
    </fill>
    <fill>
      <patternFill patternType="solid">
        <fgColor rgb="FFE9EDF2"/>
      </patternFill>
    </fill>
    <fill>
      <patternFill patternType="solid">
        <fgColor rgb="FFEAF3FC"/>
      </patternFill>
    </fill>
    <fill>
      <patternFill patternType="solid">
        <fgColor rgb="FFF1F7FE"/>
      </patternFill>
    </fill>
  </fills>
  <borders count="4">
    <border>
      <left/>
      <right/>
      <top/>
      <bottom/>
      <diagonal/>
    </border>
    <border>
      <top style="thin">
        <color rgb="FFA5AFBA"/>
      </top>
      <bottom style="thin">
        <color rgb="FFA5AFBA"/>
      </bottom>
    </border>
    <border>
      <top style="thin">
        <color rgb="FFA5AFBA"/>
      </top>
    </border>
    <border>
      <top style="thin">
        <color rgb="FF9CA3AF"/>
      </top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 applyFill="1" applyAlignment="1" applyProtection="1">
      <alignment horizontal="general" vertical="bottom"/>
      <protection locked="1" hidden="0"/>
    </xf>
    <xf numFmtId="0" fontId="2" fillId="0" borderId="0" xfId="0" applyFont="1" applyFill="1" applyAlignment="1" applyProtection="1">
      <alignment horizontal="general" vertical="bottom"/>
      <protection locked="1" hidden="0"/>
    </xf>
    <xf numFmtId="164" fontId="3" fillId="0" borderId="0" xfId="0" applyNumberFormat="1" applyFont="1" applyFill="1" applyAlignment="1" applyProtection="1">
      <alignment horizontal="general" vertical="bottom"/>
      <protection locked="1" hidden="0"/>
    </xf>
    <xf numFmtId="0" fontId="2" fillId="2" borderId="1" xfId="0" applyFont="1" applyFill="1" applyBorder="1" applyAlignment="1" applyProtection="1">
      <alignment horizontal="general" vertical="bottom"/>
      <protection locked="1" hidden="0"/>
    </xf>
    <xf numFmtId="165" fontId="1" fillId="0" borderId="0" xfId="0" applyNumberFormat="1" applyFont="1" applyFill="1" applyAlignment="1" applyProtection="1">
      <alignment horizontal="general" vertical="bottom"/>
      <protection locked="1" hidden="0"/>
    </xf>
    <xf numFmtId="164" fontId="1" fillId="0" borderId="0" xfId="0" applyNumberFormat="1" applyFont="1" applyFill="1" applyAlignment="1" applyProtection="1">
      <alignment horizontal="general" vertical="bottom"/>
      <protection locked="1" hidden="0"/>
    </xf>
    <xf numFmtId="0" fontId="2" fillId="0" borderId="2" xfId="0" applyFont="1" applyFill="1" applyBorder="1" applyAlignment="1" applyProtection="1">
      <alignment horizontal="general" vertical="bottom"/>
      <protection locked="1" hidden="0"/>
    </xf>
    <xf numFmtId="0" fontId="1" fillId="0" borderId="0" xfId="0" applyFont="1" applyFill="1" applyAlignment="1" applyProtection="1">
      <alignment horizontal="general" vertical="bottom" wrapText="1"/>
      <protection locked="1" hidden="0"/>
    </xf>
    <xf numFmtId="165" fontId="3" fillId="0" borderId="0" xfId="0" applyNumberFormat="1" applyFont="1" applyFill="1" applyAlignment="1" applyProtection="1">
      <alignment horizontal="general" vertical="bottom"/>
      <protection locked="1" hidden="0"/>
    </xf>
    <xf numFmtId="166" fontId="1" fillId="0" borderId="0" xfId="0" applyNumberFormat="1" applyFont="1" applyFill="1" applyAlignment="1" applyProtection="1">
      <alignment horizontal="general" vertical="bottom"/>
      <protection locked="1" hidden="0"/>
    </xf>
    <xf numFmtId="167" fontId="2" fillId="2" borderId="1" xfId="0" applyNumberFormat="1" applyFont="1" applyFill="1" applyBorder="1" applyAlignment="1" applyProtection="1">
      <alignment horizontal="general" vertical="bottom"/>
      <protection locked="1" hidden="0"/>
    </xf>
    <xf numFmtId="0" fontId="3" fillId="0" borderId="0" xfId="0" applyFont="1" applyFill="1" applyAlignment="1" applyProtection="1">
      <alignment horizontal="general" vertical="bottom"/>
      <protection locked="1" hidden="0"/>
    </xf>
    <xf numFmtId="0" fontId="4" fillId="0" borderId="2" xfId="0" applyFont="1" applyFill="1" applyBorder="1" applyAlignment="1" applyProtection="1">
      <alignment horizontal="general" vertical="bottom"/>
      <protection locked="1" hidden="0"/>
    </xf>
    <xf numFmtId="164" fontId="5" fillId="0" borderId="0" xfId="0" applyNumberFormat="1" applyFont="1" applyFill="1" applyAlignment="1" applyProtection="1">
      <alignment horizontal="general" vertical="bottom"/>
      <protection locked="1" hidden="0"/>
    </xf>
    <xf numFmtId="167" fontId="5" fillId="0" borderId="0" xfId="0" applyNumberFormat="1" applyFont="1" applyFill="1" applyAlignment="1" applyProtection="1">
      <alignment horizontal="general" vertical="bottom"/>
      <protection locked="1" hidden="0"/>
    </xf>
    <xf numFmtId="165" fontId="5" fillId="0" borderId="0" xfId="0" applyNumberFormat="1" applyFont="1" applyFill="1" applyAlignment="1" applyProtection="1">
      <alignment horizontal="general" vertical="bottom"/>
      <protection locked="1" hidden="0"/>
    </xf>
    <xf numFmtId="168" fontId="1" fillId="0" borderId="0" xfId="0" applyNumberFormat="1" applyFont="1" applyFill="1" applyAlignment="1" applyProtection="1">
      <alignment horizontal="general" vertical="bottom"/>
      <protection locked="1" hidden="0"/>
    </xf>
    <xf numFmtId="0" fontId="2" fillId="3" borderId="1" xfId="0" applyFont="1" applyFill="1" applyBorder="1" applyAlignment="1" applyProtection="1">
      <alignment horizontal="general" vertical="bottom"/>
      <protection locked="1" hidden="0"/>
    </xf>
    <xf numFmtId="164" fontId="2" fillId="0" borderId="2" xfId="0" applyNumberFormat="1" applyFont="1" applyFill="1" applyBorder="1" applyAlignment="1" applyProtection="1">
      <alignment horizontal="general" vertical="bottom"/>
      <protection locked="1" hidden="0"/>
    </xf>
    <xf numFmtId="164" fontId="3" fillId="4" borderId="0" xfId="0" applyNumberFormat="1" applyFont="1" applyFill="1" applyAlignment="1" applyProtection="1">
      <alignment horizontal="general" vertical="bottom"/>
      <protection locked="1" hidden="0"/>
    </xf>
    <xf numFmtId="164" fontId="2" fillId="4" borderId="2" xfId="0" applyNumberFormat="1" applyFont="1" applyFill="1" applyBorder="1" applyAlignment="1" applyProtection="1">
      <alignment horizontal="general" vertical="bottom"/>
      <protection locked="1" hidden="0"/>
    </xf>
    <xf numFmtId="164" fontId="1" fillId="4" borderId="0" xfId="0" applyNumberFormat="1" applyFont="1" applyFill="1" applyAlignment="1" applyProtection="1">
      <alignment horizontal="general" vertical="bottom"/>
      <protection locked="1" hidden="0"/>
    </xf>
    <xf numFmtId="164" fontId="4" fillId="4" borderId="2" xfId="0" applyNumberFormat="1" applyFont="1" applyFill="1" applyBorder="1" applyAlignment="1" applyProtection="1">
      <alignment horizontal="general" vertical="bottom"/>
      <protection locked="1" hidden="0"/>
    </xf>
    <xf numFmtId="0" fontId="6" fillId="2" borderId="1" xfId="0" applyFont="1" applyFill="1" applyBorder="1" applyAlignment="1" applyProtection="1">
      <alignment horizontal="general" vertical="bottom"/>
      <protection locked="1" hidden="0"/>
    </xf>
    <xf numFmtId="169" fontId="7" fillId="0" borderId="0" xfId="0" applyNumberFormat="1" applyFont="1" applyFill="1" applyAlignment="1" applyProtection="1">
      <alignment horizontal="general" vertical="bottom"/>
      <protection locked="1" hidden="0"/>
    </xf>
    <xf numFmtId="164" fontId="4" fillId="0" borderId="2" xfId="0" applyNumberFormat="1" applyFont="1" applyFill="1" applyBorder="1" applyAlignment="1" applyProtection="1">
      <alignment horizontal="general" vertical="bottom"/>
      <protection locked="1" hidden="0"/>
    </xf>
    <xf numFmtId="167" fontId="6" fillId="3" borderId="1" xfId="0" applyNumberFormat="1" applyFont="1" applyFill="1" applyBorder="1" applyAlignment="1" applyProtection="1">
      <alignment horizontal="general" vertical="bottom"/>
      <protection locked="1" hidden="0"/>
    </xf>
    <xf numFmtId="167" fontId="6" fillId="2" borderId="1" xfId="0" applyNumberFormat="1" applyFont="1" applyFill="1" applyBorder="1" applyAlignment="1" applyProtection="1">
      <alignment horizontal="general" vertical="bottom"/>
      <protection locked="1" hidden="0"/>
    </xf>
    <xf numFmtId="167" fontId="2" fillId="3" borderId="1" xfId="0" applyNumberFormat="1" applyFont="1" applyFill="1" applyBorder="1" applyAlignment="1" applyProtection="1">
      <alignment horizontal="general" vertical="bottom"/>
      <protection locked="1" hidden="0"/>
    </xf>
    <xf numFmtId="168" fontId="5" fillId="0" borderId="0" xfId="0" applyNumberFormat="1" applyFont="1" applyFill="1" applyAlignment="1" applyProtection="1">
      <alignment horizontal="general" vertical="bottom"/>
      <protection locked="1" hidden="0"/>
    </xf>
    <xf numFmtId="0" fontId="2" fillId="4" borderId="2" xfId="0" applyFont="1" applyFill="1" applyBorder="1" applyAlignment="1" applyProtection="1">
      <alignment horizontal="general" vertical="bottom"/>
      <protection locked="1" hidden="0"/>
    </xf>
    <xf numFmtId="164" fontId="6" fillId="0" borderId="2" xfId="0" applyNumberFormat="1" applyFont="1" applyFill="1" applyBorder="1" applyAlignment="1" applyProtection="1">
      <alignment horizontal="general" vertical="bottom"/>
      <protection locked="1" hidden="0"/>
    </xf>
    <xf numFmtId="164" fontId="5" fillId="4" borderId="0" xfId="0" applyNumberFormat="1" applyFont="1" applyFill="1" applyAlignment="1" applyProtection="1">
      <alignment horizontal="general" vertical="bottom"/>
      <protection locked="1" hidden="0"/>
    </xf>
    <xf numFmtId="169" fontId="7" fillId="4" borderId="0" xfId="0" applyNumberFormat="1" applyFont="1" applyFill="1" applyAlignment="1" applyProtection="1">
      <alignment horizontal="general" vertical="bottom"/>
      <protection locked="1" hidden="0"/>
    </xf>
    <xf numFmtId="165" fontId="4" fillId="0" borderId="2" xfId="0" applyNumberFormat="1" applyFont="1" applyFill="1" applyBorder="1" applyAlignment="1" applyProtection="1">
      <alignment horizontal="general" vertical="bottom"/>
      <protection locked="1" hidden="0"/>
    </xf>
    <xf numFmtId="169" fontId="8" fillId="4" borderId="0" xfId="0" applyNumberFormat="1" applyFont="1" applyFill="1" applyAlignment="1" applyProtection="1">
      <alignment horizontal="general" vertical="bottom"/>
      <protection locked="1" hidden="0"/>
    </xf>
    <xf numFmtId="165" fontId="2" fillId="0" borderId="2" xfId="0" applyNumberFormat="1" applyFont="1" applyFill="1" applyBorder="1" applyAlignment="1" applyProtection="1">
      <alignment horizontal="general" vertical="bottom"/>
      <protection locked="1" hidden="0"/>
    </xf>
    <xf numFmtId="169" fontId="8" fillId="0" borderId="0" xfId="0" applyNumberFormat="1" applyFont="1" applyFill="1" applyAlignment="1" applyProtection="1">
      <alignment horizontal="general" vertical="bottom"/>
      <protection locked="1" hidden="0"/>
    </xf>
    <xf numFmtId="0" fontId="2" fillId="0" borderId="2" xfId="0" applyFont="1" applyFill="1" applyBorder="1" applyAlignment="1" applyProtection="1">
      <alignment horizontal="general" vertical="bottom" wrapText="1"/>
      <protection locked="1" hidden="0"/>
    </xf>
    <xf numFmtId="164" fontId="2" fillId="4" borderId="3" xfId="0" applyNumberFormat="1" applyFont="1" applyFill="1" applyBorder="1" applyAlignment="1" applyProtection="1">
      <alignment horizontal="general" vertical="bottom"/>
      <protection locked="1" hidden="0"/>
    </xf>
    <xf numFmtId="0" fontId="2" fillId="0" borderId="3" xfId="0" applyFont="1" applyFill="1" applyBorder="1" applyAlignment="1" applyProtection="1">
      <alignment horizontal="general" vertical="bottom"/>
      <protection locked="1" hidden="0"/>
    </xf>
    <xf numFmtId="0" fontId="5" fillId="0" borderId="0" xfId="0" applyFont="1" applyFill="1" applyAlignment="1" applyProtection="1">
      <alignment horizontal="general" vertical="bottom"/>
      <protection locked="1" hidden="0"/>
    </xf>
    <xf numFmtId="0" fontId="5" fillId="0" borderId="0" xfId="0" applyFont="1" applyFill="1" applyAlignment="1" applyProtection="1">
      <alignment horizontal="general" vertical="bottom" wrapText="1"/>
      <protection locked="1" hidden="0"/>
    </xf>
    <xf numFmtId="164" fontId="2" fillId="0" borderId="3" xfId="0" applyNumberFormat="1" applyFont="1" applyFill="1" applyBorder="1" applyAlignment="1" applyProtection="1">
      <alignment horizontal="general" vertical="bottom"/>
      <protection locked="1" hidden="0"/>
    </xf>
    <xf numFmtId="0" fontId="6" fillId="3" borderId="1" xfId="0" applyFont="1" applyFill="1" applyBorder="1" applyAlignment="1" applyProtection="1">
      <alignment horizontal="general" vertical="bottom"/>
      <protection locked="1" hidden="0"/>
    </xf>
    <xf numFmtId="167" fontId="3" fillId="0" borderId="0" xfId="0" applyNumberFormat="1" applyFont="1" applyFill="1" applyAlignment="1" applyProtection="1">
      <alignment horizontal="general" vertical="bottom"/>
      <protection locked="1" hidden="0"/>
    </xf>
    <xf numFmtId="0" fontId="2" fillId="4" borderId="3" xfId="0" applyFont="1" applyFill="1" applyBorder="1" applyAlignment="1" applyProtection="1">
      <alignment horizontal="general" vertical="bottom"/>
      <protection locked="1" hidden="0"/>
    </xf>
    <xf numFmtId="165" fontId="6" fillId="0" borderId="2" xfId="0" applyNumberFormat="1" applyFont="1" applyFill="1" applyBorder="1" applyAlignment="1" applyProtection="1">
      <alignment horizontal="general" vertical="bottom"/>
      <protection locked="1" hidden="0"/>
    </xf>
    <xf numFmtId="165" fontId="2" fillId="4" borderId="2" xfId="0" applyNumberFormat="1" applyFont="1" applyFill="1" applyBorder="1" applyAlignment="1" applyProtection="1">
      <alignment horizontal="general" vertical="bottom"/>
      <protection locked="1" hidden="0"/>
    </xf>
    <xf numFmtId="165" fontId="3" fillId="4" borderId="0" xfId="0" applyNumberFormat="1" applyFont="1" applyFill="1" applyAlignment="1" applyProtection="1">
      <alignment horizontal="general" vertical="bottom"/>
      <protection locked="1" hidden="0"/>
    </xf>
    <xf numFmtId="165" fontId="1" fillId="4" borderId="0" xfId="0" applyNumberFormat="1" applyFont="1" applyFill="1" applyAlignment="1" applyProtection="1">
      <alignment horizontal="general" vertical="bottom"/>
      <protection locked="1" hidden="0"/>
    </xf>
    <xf numFmtId="169" fontId="9" fillId="4" borderId="0" xfId="0" applyNumberFormat="1" applyFont="1" applyFill="1" applyAlignment="1" applyProtection="1">
      <alignment horizontal="general" vertical="bottom"/>
      <protection locked="1" hidden="0"/>
    </xf>
    <xf numFmtId="169" fontId="9" fillId="0" borderId="0" xfId="0" applyNumberFormat="1" applyFont="1" applyFill="1" applyAlignment="1" applyProtection="1">
      <alignment horizontal="general" vertical="bottom"/>
      <protection locked="1" hidden="0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worksheet" Target="worksheets/sheet13.xml"/><Relationship Id="rId15" Type="http://schemas.openxmlformats.org/officeDocument/2006/relationships/theme" Target="theme/theme1.xml"/><Relationship Id="rId16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1</xdr:col>
      <xdr:colOff>0</xdr:colOff>
      <xdr:row>1</xdr:row>
      <xdr:rowOff>0</xdr:rowOff>
    </xdr:from>
    <xdr:ext cx="571500" cy="571500"/>
    <xdr:pic>
      <xdr:nvPicPr>
        <xdr:cNvPr id="2" name="Shortcut logo"/>
        <xdr:cNvPicPr>
          <a:picLocks noChangeAspect="1"/>
        </xdr:cNvPicPr>
      </xdr:nvPicPr>
      <xdr:blipFill>
        <a:blip r:embed="rId1"/>
      </xdr:blipFill>
      <xdr:spPr>
        <a:xfrm>
          <a:off x="0" y="0"/>
          <a:ext cx="571500" cy="5715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Malgun Gothic"/>
        <a:font script="Hans" typeface="DengXian Light"/>
        <a:font script="Hant" typeface="Microsoft JhengHei Light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</a:majorFont>
      <a:minorFont>
        <a:latin typeface="Calibri" panose="020F0502020204030204"/>
        <a:ea typeface=""/>
        <a:cs typeface=""/>
        <a:font script="Jpan" typeface="Yu Gothic"/>
        <a:font script="Hang" typeface="Malgun Gothic"/>
        <a:font script="Hans" typeface="DengXian"/>
        <a:font script="Hant" typeface="Microsoft JhengHei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>
          <a:solidFill>
            <a:schemeClr val="phClr"/>
          </a:solidFill>
        </a:ln>
        <a:ln w="12700">
          <a:solidFill>
            <a:schemeClr val="phClr"/>
          </a:solidFill>
        </a:ln>
        <a:ln w="19050"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J31"/>
  <sheetViews>
    <sheetView showGridLines="0" workbookViewId="0">
      <pane xSplit="2" ySplit="8" topLeftCell="C9" activePane="bottomRight" state="frozen"/>
    </sheetView>
  </sheetViews>
  <sheetFormatPr defaultRowHeight="15"/>
  <cols>
    <col min="2" max="2" width="34" customWidth="1"/>
    <col min="3" max="8" width="14" customWidth="1"/>
    <col min="10" max="10" width="53" customWidth="1"/>
  </cols>
  <sheetData>
    <row r="2">
      <c r="B2" s="2"/>
      <c r="C2" s="2"/>
      <c r="D2" s="2" t="s">
        <v>0</v>
      </c>
      <c r="E2" s="2"/>
      <c r="F2" s="2"/>
      <c r="G2" s="2"/>
      <c r="H2" s="2"/>
      <c r="I2" s="1"/>
      <c r="J2" s="1"/>
    </row>
    <row r="3">
      <c r="B3" s="2" t="s">
        <v>1</v>
      </c>
      <c r="C3" s="2"/>
      <c r="D3" s="2"/>
      <c r="E3" s="2"/>
      <c r="F3" s="2"/>
      <c r="G3" s="2"/>
      <c r="H3" s="2"/>
      <c r="I3" s="1"/>
      <c r="J3" s="1"/>
    </row>
    <row r="4">
      <c r="B4" s="1" t="s">
        <v>2</v>
      </c>
      <c r="C4" s="1"/>
      <c r="D4" s="1"/>
      <c r="E4" s="1"/>
      <c r="F4" s="1"/>
      <c r="G4" s="1"/>
      <c r="H4" s="1"/>
      <c r="I4" s="1"/>
      <c r="J4" s="1"/>
    </row>
    <row r="5">
      <c r="B5" s="4" t="s">
        <v>3</v>
      </c>
      <c r="C5" s="4" t="s">
        <v>4</v>
      </c>
      <c r="D5" s="4" t="s">
        <v>5</v>
      </c>
      <c r="E5" s="4" t="s">
        <v>6</v>
      </c>
      <c r="F5" s="4" t="s">
        <v>7</v>
      </c>
      <c r="G5" s="4" t="s">
        <v>8</v>
      </c>
      <c r="H5" s="18" t="s">
        <v>9</v>
      </c>
      <c r="I5" s="1"/>
      <c r="J5" s="1"/>
    </row>
    <row r="6">
      <c r="B6" s="4" t="s">
        <v>10</v>
      </c>
      <c r="C6" s="11">
        <v>45900</v>
      </c>
      <c r="D6" s="11">
        <v>45900</v>
      </c>
      <c r="E6" s="11">
        <v>45991</v>
      </c>
      <c r="F6" s="11">
        <v>46081</v>
      </c>
      <c r="G6" s="11">
        <v>46173</v>
      </c>
      <c r="H6" s="29">
        <v>46265</v>
      </c>
      <c r="I6" s="1"/>
      <c r="J6" s="1"/>
    </row>
    <row r="7">
      <c r="B7" s="4" t="s">
        <v>11</v>
      </c>
      <c r="C7" s="4">
        <v>365</v>
      </c>
      <c r="D7" s="4">
        <v>92</v>
      </c>
      <c r="E7" s="4">
        <v>91</v>
      </c>
      <c r="F7" s="4">
        <v>90</v>
      </c>
      <c r="G7" s="4">
        <v>92</v>
      </c>
      <c r="H7" s="18">
        <v>92</v>
      </c>
      <c r="I7" s="1"/>
      <c r="J7" s="1"/>
    </row>
    <row r="8">
      <c r="B8" s="1"/>
      <c r="C8" s="1"/>
      <c r="D8" s="1"/>
      <c r="E8" s="1"/>
      <c r="F8" s="1"/>
      <c r="G8" s="1"/>
      <c r="H8" s="1"/>
      <c r="I8" s="1"/>
      <c r="J8" s="1"/>
    </row>
    <row r="9">
      <c r="B9" s="2" t="s">
        <v>12</v>
      </c>
      <c r="C9" s="2"/>
      <c r="D9" s="2"/>
      <c r="E9" s="2"/>
      <c r="F9" s="2"/>
      <c r="G9" s="2"/>
      <c r="H9" s="1"/>
      <c r="I9" s="1"/>
      <c r="J9" s="1"/>
    </row>
    <row r="10">
      <c r="B10" s="1" t="s">
        <v>13</v>
      </c>
      <c r="C10" s="12" t="str">
        <f>Inputs!C12</f>
        <v>Jabil Inc.</v>
      </c>
      <c r="D10" s="1"/>
      <c r="E10" s="1"/>
      <c r="F10" s="1"/>
      <c r="G10" s="1"/>
      <c r="H10" s="1"/>
      <c r="I10" s="1"/>
      <c r="J10" s="1"/>
    </row>
    <row r="11">
      <c r="B11" s="1" t="s">
        <v>14</v>
      </c>
      <c r="C11" s="12" t="str">
        <f>Inputs!C13</f>
        <v>NYSE:JBL</v>
      </c>
      <c r="D11" s="1"/>
      <c r="E11" s="1"/>
      <c r="F11" s="1"/>
      <c r="G11" s="1"/>
      <c r="H11" s="1"/>
      <c r="I11" s="1"/>
      <c r="J11" s="1"/>
    </row>
    <row r="12">
      <c r="B12" s="1" t="s">
        <v>15</v>
      </c>
      <c r="C12" s="10" t="s">
        <v>16</v>
      </c>
      <c r="D12" s="1"/>
      <c r="E12" s="1"/>
      <c r="F12" s="1"/>
      <c r="G12" s="1"/>
      <c r="H12" s="1"/>
      <c r="I12" s="1"/>
      <c r="J12" s="1"/>
    </row>
    <row r="13">
      <c r="B13" s="1" t="s">
        <v>17</v>
      </c>
      <c r="C13" s="1" t="s">
        <v>18</v>
      </c>
      <c r="D13" s="1"/>
      <c r="E13" s="1"/>
      <c r="F13" s="1"/>
      <c r="G13" s="1"/>
      <c r="H13" s="1"/>
      <c r="I13" s="1"/>
      <c r="J13" s="1"/>
    </row>
    <row r="14">
      <c r="B14" s="1" t="s">
        <v>19</v>
      </c>
      <c r="C14" s="1" t="s">
        <v>20</v>
      </c>
      <c r="D14" s="1"/>
      <c r="E14" s="1"/>
      <c r="F14" s="1"/>
      <c r="G14" s="1"/>
      <c r="H14" s="1"/>
      <c r="I14" s="1"/>
      <c r="J14" s="1"/>
    </row>
    <row r="15">
      <c r="B15" s="1" t="s">
        <v>21</v>
      </c>
      <c r="C15" s="1" t="s">
        <v>22</v>
      </c>
      <c r="D15" s="1"/>
      <c r="E15" s="1"/>
      <c r="F15" s="1"/>
      <c r="G15" s="1"/>
      <c r="H15" s="1"/>
      <c r="I15" s="1"/>
      <c r="J15" s="1"/>
    </row>
    <row r="16">
      <c r="B16" s="1" t="s">
        <v>23</v>
      </c>
      <c r="C16" s="46">
        <f>Inputs!C19</f>
        <v>46295</v>
      </c>
      <c r="D16" s="1"/>
      <c r="E16" s="1"/>
      <c r="F16" s="1"/>
      <c r="G16" s="1"/>
      <c r="H16" s="1"/>
      <c r="I16" s="1"/>
      <c r="J16" s="1"/>
    </row>
    <row r="17">
      <c r="B17" s="1"/>
      <c r="C17" s="1"/>
      <c r="D17" s="1"/>
      <c r="E17" s="1"/>
      <c r="F17" s="1"/>
      <c r="G17" s="1"/>
      <c r="H17" s="1"/>
      <c r="I17" s="1"/>
      <c r="J17" s="1"/>
    </row>
    <row r="18">
      <c r="B18" s="4" t="s">
        <v>24</v>
      </c>
      <c r="C18" s="4" t="s">
        <v>25</v>
      </c>
      <c r="D18" s="4" t="s">
        <v>26</v>
      </c>
      <c r="E18" s="4" t="s">
        <v>27</v>
      </c>
      <c r="F18" s="4" t="s">
        <v>28</v>
      </c>
      <c r="G18" s="4" t="s">
        <v>29</v>
      </c>
      <c r="H18" s="1"/>
      <c r="I18" s="1"/>
      <c r="J18" s="1"/>
    </row>
    <row r="19">
      <c r="B19" s="1" t="s">
        <v>30</v>
      </c>
      <c r="C19" s="3">
        <f>'Revenue summary'!H29</f>
        <v>9800</v>
      </c>
      <c r="D19" s="3">
        <f>Inputs!C37</f>
        <v>9707.71</v>
      </c>
      <c r="E19" s="6">
        <f>C19-D19</f>
        <v>92.29000000000087</v>
      </c>
      <c r="F19" s="3">
        <f>Guidance!G10</f>
        <v>9600</v>
      </c>
      <c r="G19" s="6">
        <f>C19-F19</f>
        <v>200</v>
      </c>
      <c r="H19" s="1"/>
      <c r="I19" s="1"/>
      <c r="J19" s="1"/>
    </row>
    <row r="20" ht="30">
      <c r="B20" s="1" t="s">
        <v>31</v>
      </c>
      <c r="C20" s="3">
        <f>'Income Statement'!H49</f>
        <v>434.49842</v>
      </c>
      <c r="D20" s="3">
        <f>Inputs!C47</f>
        <v>430</v>
      </c>
      <c r="E20" s="6">
        <f>C20-D20</f>
        <v>4.49842000000001</v>
      </c>
      <c r="F20" s="6" t="s">
        <v>32</v>
      </c>
      <c r="G20" s="6"/>
      <c r="H20" s="1"/>
      <c r="I20" s="1"/>
      <c r="J20" s="8" t="s">
        <v>33</v>
      </c>
    </row>
    <row r="21">
      <c r="B21" s="1" t="s">
        <v>34</v>
      </c>
      <c r="C21" s="9">
        <f>'Income Statement'!H50</f>
        <v>4.135811447566916</v>
      </c>
      <c r="D21" s="9">
        <f>Inputs!C20</f>
        <v>4.07</v>
      </c>
      <c r="E21" s="5">
        <f>C21-D21</f>
        <v>0.06581144756691604</v>
      </c>
      <c r="F21" s="9">
        <f>Guidance!G17</f>
        <v>4</v>
      </c>
      <c r="G21" s="5">
        <f>C21-F21</f>
        <v>0.13581144756691632</v>
      </c>
      <c r="H21" s="1"/>
      <c r="I21" s="1"/>
      <c r="J21" s="8"/>
    </row>
    <row r="22">
      <c r="B22" s="1" t="s">
        <v>35</v>
      </c>
      <c r="C22" s="9">
        <f>'Income Statement'!H36</f>
        <v>3.536140403431207</v>
      </c>
      <c r="D22" s="9">
        <f>Inputs!C29</f>
        <v>3.53</v>
      </c>
      <c r="E22" s="5">
        <f>C22-D22</f>
        <v>0.006140403431207364</v>
      </c>
      <c r="F22" s="9">
        <f>Guidance!G12</f>
        <v>3.4400000000000004</v>
      </c>
      <c r="G22" s="5">
        <f>C22-F22</f>
        <v>0.09614040343120678</v>
      </c>
      <c r="H22" s="1"/>
      <c r="I22" s="1"/>
      <c r="J22" s="8"/>
    </row>
    <row r="23">
      <c r="B23" s="1" t="s">
        <v>36</v>
      </c>
      <c r="C23" s="3">
        <f>'Income Statement'!H38</f>
        <v>371.49842</v>
      </c>
      <c r="D23" s="3">
        <f>Inputs!C48</f>
        <v>373.34</v>
      </c>
      <c r="E23" s="6">
        <f>C23-D23</f>
        <v>-1.841579999999965</v>
      </c>
      <c r="F23" s="6" t="s">
        <v>32</v>
      </c>
      <c r="G23" s="6"/>
      <c r="H23" s="1"/>
      <c r="I23" s="1"/>
      <c r="J23" s="8"/>
    </row>
    <row r="24">
      <c r="B24" s="1" t="s">
        <v>37</v>
      </c>
      <c r="C24" s="30">
        <v>0.62</v>
      </c>
      <c r="D24" s="1"/>
      <c r="E24" s="1"/>
      <c r="F24" s="1"/>
      <c r="G24" s="1"/>
      <c r="H24" s="1"/>
      <c r="I24" s="1"/>
      <c r="J24" s="8"/>
    </row>
    <row r="25">
      <c r="B25" s="1" t="s">
        <v>38</v>
      </c>
      <c r="C25" s="1" t="s">
        <v>39</v>
      </c>
      <c r="D25" s="1"/>
      <c r="E25" s="1"/>
      <c r="F25" s="1"/>
      <c r="G25" s="1"/>
      <c r="H25" s="1"/>
      <c r="I25" s="1"/>
      <c r="J25" s="8"/>
    </row>
    <row r="26">
      <c r="B26" s="1"/>
      <c r="C26" s="1"/>
      <c r="D26" s="1"/>
      <c r="E26" s="1"/>
      <c r="F26" s="1"/>
      <c r="G26" s="1"/>
      <c r="H26" s="1"/>
      <c r="I26" s="1"/>
      <c r="J26" s="8"/>
    </row>
    <row r="27">
      <c r="B27" s="7" t="s">
        <v>40</v>
      </c>
      <c r="C27" s="13" t="str">
        <f>IF(AND('Revenue summary'!H32=0,'Revenue summary'!H35=0,'Balance Sheet'!H43=0,'Cash Flow Statement'!H32=0,Geo!H18=0,'Income Statement'!H52=0,'Income Statement'!H56=0,'Income Statement'!H57=0,C28="PASS",C19='Income Statement'!H10,C20='Income Statement'!H49,C21='Income Statement'!H50),"PASS","FAIL")</f>
        <v>PASS</v>
      </c>
      <c r="D27" s="7"/>
      <c r="E27" s="7"/>
      <c r="F27" s="7"/>
      <c r="G27" s="7"/>
      <c r="H27" s="1"/>
      <c r="I27" s="1"/>
      <c r="J27" s="8"/>
    </row>
    <row r="28">
      <c r="B28" s="7" t="s">
        <v>41</v>
      </c>
      <c r="C28" s="13" t="str">
        <f>IF(AND(ISNUMBER('Segment - Regulated Industries'!H20),'Segment - Regulated Industries'!H89=0,'Segment - Regulated Industries'!H17='Segment - Regulated Industries'!H20,ISNUMBER('Segment - Intelligent Infra'!H20),'Segment - Intelligent Infra'!H89=0,'Segment - Intelligent Infra'!H17='Segment - Intelligent Infra'!H20,ISNUMBER('Segment - Connected Living'!H20),'Segment - Connected Living'!H89=0,'Segment - Connected Living'!H17='Segment - Connected Living'!H20),"PASS","FAIL")</f>
        <v>PASS</v>
      </c>
      <c r="D28" s="1"/>
      <c r="E28" s="1"/>
      <c r="F28" s="1"/>
      <c r="G28" s="1"/>
      <c r="H28" s="1"/>
      <c r="I28" s="1"/>
      <c r="J28" s="8"/>
    </row>
    <row r="29" ht="24">
      <c r="B29" s="1" t="s">
        <v>42</v>
      </c>
      <c r="C29" s="1"/>
      <c r="D29" s="1"/>
      <c r="E29" s="1"/>
      <c r="F29" s="1"/>
      <c r="G29" s="1"/>
      <c r="H29" s="1"/>
      <c r="I29" s="1"/>
      <c r="J29" s="8" t="s">
        <v>43</v>
      </c>
    </row>
    <row r="30">
      <c r="B30" s="1"/>
      <c r="C30" s="1"/>
      <c r="D30" s="1"/>
      <c r="E30" s="1"/>
      <c r="F30" s="1"/>
      <c r="G30" s="1"/>
      <c r="H30" s="1"/>
      <c r="I30" s="1"/>
      <c r="J30" s="1"/>
    </row>
    <row r="31">
      <c r="B31" s="1"/>
      <c r="C31" s="1"/>
      <c r="D31" s="1"/>
      <c r="E31" s="1"/>
      <c r="F31" s="1"/>
      <c r="G31" s="1"/>
      <c r="H31" s="1"/>
      <c r="I31" s="1"/>
      <c r="J31" s="1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J55"/>
  <sheetViews>
    <sheetView showGridLines="0" workbookViewId="0">
      <pane xSplit="2" ySplit="8" topLeftCell="C9" activePane="bottomRight" state="frozen"/>
    </sheetView>
  </sheetViews>
  <sheetFormatPr defaultColWidth="8.42578125" defaultRowHeight="15"/>
  <cols>
    <col min="2" max="2" width="34" customWidth="1"/>
    <col min="3" max="8" width="13" customWidth="1"/>
  </cols>
  <sheetData>
    <row r="2">
      <c r="B2" s="2" t="s">
        <v>0</v>
      </c>
      <c r="C2" s="2"/>
      <c r="D2" s="2"/>
      <c r="E2" s="2"/>
      <c r="F2" s="2"/>
      <c r="G2" s="2"/>
      <c r="H2" s="2"/>
      <c r="I2" s="1"/>
      <c r="J2" s="1"/>
    </row>
    <row r="3">
      <c r="B3" s="2" t="s">
        <v>44</v>
      </c>
      <c r="C3" s="2"/>
      <c r="D3" s="2"/>
      <c r="E3" s="2"/>
      <c r="F3" s="2"/>
      <c r="G3" s="2"/>
      <c r="H3" s="2"/>
      <c r="I3" s="1"/>
      <c r="J3" s="1"/>
    </row>
    <row r="4">
      <c r="B4" s="1" t="s">
        <v>2</v>
      </c>
      <c r="C4" s="1"/>
      <c r="D4" s="1"/>
      <c r="E4" s="1"/>
      <c r="F4" s="1"/>
      <c r="G4" s="1"/>
      <c r="H4" s="1"/>
      <c r="I4" s="1"/>
      <c r="J4" s="1"/>
    </row>
    <row r="5">
      <c r="B5" s="4" t="s">
        <v>3</v>
      </c>
      <c r="C5" s="4" t="s">
        <v>4</v>
      </c>
      <c r="D5" s="4" t="s">
        <v>5</v>
      </c>
      <c r="E5" s="4" t="s">
        <v>6</v>
      </c>
      <c r="F5" s="4" t="s">
        <v>7</v>
      </c>
      <c r="G5" s="4" t="s">
        <v>8</v>
      </c>
      <c r="H5" s="18" t="s">
        <v>9</v>
      </c>
      <c r="I5" s="1"/>
      <c r="J5" s="1"/>
    </row>
    <row r="6">
      <c r="B6" s="4" t="s">
        <v>10</v>
      </c>
      <c r="C6" s="28">
        <v>45900</v>
      </c>
      <c r="D6" s="28">
        <v>45900</v>
      </c>
      <c r="E6" s="28">
        <v>45991</v>
      </c>
      <c r="F6" s="28">
        <v>46081</v>
      </c>
      <c r="G6" s="28">
        <v>46173</v>
      </c>
      <c r="H6" s="27">
        <v>46265</v>
      </c>
      <c r="I6" s="1"/>
      <c r="J6" s="1"/>
    </row>
    <row r="7">
      <c r="B7" s="4" t="s">
        <v>11</v>
      </c>
      <c r="C7" s="24">
        <v>365</v>
      </c>
      <c r="D7" s="24">
        <v>92</v>
      </c>
      <c r="E7" s="24">
        <v>91</v>
      </c>
      <c r="F7" s="24">
        <v>90</v>
      </c>
      <c r="G7" s="24">
        <v>92</v>
      </c>
      <c r="H7" s="45">
        <v>92</v>
      </c>
      <c r="I7" s="1"/>
      <c r="J7" s="1"/>
    </row>
    <row r="8">
      <c r="B8" s="1"/>
      <c r="C8" s="1"/>
      <c r="D8" s="1"/>
      <c r="E8" s="1"/>
      <c r="F8" s="1"/>
      <c r="G8" s="1"/>
      <c r="H8" s="1"/>
      <c r="I8" s="1"/>
      <c r="J8" s="1"/>
    </row>
    <row r="9">
      <c r="B9" s="7" t="s">
        <v>45</v>
      </c>
      <c r="C9" s="7"/>
      <c r="D9" s="7"/>
      <c r="E9" s="7"/>
      <c r="F9" s="7"/>
      <c r="G9" s="7"/>
      <c r="H9" s="31"/>
      <c r="I9" s="1"/>
      <c r="J9" s="1"/>
    </row>
    <row r="10">
      <c r="B10" s="7" t="s">
        <v>46</v>
      </c>
      <c r="C10" s="26">
        <f>'Segment - Regulated Industries'!C16</f>
        <v>11879</v>
      </c>
      <c r="D10" s="26">
        <f>'Segment - Regulated Industries'!D16</f>
        <v>3125</v>
      </c>
      <c r="E10" s="26">
        <f>'Segment - Regulated Industries'!E16</f>
        <v>3073</v>
      </c>
      <c r="F10" s="26">
        <f>'Segment - Regulated Industries'!F16</f>
        <v>3026</v>
      </c>
      <c r="G10" s="26">
        <f>'Segment - Regulated Industries'!G16</f>
        <v>3181</v>
      </c>
      <c r="H10" s="23">
        <f>'Segment - Regulated Industries'!H16</f>
        <v>3310</v>
      </c>
      <c r="I10" s="1"/>
      <c r="J10" s="1"/>
    </row>
    <row r="11">
      <c r="B11" s="1" t="s">
        <v>47</v>
      </c>
      <c r="C11" s="25"/>
      <c r="D11" s="25"/>
      <c r="E11" s="25"/>
      <c r="F11" s="25"/>
      <c r="G11" s="25"/>
      <c r="H11" s="34">
        <f>H10/D10-1</f>
        <v>0.05919999999999992</v>
      </c>
      <c r="I11" s="1"/>
      <c r="J11" s="1"/>
    </row>
    <row r="12">
      <c r="B12" s="1" t="s">
        <v>48</v>
      </c>
      <c r="C12" s="25"/>
      <c r="D12" s="25"/>
      <c r="E12" s="25">
        <f>E10/D10-1</f>
        <v>-0.016639999999999988</v>
      </c>
      <c r="F12" s="25">
        <f>F10/E10-1</f>
        <v>-0.015294500488122309</v>
      </c>
      <c r="G12" s="25">
        <f>G10/F10-1</f>
        <v>0.05122273628552554</v>
      </c>
      <c r="H12" s="34">
        <f>H10/G10-1</f>
        <v>0.04055328513046219</v>
      </c>
      <c r="I12" s="1"/>
      <c r="J12" s="1"/>
    </row>
    <row r="13">
      <c r="B13" s="1" t="s">
        <v>49</v>
      </c>
      <c r="C13" s="25">
        <f>C10/C29</f>
        <v>0.39859740956982753</v>
      </c>
      <c r="D13" s="25">
        <f>D10/D29</f>
        <v>0.37869607367910807</v>
      </c>
      <c r="E13" s="25">
        <f>E10/E29</f>
        <v>0.3700180614087899</v>
      </c>
      <c r="F13" s="25">
        <f>F10/F29</f>
        <v>0.3653706834098044</v>
      </c>
      <c r="G13" s="25">
        <f>G10/G29</f>
        <v>0.3635013141355274</v>
      </c>
      <c r="H13" s="34">
        <f>H10/H29</f>
        <v>0.3377551020408163</v>
      </c>
      <c r="I13" s="1"/>
      <c r="J13" s="1"/>
    </row>
    <row r="14">
      <c r="B14" s="1"/>
      <c r="C14" s="6"/>
      <c r="D14" s="6"/>
      <c r="E14" s="6"/>
      <c r="F14" s="6"/>
      <c r="G14" s="6"/>
      <c r="H14" s="22"/>
      <c r="I14" s="1"/>
      <c r="J14" s="1"/>
    </row>
    <row r="15">
      <c r="B15" s="7" t="s">
        <v>50</v>
      </c>
      <c r="C15" s="26">
        <f>'Segment - Intelligent Infra'!C16</f>
        <v>12317</v>
      </c>
      <c r="D15" s="26">
        <f>'Segment - Intelligent Infra'!D16</f>
        <v>3741</v>
      </c>
      <c r="E15" s="26">
        <f>'Segment - Intelligent Infra'!E16</f>
        <v>3853</v>
      </c>
      <c r="F15" s="26">
        <f>'Segment - Intelligent Infra'!F16</f>
        <v>4028</v>
      </c>
      <c r="G15" s="26">
        <f>'Segment - Intelligent Infra'!G16</f>
        <v>4169</v>
      </c>
      <c r="H15" s="23">
        <f>'Segment - Intelligent Infra'!H16</f>
        <v>5050</v>
      </c>
      <c r="I15" s="1"/>
      <c r="J15" s="1"/>
    </row>
    <row r="16">
      <c r="B16" s="1" t="s">
        <v>47</v>
      </c>
      <c r="C16" s="25"/>
      <c r="D16" s="25"/>
      <c r="E16" s="25"/>
      <c r="F16" s="25"/>
      <c r="G16" s="25"/>
      <c r="H16" s="34">
        <f>H15/D15-1</f>
        <v>0.34990644212777333</v>
      </c>
      <c r="I16" s="1"/>
      <c r="J16" s="1"/>
    </row>
    <row r="17">
      <c r="B17" s="1" t="s">
        <v>48</v>
      </c>
      <c r="C17" s="25"/>
      <c r="D17" s="25"/>
      <c r="E17" s="25">
        <f>E15/D15-1</f>
        <v>0.029938519112536754</v>
      </c>
      <c r="F17" s="25">
        <f>F15/E15-1</f>
        <v>0.04541915390604734</v>
      </c>
      <c r="G17" s="25">
        <f>G15/F15-1</f>
        <v>0.03500496524329688</v>
      </c>
      <c r="H17" s="34">
        <f>H15/G15-1</f>
        <v>0.21132165987047258</v>
      </c>
      <c r="I17" s="1"/>
      <c r="J17" s="1"/>
    </row>
    <row r="18">
      <c r="B18" s="1" t="s">
        <v>49</v>
      </c>
      <c r="C18" s="25">
        <f>C15/C29</f>
        <v>0.4132944097711563</v>
      </c>
      <c r="D18" s="25">
        <f>D15/D29</f>
        <v>0.45334464372273386</v>
      </c>
      <c r="E18" s="25">
        <f>E15/E29</f>
        <v>0.4639373871161951</v>
      </c>
      <c r="F18" s="25">
        <f>F15/F29</f>
        <v>0.48635595266843756</v>
      </c>
      <c r="G18" s="25">
        <f>G15/G29</f>
        <v>0.4764026968346475</v>
      </c>
      <c r="H18" s="34">
        <f>H15/H29</f>
        <v>0.5153061224489796</v>
      </c>
      <c r="I18" s="1"/>
      <c r="J18" s="1"/>
    </row>
    <row r="19">
      <c r="B19" s="1"/>
      <c r="C19" s="6"/>
      <c r="D19" s="6"/>
      <c r="E19" s="6"/>
      <c r="F19" s="6"/>
      <c r="G19" s="6"/>
      <c r="H19" s="22"/>
      <c r="I19" s="1"/>
      <c r="J19" s="1"/>
    </row>
    <row r="20">
      <c r="B20" s="7" t="s">
        <v>51</v>
      </c>
      <c r="C20" s="26">
        <f>'Segment - Connected Living'!C16</f>
        <v>5606</v>
      </c>
      <c r="D20" s="26">
        <f>'Segment - Connected Living'!D16</f>
        <v>1386</v>
      </c>
      <c r="E20" s="26">
        <f>'Segment - Connected Living'!E16</f>
        <v>1379</v>
      </c>
      <c r="F20" s="26">
        <f>'Segment - Connected Living'!F16</f>
        <v>1228</v>
      </c>
      <c r="G20" s="26">
        <f>'Segment - Connected Living'!G16</f>
        <v>1401</v>
      </c>
      <c r="H20" s="23">
        <f>'Segment - Connected Living'!H16</f>
        <v>1440</v>
      </c>
      <c r="I20" s="1"/>
      <c r="J20" s="1"/>
    </row>
    <row r="21">
      <c r="B21" s="1" t="s">
        <v>47</v>
      </c>
      <c r="C21" s="25"/>
      <c r="D21" s="25"/>
      <c r="E21" s="25"/>
      <c r="F21" s="25"/>
      <c r="G21" s="25"/>
      <c r="H21" s="34">
        <f>H20/D20-1</f>
        <v>0.03896103896103886</v>
      </c>
      <c r="I21" s="1"/>
      <c r="J21" s="1"/>
    </row>
    <row r="22">
      <c r="B22" s="1" t="s">
        <v>48</v>
      </c>
      <c r="C22" s="25"/>
      <c r="D22" s="25"/>
      <c r="E22" s="25">
        <f>E20/D20-1</f>
        <v>-0.005050505050505083</v>
      </c>
      <c r="F22" s="25">
        <f>F20/E20-1</f>
        <v>-0.10949963741841917</v>
      </c>
      <c r="G22" s="25">
        <f>G20/F20-1</f>
        <v>0.14087947882736152</v>
      </c>
      <c r="H22" s="34">
        <f>H20/G20-1</f>
        <v>0.027837259100642386</v>
      </c>
      <c r="I22" s="1"/>
      <c r="J22" s="1"/>
    </row>
    <row r="23">
      <c r="B23" s="1" t="s">
        <v>49</v>
      </c>
      <c r="C23" s="25">
        <f>C20/C29</f>
        <v>0.18810818065901616</v>
      </c>
      <c r="D23" s="25">
        <f>D20/D29</f>
        <v>0.167959282598158</v>
      </c>
      <c r="E23" s="25">
        <f>E20/E29</f>
        <v>0.16604455147501504</v>
      </c>
      <c r="F23" s="25">
        <f>F20/F29</f>
        <v>0.14827336392175802</v>
      </c>
      <c r="G23" s="25">
        <f>G20/G29</f>
        <v>0.16009598902982516</v>
      </c>
      <c r="H23" s="34">
        <f>H20/H29</f>
        <v>0.1469387755102041</v>
      </c>
      <c r="I23" s="1"/>
      <c r="J23" s="1"/>
    </row>
    <row r="24">
      <c r="B24" s="1"/>
      <c r="C24" s="6"/>
      <c r="D24" s="6"/>
      <c r="E24" s="6"/>
      <c r="F24" s="6"/>
      <c r="G24" s="6"/>
      <c r="H24" s="22"/>
      <c r="I24" s="1"/>
      <c r="J24" s="1"/>
    </row>
    <row r="25">
      <c r="B25" s="1"/>
      <c r="C25" s="6"/>
      <c r="D25" s="6"/>
      <c r="E25" s="6"/>
      <c r="F25" s="6"/>
      <c r="G25" s="6"/>
      <c r="H25" s="22"/>
      <c r="I25" s="1"/>
      <c r="J25" s="1"/>
    </row>
    <row r="26">
      <c r="B26" s="1"/>
      <c r="C26" s="6"/>
      <c r="D26" s="6"/>
      <c r="E26" s="6"/>
      <c r="F26" s="6"/>
      <c r="G26" s="6"/>
      <c r="H26" s="22"/>
      <c r="I26" s="1"/>
      <c r="J26" s="1"/>
    </row>
    <row r="27">
      <c r="B27" s="1"/>
      <c r="C27" s="6"/>
      <c r="D27" s="6"/>
      <c r="E27" s="6"/>
      <c r="F27" s="6"/>
      <c r="G27" s="6"/>
      <c r="H27" s="22"/>
      <c r="I27" s="1"/>
      <c r="J27" s="1"/>
    </row>
    <row r="28">
      <c r="B28" s="1"/>
      <c r="C28" s="6"/>
      <c r="D28" s="6"/>
      <c r="E28" s="6"/>
      <c r="F28" s="6"/>
      <c r="G28" s="6"/>
      <c r="H28" s="22"/>
      <c r="I28" s="1"/>
      <c r="J28" s="1"/>
    </row>
    <row r="29">
      <c r="B29" s="7" t="s">
        <v>52</v>
      </c>
      <c r="C29" s="19">
        <f>SUM(C10,C15,C20)</f>
        <v>29802</v>
      </c>
      <c r="D29" s="26">
        <f>Inputs!H62</f>
        <v>8252</v>
      </c>
      <c r="E29" s="26">
        <f>Inputs!H63</f>
        <v>8305</v>
      </c>
      <c r="F29" s="26">
        <f>Inputs!H64</f>
        <v>8282</v>
      </c>
      <c r="G29" s="26">
        <f>Inputs!H65</f>
        <v>8751</v>
      </c>
      <c r="H29" s="21">
        <f>SUM(H10,H15,H20)</f>
        <v>9800</v>
      </c>
      <c r="I29" s="1"/>
      <c r="J29" s="1"/>
    </row>
    <row r="30">
      <c r="B30" s="1" t="s">
        <v>47</v>
      </c>
      <c r="C30" s="25"/>
      <c r="D30" s="25"/>
      <c r="E30" s="25"/>
      <c r="F30" s="25"/>
      <c r="G30" s="25"/>
      <c r="H30" s="34">
        <f>H29/D29-1</f>
        <v>0.187590887057683</v>
      </c>
      <c r="I30" s="1"/>
      <c r="J30" s="1"/>
    </row>
    <row r="31">
      <c r="B31" s="1" t="s">
        <v>48</v>
      </c>
      <c r="C31" s="25"/>
      <c r="D31" s="25"/>
      <c r="E31" s="25">
        <f>E29/D29-1</f>
        <v>0.006422685409597673</v>
      </c>
      <c r="F31" s="25">
        <f>F29/E29-1</f>
        <v>-0.002769416014449133</v>
      </c>
      <c r="G31" s="25">
        <f>G29/F29-1</f>
        <v>0.056628833615068874</v>
      </c>
      <c r="H31" s="34">
        <f>H29/G29-1</f>
        <v>0.11987201462689989</v>
      </c>
      <c r="I31" s="1"/>
      <c r="J31" s="1"/>
    </row>
    <row r="32">
      <c r="B32" s="7" t="s">
        <v>53</v>
      </c>
      <c r="C32" s="19">
        <f>SUM(C10,C15,C20)-C29</f>
        <v>0</v>
      </c>
      <c r="D32" s="19">
        <f>SUM(D10,D15,D20)-D29</f>
        <v>0</v>
      </c>
      <c r="E32" s="19">
        <f>SUM(E10,E15,E20)-E29</f>
        <v>0</v>
      </c>
      <c r="F32" s="19">
        <f>SUM(F10,F15,F20)-F29</f>
        <v>0</v>
      </c>
      <c r="G32" s="19">
        <f>SUM(G10,G15,G20)-G29</f>
        <v>0</v>
      </c>
      <c r="H32" s="21">
        <f>SUM(H10,H15,H20)-H29</f>
        <v>0</v>
      </c>
      <c r="I32" s="1"/>
      <c r="J32" s="1"/>
    </row>
    <row r="33">
      <c r="B33" s="1"/>
      <c r="C33" s="6"/>
      <c r="D33" s="6"/>
      <c r="E33" s="6"/>
      <c r="F33" s="6"/>
      <c r="G33" s="6"/>
      <c r="H33" s="22"/>
      <c r="I33" s="1"/>
      <c r="J33" s="1"/>
    </row>
    <row r="34">
      <c r="B34" s="1" t="s">
        <v>54</v>
      </c>
      <c r="C34" s="3">
        <f>Geo!C15</f>
        <v>29802</v>
      </c>
      <c r="D34" s="3">
        <f>Geo!D15</f>
        <v>8252</v>
      </c>
      <c r="E34" s="3">
        <f>Geo!E15</f>
        <v>8305</v>
      </c>
      <c r="F34" s="3">
        <f>Geo!F15</f>
        <v>8282</v>
      </c>
      <c r="G34" s="3">
        <f>Geo!G15</f>
        <v>8751</v>
      </c>
      <c r="H34" s="20">
        <f>Geo!H15</f>
        <v>9800</v>
      </c>
      <c r="I34" s="1"/>
      <c r="J34" s="1"/>
    </row>
    <row r="35">
      <c r="B35" s="7" t="s">
        <v>55</v>
      </c>
      <c r="C35" s="19">
        <f>C34-C29</f>
        <v>0</v>
      </c>
      <c r="D35" s="19">
        <f>D34-D29</f>
        <v>0</v>
      </c>
      <c r="E35" s="19">
        <f>E34-E29</f>
        <v>0</v>
      </c>
      <c r="F35" s="19">
        <f>F34-F29</f>
        <v>0</v>
      </c>
      <c r="G35" s="19">
        <f>G34-G29</f>
        <v>0</v>
      </c>
      <c r="H35" s="21">
        <f>H34-H29</f>
        <v>0</v>
      </c>
      <c r="I35" s="1"/>
      <c r="J35" s="1"/>
    </row>
    <row r="36">
      <c r="B36" s="1"/>
      <c r="C36" s="1"/>
      <c r="D36" s="1"/>
      <c r="E36" s="1"/>
      <c r="F36" s="1"/>
      <c r="G36" s="1"/>
      <c r="H36" s="1"/>
      <c r="I36" s="1"/>
      <c r="J36" s="1"/>
    </row>
    <row r="37">
      <c r="B37" s="1"/>
      <c r="C37" s="1"/>
      <c r="D37" s="1"/>
      <c r="E37" s="1"/>
      <c r="F37" s="1"/>
      <c r="G37" s="1"/>
      <c r="H37" s="1"/>
      <c r="I37" s="1"/>
      <c r="J37" s="1"/>
    </row>
    <row r="38">
      <c r="B38" s="1"/>
      <c r="C38" s="1"/>
      <c r="D38" s="1"/>
      <c r="E38" s="1"/>
      <c r="F38" s="1"/>
      <c r="G38" s="1"/>
      <c r="H38" s="1"/>
      <c r="I38" s="1"/>
      <c r="J38" s="1"/>
    </row>
    <row r="39">
      <c r="B39" s="1"/>
      <c r="C39" s="1"/>
      <c r="D39" s="1"/>
      <c r="E39" s="1"/>
      <c r="F39" s="1"/>
      <c r="G39" s="1"/>
      <c r="H39" s="1"/>
      <c r="I39" s="1"/>
      <c r="J39" s="1"/>
    </row>
    <row r="40">
      <c r="B40" s="1"/>
      <c r="C40" s="1"/>
      <c r="D40" s="1"/>
      <c r="E40" s="1"/>
      <c r="F40" s="1"/>
      <c r="G40" s="1"/>
      <c r="H40" s="1"/>
      <c r="I40" s="1"/>
      <c r="J40" s="1"/>
    </row>
    <row r="41">
      <c r="B41" s="1"/>
      <c r="C41" s="1"/>
      <c r="D41" s="1"/>
      <c r="E41" s="1"/>
      <c r="F41" s="1"/>
      <c r="G41" s="1"/>
      <c r="H41" s="1"/>
      <c r="I41" s="1"/>
      <c r="J41" s="1"/>
    </row>
    <row r="42">
      <c r="B42" s="1"/>
      <c r="C42" s="1"/>
      <c r="D42" s="1"/>
      <c r="E42" s="1"/>
      <c r="F42" s="1"/>
      <c r="G42" s="1"/>
      <c r="H42" s="1"/>
      <c r="I42" s="1"/>
      <c r="J42" s="1"/>
    </row>
    <row r="43">
      <c r="B43" s="1"/>
      <c r="C43" s="1"/>
      <c r="D43" s="1"/>
      <c r="E43" s="1"/>
      <c r="F43" s="1"/>
      <c r="G43" s="1"/>
      <c r="H43" s="1"/>
      <c r="I43" s="1"/>
      <c r="J43" s="1"/>
    </row>
    <row r="44">
      <c r="B44" s="1"/>
      <c r="C44" s="1"/>
      <c r="D44" s="1"/>
      <c r="E44" s="1"/>
      <c r="F44" s="1"/>
      <c r="G44" s="1"/>
      <c r="H44" s="1"/>
      <c r="I44" s="1"/>
      <c r="J44" s="1"/>
    </row>
    <row r="45">
      <c r="B45" s="1"/>
      <c r="C45" s="1"/>
      <c r="D45" s="1"/>
      <c r="E45" s="1"/>
      <c r="F45" s="1"/>
      <c r="G45" s="1"/>
      <c r="H45" s="1"/>
      <c r="I45" s="1"/>
      <c r="J45" s="1"/>
    </row>
    <row r="46">
      <c r="B46" s="1"/>
      <c r="C46" s="1"/>
      <c r="D46" s="1"/>
      <c r="E46" s="1"/>
      <c r="F46" s="1"/>
      <c r="G46" s="1"/>
      <c r="H46" s="1"/>
      <c r="I46" s="1"/>
      <c r="J46" s="1"/>
    </row>
    <row r="47">
      <c r="B47" s="1"/>
      <c r="C47" s="1"/>
      <c r="D47" s="1"/>
      <c r="E47" s="1"/>
      <c r="F47" s="1"/>
      <c r="G47" s="1"/>
      <c r="H47" s="1"/>
      <c r="I47" s="1"/>
      <c r="J47" s="1"/>
    </row>
    <row r="48">
      <c r="B48" s="1"/>
      <c r="C48" s="1"/>
      <c r="D48" s="1"/>
      <c r="E48" s="1"/>
      <c r="F48" s="1"/>
      <c r="G48" s="1"/>
      <c r="H48" s="1"/>
      <c r="I48" s="1"/>
      <c r="J48" s="1"/>
    </row>
    <row r="49">
      <c r="B49" s="1"/>
      <c r="C49" s="1"/>
      <c r="D49" s="1"/>
      <c r="E49" s="1"/>
      <c r="F49" s="1"/>
      <c r="G49" s="1"/>
      <c r="H49" s="1"/>
      <c r="I49" s="1"/>
      <c r="J49" s="1"/>
    </row>
    <row r="50">
      <c r="B50" s="1"/>
      <c r="C50" s="1"/>
      <c r="D50" s="1"/>
      <c r="E50" s="1"/>
      <c r="F50" s="1"/>
      <c r="G50" s="1"/>
      <c r="H50" s="1"/>
      <c r="I50" s="1"/>
      <c r="J50" s="1"/>
    </row>
    <row r="51">
      <c r="B51" s="1"/>
      <c r="C51" s="1"/>
      <c r="D51" s="1"/>
      <c r="E51" s="1"/>
      <c r="F51" s="1"/>
      <c r="G51" s="1"/>
      <c r="H51" s="1"/>
      <c r="I51" s="1"/>
      <c r="J51" s="1"/>
    </row>
    <row r="52">
      <c r="B52" s="1"/>
      <c r="C52" s="1"/>
      <c r="D52" s="1"/>
      <c r="E52" s="1"/>
      <c r="F52" s="1"/>
      <c r="G52" s="1"/>
      <c r="H52" s="1"/>
      <c r="I52" s="1"/>
      <c r="J52" s="1"/>
    </row>
    <row r="53">
      <c r="B53" s="1"/>
      <c r="C53" s="1"/>
      <c r="D53" s="1"/>
      <c r="E53" s="1"/>
      <c r="F53" s="1"/>
      <c r="G53" s="1"/>
      <c r="H53" s="1"/>
      <c r="I53" s="1"/>
      <c r="J53" s="1"/>
    </row>
    <row r="54">
      <c r="B54" s="1"/>
      <c r="C54" s="1"/>
      <c r="D54" s="1"/>
      <c r="E54" s="1"/>
      <c r="F54" s="1"/>
      <c r="G54" s="1"/>
      <c r="H54" s="1"/>
      <c r="I54" s="1"/>
      <c r="J54" s="1"/>
    </row>
    <row r="55">
      <c r="B55" s="1"/>
      <c r="C55" s="1"/>
      <c r="D55" s="1"/>
      <c r="E55" s="1"/>
      <c r="F55" s="1"/>
      <c r="G55" s="1"/>
      <c r="H55" s="1"/>
      <c r="I55" s="1"/>
      <c r="J55" s="1"/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dimension ref="B2:J89"/>
  <sheetViews>
    <sheetView showGridLines="0" workbookViewId="0">
      <pane xSplit="2" ySplit="8" topLeftCell="C9" activePane="bottomRight" state="frozen"/>
    </sheetView>
  </sheetViews>
  <sheetFormatPr defaultColWidth="8.42578125" defaultRowHeight="15"/>
  <cols>
    <col min="2" max="2" width="34" customWidth="1"/>
    <col min="3" max="8" width="13" customWidth="1"/>
    <col min="10" max="10" width="56" customWidth="1"/>
  </cols>
  <sheetData>
    <row r="2">
      <c r="B2" s="2" t="s">
        <v>0</v>
      </c>
      <c r="C2" s="2"/>
      <c r="D2" s="2"/>
      <c r="E2" s="2"/>
      <c r="F2" s="2"/>
      <c r="G2" s="2"/>
      <c r="H2" s="2"/>
      <c r="I2" s="1"/>
      <c r="J2" s="1"/>
    </row>
    <row r="3">
      <c r="B3" s="2" t="s">
        <v>56</v>
      </c>
      <c r="C3" s="2"/>
      <c r="D3" s="2"/>
      <c r="E3" s="2"/>
      <c r="F3" s="2"/>
      <c r="G3" s="2"/>
      <c r="H3" s="2"/>
      <c r="I3" s="1"/>
      <c r="J3" s="1"/>
    </row>
    <row r="4">
      <c r="B4" s="1" t="s">
        <v>2</v>
      </c>
      <c r="C4" s="1"/>
      <c r="D4" s="1"/>
      <c r="E4" s="1"/>
      <c r="F4" s="1"/>
      <c r="G4" s="1"/>
      <c r="H4" s="1"/>
      <c r="I4" s="1"/>
      <c r="J4" s="1"/>
    </row>
    <row r="5">
      <c r="B5" s="4" t="s">
        <v>3</v>
      </c>
      <c r="C5" s="4" t="s">
        <v>4</v>
      </c>
      <c r="D5" s="4" t="s">
        <v>5</v>
      </c>
      <c r="E5" s="4" t="s">
        <v>6</v>
      </c>
      <c r="F5" s="4" t="s">
        <v>7</v>
      </c>
      <c r="G5" s="4" t="s">
        <v>8</v>
      </c>
      <c r="H5" s="18" t="s">
        <v>9</v>
      </c>
      <c r="I5" s="1"/>
      <c r="J5" s="1"/>
    </row>
    <row r="6">
      <c r="B6" s="4" t="s">
        <v>10</v>
      </c>
      <c r="C6" s="11">
        <v>45900</v>
      </c>
      <c r="D6" s="11">
        <v>45900</v>
      </c>
      <c r="E6" s="11">
        <v>45991</v>
      </c>
      <c r="F6" s="11">
        <v>46081</v>
      </c>
      <c r="G6" s="11">
        <v>46173</v>
      </c>
      <c r="H6" s="29">
        <v>46265</v>
      </c>
      <c r="I6" s="1"/>
      <c r="J6" s="1"/>
    </row>
    <row r="7">
      <c r="B7" s="4" t="s">
        <v>11</v>
      </c>
      <c r="C7" s="4">
        <v>365</v>
      </c>
      <c r="D7" s="4">
        <v>92</v>
      </c>
      <c r="E7" s="4">
        <v>91</v>
      </c>
      <c r="F7" s="4">
        <v>90</v>
      </c>
      <c r="G7" s="4">
        <v>92</v>
      </c>
      <c r="H7" s="18">
        <v>92</v>
      </c>
      <c r="I7" s="1"/>
      <c r="J7" s="1"/>
    </row>
    <row r="8">
      <c r="B8" s="1"/>
      <c r="C8" s="1"/>
      <c r="D8" s="1"/>
      <c r="E8" s="1"/>
      <c r="F8" s="1"/>
      <c r="G8" s="1"/>
      <c r="H8" s="1"/>
      <c r="I8" s="1"/>
      <c r="J8" s="1"/>
    </row>
    <row r="9">
      <c r="B9" s="41" t="s">
        <v>57</v>
      </c>
      <c r="C9" s="41"/>
      <c r="D9" s="41"/>
      <c r="E9" s="41"/>
      <c r="F9" s="41"/>
      <c r="G9" s="41"/>
      <c r="H9" s="47"/>
      <c r="I9" s="1"/>
      <c r="J9" s="1"/>
    </row>
    <row r="10">
      <c r="B10" s="1" t="s">
        <v>58</v>
      </c>
      <c r="C10" s="14">
        <v>477</v>
      </c>
      <c r="D10" s="6">
        <f>C10-J37</f>
        <v>113</v>
      </c>
      <c r="E10" s="14">
        <v>124</v>
      </c>
      <c r="F10" s="14">
        <v>127</v>
      </c>
      <c r="G10" s="14">
        <v>141</v>
      </c>
      <c r="H10" s="33">
        <v>150</v>
      </c>
      <c r="I10" s="1"/>
      <c r="J10" s="1"/>
    </row>
    <row r="11">
      <c r="B11" s="1" t="s">
        <v>59</v>
      </c>
      <c r="C11" s="25">
        <f>C10/C50-1</f>
        <v>-0.1374321880650995</v>
      </c>
      <c r="D11" s="25"/>
      <c r="E11" s="25">
        <f>E10/E50-1</f>
        <v>-0.08148148148148149</v>
      </c>
      <c r="F11" s="25">
        <f>F10/F50-1</f>
        <v>-0.045112781954887216</v>
      </c>
      <c r="G11" s="25">
        <f>G10/G50-1</f>
        <v>0.46875</v>
      </c>
      <c r="H11" s="34">
        <f>H10/D10-1</f>
        <v>0.32743362831858414</v>
      </c>
      <c r="I11" s="1"/>
      <c r="J11" s="1"/>
    </row>
    <row r="12">
      <c r="B12" s="1" t="s">
        <v>60</v>
      </c>
      <c r="C12" s="6"/>
      <c r="D12" s="6">
        <f>D10-D53</f>
        <v>17</v>
      </c>
      <c r="E12" s="6">
        <f>E10-D10</f>
        <v>11</v>
      </c>
      <c r="F12" s="6">
        <f>F10-E10</f>
        <v>3</v>
      </c>
      <c r="G12" s="6">
        <f>G10-F10</f>
        <v>14</v>
      </c>
      <c r="H12" s="22">
        <f>H10-G10</f>
        <v>9</v>
      </c>
      <c r="I12" s="1"/>
      <c r="J12" s="1"/>
    </row>
    <row r="13">
      <c r="B13" s="1" t="s">
        <v>61</v>
      </c>
      <c r="C13" s="14">
        <v>11402</v>
      </c>
      <c r="D13" s="6">
        <f>C13-J38</f>
        <v>3012</v>
      </c>
      <c r="E13" s="14">
        <v>2949</v>
      </c>
      <c r="F13" s="14">
        <v>2899</v>
      </c>
      <c r="G13" s="14">
        <v>3040</v>
      </c>
      <c r="H13" s="33">
        <v>3160</v>
      </c>
      <c r="I13" s="1"/>
      <c r="J13" s="1"/>
    </row>
    <row r="14">
      <c r="B14" s="1" t="s">
        <v>59</v>
      </c>
      <c r="C14" s="25">
        <f>C13/C51-1</f>
        <v>-0.026135975401434863</v>
      </c>
      <c r="D14" s="25"/>
      <c r="E14" s="25">
        <f>E13/E51-1</f>
        <v>0.04500354358610914</v>
      </c>
      <c r="F14" s="25">
        <f>F13/F51-1</f>
        <v>0.11157975460122693</v>
      </c>
      <c r="G14" s="25">
        <f>G13/G51-1</f>
        <v>0.027027027027026973</v>
      </c>
      <c r="H14" s="34">
        <f>H13/D13-1</f>
        <v>0.049136786188578974</v>
      </c>
      <c r="I14" s="1"/>
      <c r="J14" s="1"/>
    </row>
    <row r="15">
      <c r="B15" s="1" t="s">
        <v>60</v>
      </c>
      <c r="C15" s="6"/>
      <c r="D15" s="6">
        <f>D13-D54</f>
        <v>52</v>
      </c>
      <c r="E15" s="6">
        <f>E13-D13</f>
        <v>-63</v>
      </c>
      <c r="F15" s="6">
        <f>F13-E13</f>
        <v>-50</v>
      </c>
      <c r="G15" s="6">
        <f>G13-F13</f>
        <v>141</v>
      </c>
      <c r="H15" s="22">
        <f>H13-G13</f>
        <v>120</v>
      </c>
      <c r="I15" s="1"/>
      <c r="J15" s="1"/>
    </row>
    <row r="16">
      <c r="B16" s="41" t="s">
        <v>62</v>
      </c>
      <c r="C16" s="44">
        <f>C10+C13</f>
        <v>11879</v>
      </c>
      <c r="D16" s="44">
        <f>D10+D13</f>
        <v>3125</v>
      </c>
      <c r="E16" s="44">
        <f>E10+E13</f>
        <v>3073</v>
      </c>
      <c r="F16" s="44">
        <f>F10+F13</f>
        <v>3026</v>
      </c>
      <c r="G16" s="44">
        <f>G10+G13</f>
        <v>3181</v>
      </c>
      <c r="H16" s="40">
        <f>H10+H13</f>
        <v>3310</v>
      </c>
      <c r="I16" s="1"/>
      <c r="J16" s="1"/>
    </row>
    <row r="17" ht="24.75">
      <c r="B17" s="1" t="s">
        <v>63</v>
      </c>
      <c r="C17" s="25"/>
      <c r="D17" s="25"/>
      <c r="E17" s="25"/>
      <c r="F17" s="25"/>
      <c r="G17" s="25"/>
      <c r="H17" s="34">
        <f>(1+H20)/((1+H18)*(1+H19))-1</f>
        <v>0.05919999999999992</v>
      </c>
      <c r="I17" s="1"/>
      <c r="J17" s="8" t="s">
        <v>64</v>
      </c>
    </row>
    <row r="18">
      <c r="B18" s="1" t="s">
        <v>65</v>
      </c>
      <c r="C18" s="38"/>
      <c r="D18" s="25"/>
      <c r="E18" s="38"/>
      <c r="F18" s="38"/>
      <c r="G18" s="38"/>
      <c r="H18" s="36">
        <f>Inputs!C97</f>
        <v>0</v>
      </c>
      <c r="I18" s="1"/>
      <c r="J18" s="8"/>
    </row>
    <row r="19">
      <c r="B19" s="1" t="s">
        <v>66</v>
      </c>
      <c r="C19" s="38"/>
      <c r="D19" s="25"/>
      <c r="E19" s="38"/>
      <c r="F19" s="38"/>
      <c r="G19" s="38"/>
      <c r="H19" s="36">
        <f>Inputs!C97</f>
        <v>0</v>
      </c>
      <c r="I19" s="1"/>
      <c r="J19" s="8"/>
    </row>
    <row r="20">
      <c r="B20" s="1" t="s">
        <v>67</v>
      </c>
      <c r="C20" s="25">
        <f>C16/C52-1</f>
        <v>-0.03115569692521003</v>
      </c>
      <c r="D20" s="25"/>
      <c r="E20" s="25">
        <f>E16/E52-1</f>
        <v>0.03922894825836987</v>
      </c>
      <c r="F20" s="25">
        <f>F16/F52-1</f>
        <v>0.10397665085735142</v>
      </c>
      <c r="G20" s="25">
        <f>G16/G52-1</f>
        <v>0.04090314136125661</v>
      </c>
      <c r="H20" s="34">
        <f>H16/D16-1</f>
        <v>0.05919999999999992</v>
      </c>
      <c r="I20" s="1"/>
      <c r="J20" s="8"/>
    </row>
    <row r="21">
      <c r="B21" s="1" t="s">
        <v>68</v>
      </c>
      <c r="C21" s="25"/>
      <c r="D21" s="25"/>
      <c r="E21" s="25"/>
      <c r="F21" s="25"/>
      <c r="G21" s="25"/>
      <c r="H21" s="34">
        <f>H16/G16-1</f>
        <v>0.04055328513046219</v>
      </c>
      <c r="I21" s="1"/>
      <c r="J21" s="8"/>
    </row>
    <row r="22">
      <c r="B22" s="1" t="s">
        <v>69</v>
      </c>
      <c r="C22" s="25">
        <f>C10/C16</f>
        <v>0.04015489519319808</v>
      </c>
      <c r="D22" s="25">
        <f>D10/D16</f>
        <v>0.03616</v>
      </c>
      <c r="E22" s="25">
        <f>E10/E16</f>
        <v>0.04035144809632281</v>
      </c>
      <c r="F22" s="25">
        <f>F10/F16</f>
        <v>0.04196959682749504</v>
      </c>
      <c r="G22" s="25">
        <f>G10/G16</f>
        <v>0.044325683747249295</v>
      </c>
      <c r="H22" s="34">
        <f>H10/H16</f>
        <v>0.045317220543806644</v>
      </c>
      <c r="I22" s="1"/>
      <c r="J22" s="8"/>
    </row>
    <row r="23">
      <c r="B23" s="1" t="s">
        <v>70</v>
      </c>
      <c r="C23" s="14">
        <v>11236</v>
      </c>
      <c r="D23" s="6">
        <f>C23-J35</f>
        <v>2920</v>
      </c>
      <c r="E23" s="14">
        <v>2896</v>
      </c>
      <c r="F23" s="14">
        <v>2881</v>
      </c>
      <c r="G23" s="14">
        <v>3001</v>
      </c>
      <c r="H23" s="22">
        <f>H16-H24</f>
        <v>3101.47</v>
      </c>
      <c r="I23" s="1"/>
      <c r="J23" s="8"/>
    </row>
    <row r="24">
      <c r="B24" s="41" t="s">
        <v>71</v>
      </c>
      <c r="C24" s="44">
        <f>C16-C23</f>
        <v>643</v>
      </c>
      <c r="D24" s="44">
        <f>D16-D23</f>
        <v>205</v>
      </c>
      <c r="E24" s="44">
        <f>E16-E23</f>
        <v>177</v>
      </c>
      <c r="F24" s="44">
        <f>F16-F23</f>
        <v>145</v>
      </c>
      <c r="G24" s="44">
        <f>G16-G23</f>
        <v>180</v>
      </c>
      <c r="H24" s="40">
        <f>H16*H25</f>
        <v>208.53</v>
      </c>
      <c r="I24" s="1"/>
      <c r="J24" s="8"/>
    </row>
    <row r="25">
      <c r="B25" s="1" t="s">
        <v>72</v>
      </c>
      <c r="C25" s="25">
        <f>C24/C16</f>
        <v>0.05412913544911188</v>
      </c>
      <c r="D25" s="25">
        <f>D24/D16</f>
        <v>0.0656</v>
      </c>
      <c r="E25" s="25">
        <f>E24/E16</f>
        <v>0.05759843800846079</v>
      </c>
      <c r="F25" s="25">
        <f>F24/F16</f>
        <v>0.04791804362194316</v>
      </c>
      <c r="G25" s="25">
        <f>G24/G16</f>
        <v>0.05658597925180761</v>
      </c>
      <c r="H25" s="52">
        <v>0.063</v>
      </c>
      <c r="I25" s="1"/>
      <c r="J25" s="8"/>
    </row>
    <row r="26">
      <c r="B26" s="1" t="s">
        <v>73</v>
      </c>
      <c r="C26" s="6"/>
      <c r="D26" s="6"/>
      <c r="E26" s="6">
        <f>(E25-D25)*10000</f>
        <v>-80.01561991539216</v>
      </c>
      <c r="F26" s="6">
        <f>(F25-E25)*10000</f>
        <v>-96.80394386517632</v>
      </c>
      <c r="G26" s="6">
        <f>(G25-F25)*10000</f>
        <v>86.67935629864454</v>
      </c>
      <c r="H26" s="22">
        <f>(H25-D25)*10000</f>
        <v>-26.00000000000005</v>
      </c>
      <c r="I26" s="1"/>
      <c r="J26" s="8"/>
    </row>
    <row r="27">
      <c r="B27" s="1" t="s">
        <v>74</v>
      </c>
      <c r="C27" s="25">
        <f>C23/C58-1</f>
        <v>-0.03188006203687743</v>
      </c>
      <c r="D27" s="25"/>
      <c r="E27" s="25">
        <f>E23/E58-1</f>
        <v>0.027314650585313904</v>
      </c>
      <c r="F27" s="25">
        <f>F23/F58-1</f>
        <v>0.10425450364124189</v>
      </c>
      <c r="G27" s="25">
        <f>G23/G58-1</f>
        <v>0.03912742382271461</v>
      </c>
      <c r="H27" s="34">
        <f>H23/D23-1</f>
        <v>0.06214726027397255</v>
      </c>
      <c r="I27" s="1"/>
      <c r="J27" s="8"/>
    </row>
    <row r="28">
      <c r="B28" s="1" t="s">
        <v>75</v>
      </c>
      <c r="C28" s="6"/>
      <c r="D28" s="6">
        <f>D23-G58</f>
        <v>32</v>
      </c>
      <c r="E28" s="6">
        <f>E23-D23</f>
        <v>-24</v>
      </c>
      <c r="F28" s="6">
        <f>F23-E23</f>
        <v>-15</v>
      </c>
      <c r="G28" s="6">
        <f>G23-F23</f>
        <v>120</v>
      </c>
      <c r="H28" s="22">
        <f>H23-G23</f>
        <v>100.4699999999998</v>
      </c>
      <c r="I28" s="1"/>
      <c r="J28" s="8"/>
    </row>
    <row r="29">
      <c r="B29" s="1" t="s">
        <v>76</v>
      </c>
      <c r="C29" s="25">
        <f>C23/C16</f>
        <v>0.9458708645508881</v>
      </c>
      <c r="D29" s="25">
        <f>D23/D16</f>
        <v>0.9344</v>
      </c>
      <c r="E29" s="25">
        <f>E23/E16</f>
        <v>0.9424015619915392</v>
      </c>
      <c r="F29" s="25">
        <f>F23/F16</f>
        <v>0.9520819563780568</v>
      </c>
      <c r="G29" s="25">
        <f>G23/G16</f>
        <v>0.9434140207481924</v>
      </c>
      <c r="H29" s="34">
        <f>H23/H16</f>
        <v>0.9369999999999999</v>
      </c>
      <c r="I29" s="1"/>
      <c r="J29" s="8"/>
    </row>
    <row r="30">
      <c r="B30" s="1" t="s">
        <v>77</v>
      </c>
      <c r="C30" s="6"/>
      <c r="D30" s="6"/>
      <c r="E30" s="6">
        <f>(E29-D29)*10000</f>
        <v>80.0156199153923</v>
      </c>
      <c r="F30" s="6">
        <f>(F29-E29)*10000</f>
        <v>96.80394386517577</v>
      </c>
      <c r="G30" s="6">
        <f>(G29-F29)*10000</f>
        <v>-86.67935629864454</v>
      </c>
      <c r="H30" s="22">
        <f>(H29-D29)*10000</f>
        <v>25.999999999999357</v>
      </c>
      <c r="I30" s="1"/>
      <c r="J30" s="8"/>
    </row>
    <row r="31">
      <c r="B31" s="1" t="s">
        <v>78</v>
      </c>
      <c r="C31" s="25"/>
      <c r="D31" s="25"/>
      <c r="E31" s="25"/>
      <c r="F31" s="25"/>
      <c r="G31" s="25"/>
      <c r="H31" s="34">
        <f>(1+H34)/((1+H32)*(1+H33))-1</f>
        <v>0.32743362831858414</v>
      </c>
      <c r="I31" s="1"/>
      <c r="J31" s="8"/>
    </row>
    <row r="32">
      <c r="B32" s="1" t="s">
        <v>79</v>
      </c>
      <c r="C32" s="25"/>
      <c r="D32" s="25"/>
      <c r="E32" s="25"/>
      <c r="F32" s="25"/>
      <c r="G32" s="25"/>
      <c r="H32" s="34">
        <f>H18</f>
        <v>0</v>
      </c>
      <c r="I32" s="1"/>
      <c r="J32" s="8"/>
    </row>
    <row r="33">
      <c r="B33" s="1" t="s">
        <v>80</v>
      </c>
      <c r="C33" s="25"/>
      <c r="D33" s="25"/>
      <c r="E33" s="25"/>
      <c r="F33" s="25"/>
      <c r="G33" s="25"/>
      <c r="H33" s="34">
        <f>H19</f>
        <v>0</v>
      </c>
      <c r="I33" s="1"/>
      <c r="J33" s="8"/>
    </row>
    <row r="34">
      <c r="B34" s="1" t="s">
        <v>81</v>
      </c>
      <c r="C34" s="25"/>
      <c r="D34" s="25"/>
      <c r="E34" s="25"/>
      <c r="F34" s="25"/>
      <c r="G34" s="25"/>
      <c r="H34" s="34">
        <f>H11</f>
        <v>0.32743362831858414</v>
      </c>
      <c r="I34" s="1"/>
      <c r="J34" s="8"/>
    </row>
    <row r="35">
      <c r="B35" s="1" t="s">
        <v>82</v>
      </c>
      <c r="C35" s="6"/>
      <c r="D35" s="6"/>
      <c r="E35" s="6"/>
      <c r="F35" s="6"/>
      <c r="G35" s="6"/>
      <c r="H35" s="22"/>
      <c r="I35" s="1"/>
      <c r="J35" s="43">
        <v>8316</v>
      </c>
    </row>
    <row r="36">
      <c r="B36" s="1" t="s">
        <v>83</v>
      </c>
      <c r="C36" s="6"/>
      <c r="D36" s="6"/>
      <c r="E36" s="6"/>
      <c r="F36" s="6"/>
      <c r="G36" s="6"/>
      <c r="H36" s="22"/>
      <c r="I36" s="1"/>
      <c r="J36" s="8"/>
    </row>
    <row r="37">
      <c r="B37" s="1" t="s">
        <v>84</v>
      </c>
      <c r="C37" s="6"/>
      <c r="D37" s="6"/>
      <c r="E37" s="6"/>
      <c r="F37" s="6"/>
      <c r="G37" s="6"/>
      <c r="H37" s="22"/>
      <c r="I37" s="1"/>
      <c r="J37" s="43">
        <v>364</v>
      </c>
    </row>
    <row r="38">
      <c r="B38" s="1" t="s">
        <v>85</v>
      </c>
      <c r="C38" s="6"/>
      <c r="D38" s="6"/>
      <c r="E38" s="6"/>
      <c r="F38" s="6"/>
      <c r="G38" s="6"/>
      <c r="H38" s="22"/>
      <c r="I38" s="1"/>
      <c r="J38" s="43">
        <v>8390</v>
      </c>
    </row>
    <row r="39">
      <c r="B39" s="41"/>
      <c r="C39" s="44"/>
      <c r="D39" s="44"/>
      <c r="E39" s="44"/>
      <c r="F39" s="44"/>
      <c r="G39" s="44"/>
      <c r="H39" s="40"/>
      <c r="I39" s="1"/>
      <c r="J39" s="8"/>
    </row>
    <row r="40" ht="26.25">
      <c r="B40" s="1"/>
      <c r="C40" s="6"/>
      <c r="D40" s="6"/>
      <c r="E40" s="6"/>
      <c r="F40" s="6"/>
      <c r="G40" s="6"/>
      <c r="H40" s="33"/>
      <c r="I40" s="1"/>
      <c r="J40" s="8"/>
    </row>
    <row r="41">
      <c r="B41" s="1"/>
      <c r="C41" s="6"/>
      <c r="D41" s="6"/>
      <c r="E41" s="6"/>
      <c r="F41" s="6"/>
      <c r="G41" s="6"/>
      <c r="H41" s="33"/>
      <c r="I41" s="1"/>
      <c r="J41" s="1"/>
    </row>
    <row r="42">
      <c r="B42" s="1"/>
      <c r="C42" s="6"/>
      <c r="D42" s="6"/>
      <c r="E42" s="6"/>
      <c r="F42" s="6"/>
      <c r="G42" s="6"/>
      <c r="H42" s="22"/>
      <c r="I42" s="1"/>
      <c r="J42" s="1"/>
    </row>
    <row r="43">
      <c r="B43" s="1"/>
      <c r="C43" s="6"/>
      <c r="D43" s="6"/>
      <c r="E43" s="6"/>
      <c r="F43" s="6"/>
      <c r="G43" s="6"/>
      <c r="H43" s="22"/>
      <c r="I43" s="1"/>
      <c r="J43" s="1"/>
    </row>
    <row r="44">
      <c r="B44" s="1" t="s">
        <v>86</v>
      </c>
      <c r="C44" s="25"/>
      <c r="D44" s="25"/>
      <c r="E44" s="25"/>
      <c r="F44" s="25"/>
      <c r="G44" s="25"/>
      <c r="H44" s="34">
        <f>(1+H47)/((1+H45)*(1+H46))-1</f>
        <v>0.049136786188578974</v>
      </c>
      <c r="I44" s="1"/>
      <c r="J44" s="1"/>
    </row>
    <row r="45">
      <c r="B45" s="1" t="s">
        <v>87</v>
      </c>
      <c r="C45" s="25"/>
      <c r="D45" s="25"/>
      <c r="E45" s="25"/>
      <c r="F45" s="25"/>
      <c r="G45" s="25"/>
      <c r="H45" s="34">
        <f>H18</f>
        <v>0</v>
      </c>
      <c r="I45" s="1"/>
      <c r="J45" s="1"/>
    </row>
    <row r="46">
      <c r="B46" s="1" t="s">
        <v>88</v>
      </c>
      <c r="C46" s="25"/>
      <c r="D46" s="25"/>
      <c r="E46" s="25"/>
      <c r="F46" s="25"/>
      <c r="G46" s="25"/>
      <c r="H46" s="34">
        <f>H19</f>
        <v>0</v>
      </c>
      <c r="I46" s="1"/>
      <c r="J46" s="1"/>
    </row>
    <row r="47">
      <c r="B47" s="1" t="s">
        <v>89</v>
      </c>
      <c r="C47" s="25"/>
      <c r="D47" s="25"/>
      <c r="E47" s="25"/>
      <c r="F47" s="25"/>
      <c r="G47" s="25"/>
      <c r="H47" s="34">
        <f>H14</f>
        <v>0.049136786188578974</v>
      </c>
      <c r="I47" s="1"/>
      <c r="J47" s="1"/>
    </row>
    <row r="48">
      <c r="B48" s="1"/>
      <c r="C48" s="1"/>
      <c r="D48" s="1"/>
      <c r="E48" s="1"/>
      <c r="F48" s="1"/>
      <c r="G48" s="1"/>
      <c r="H48" s="1"/>
      <c r="I48" s="1"/>
      <c r="J48" s="1"/>
    </row>
    <row r="49">
      <c r="B49" s="1" t="s">
        <v>90</v>
      </c>
      <c r="C49" s="1"/>
      <c r="D49" s="1"/>
      <c r="E49" s="1"/>
      <c r="F49" s="1"/>
      <c r="G49" s="1"/>
      <c r="H49" s="1"/>
      <c r="I49" s="1"/>
      <c r="J49" s="1"/>
    </row>
    <row r="50">
      <c r="B50" s="1" t="s">
        <v>91</v>
      </c>
      <c r="C50" s="14">
        <v>553</v>
      </c>
      <c r="D50" s="6"/>
      <c r="E50" s="14">
        <v>135</v>
      </c>
      <c r="F50" s="14">
        <v>133</v>
      </c>
      <c r="G50" s="14">
        <v>96</v>
      </c>
      <c r="H50" s="1"/>
      <c r="I50" s="1"/>
      <c r="J50" s="1"/>
    </row>
    <row r="51">
      <c r="B51" s="1" t="s">
        <v>92</v>
      </c>
      <c r="C51" s="14">
        <v>11708</v>
      </c>
      <c r="D51" s="6"/>
      <c r="E51" s="14">
        <v>2822</v>
      </c>
      <c r="F51" s="14">
        <v>2608</v>
      </c>
      <c r="G51" s="14">
        <v>2960</v>
      </c>
      <c r="H51" s="1"/>
      <c r="I51" s="1"/>
      <c r="J51" s="1"/>
    </row>
    <row r="52">
      <c r="B52" s="1" t="s">
        <v>93</v>
      </c>
      <c r="C52" s="6">
        <f>C50+C51</f>
        <v>12261</v>
      </c>
      <c r="D52" s="6"/>
      <c r="E52" s="6">
        <f>E50+E51</f>
        <v>2957</v>
      </c>
      <c r="F52" s="6">
        <f>F50+F51</f>
        <v>2741</v>
      </c>
      <c r="G52" s="6">
        <f>G50+G51</f>
        <v>3056</v>
      </c>
      <c r="H52" s="1"/>
      <c r="I52" s="1"/>
      <c r="J52" s="1"/>
    </row>
    <row r="53">
      <c r="B53" s="1" t="s">
        <v>94</v>
      </c>
      <c r="C53" s="6"/>
      <c r="D53" s="6">
        <f>G50</f>
        <v>96</v>
      </c>
      <c r="E53" s="6"/>
      <c r="F53" s="6"/>
      <c r="G53" s="6"/>
      <c r="H53" s="1"/>
      <c r="I53" s="1"/>
      <c r="J53" s="1"/>
    </row>
    <row r="54">
      <c r="B54" s="1" t="s">
        <v>95</v>
      </c>
      <c r="C54" s="6"/>
      <c r="D54" s="6">
        <f>G51</f>
        <v>2960</v>
      </c>
      <c r="E54" s="6"/>
      <c r="F54" s="6"/>
      <c r="G54" s="6"/>
      <c r="H54" s="1"/>
      <c r="I54" s="1"/>
      <c r="J54" s="1"/>
    </row>
    <row r="55">
      <c r="B55" s="1"/>
      <c r="C55" s="1"/>
      <c r="D55" s="1"/>
      <c r="E55" s="1"/>
      <c r="F55" s="1"/>
      <c r="G55" s="1"/>
      <c r="H55" s="1"/>
      <c r="I55" s="1"/>
      <c r="J55" s="1"/>
    </row>
    <row r="58">
      <c r="B58" s="1" t="s">
        <v>96</v>
      </c>
      <c r="C58" s="42">
        <v>11606</v>
      </c>
      <c r="D58" s="1"/>
      <c r="E58" s="42">
        <v>2819</v>
      </c>
      <c r="F58" s="42">
        <v>2609</v>
      </c>
      <c r="G58" s="42">
        <v>2888</v>
      </c>
      <c r="H58" s="1"/>
      <c r="I58" s="1"/>
      <c r="J58" s="1"/>
    </row>
    <row r="60">
      <c r="B60" s="7" t="s">
        <v>97</v>
      </c>
      <c r="C60" s="19"/>
      <c r="D60" s="19"/>
      <c r="E60" s="19"/>
      <c r="F60" s="19"/>
      <c r="G60" s="19"/>
      <c r="H60" s="21"/>
      <c r="I60" s="1"/>
      <c r="J60" s="1" t="s">
        <v>98</v>
      </c>
    </row>
    <row r="61" ht="24">
      <c r="B61" s="8" t="s">
        <v>99</v>
      </c>
      <c r="C61" s="6"/>
      <c r="D61" s="6"/>
      <c r="E61" s="6"/>
      <c r="F61" s="6"/>
      <c r="G61" s="6"/>
      <c r="H61" s="33">
        <v>1080</v>
      </c>
      <c r="I61" s="1"/>
      <c r="J61" s="1"/>
    </row>
    <row r="62">
      <c r="B62" s="8" t="s">
        <v>100</v>
      </c>
      <c r="C62" s="6"/>
      <c r="D62" s="6"/>
      <c r="E62" s="6"/>
      <c r="F62" s="6"/>
      <c r="G62" s="6"/>
      <c r="H62" s="22" t="s">
        <v>101</v>
      </c>
      <c r="I62" s="1"/>
      <c r="J62" s="1"/>
    </row>
    <row r="63">
      <c r="B63" s="8" t="s">
        <v>102</v>
      </c>
      <c r="C63" s="6"/>
      <c r="D63" s="6"/>
      <c r="E63" s="6"/>
      <c r="F63" s="6"/>
      <c r="G63" s="6"/>
      <c r="H63" s="22" t="s">
        <v>101</v>
      </c>
      <c r="I63" s="1"/>
      <c r="J63" s="1"/>
    </row>
    <row r="64">
      <c r="B64" s="8" t="s">
        <v>103</v>
      </c>
      <c r="C64" s="6"/>
      <c r="D64" s="6"/>
      <c r="E64" s="6"/>
      <c r="F64" s="6"/>
      <c r="G64" s="6"/>
      <c r="H64" s="22" t="s">
        <v>101</v>
      </c>
      <c r="I64" s="1"/>
      <c r="J64" s="1"/>
    </row>
    <row r="65">
      <c r="B65" s="8" t="s">
        <v>104</v>
      </c>
      <c r="C65" s="6"/>
      <c r="D65" s="6"/>
      <c r="E65" s="6"/>
      <c r="F65" s="6"/>
      <c r="G65" s="6"/>
      <c r="H65" s="22" t="s">
        <v>101</v>
      </c>
      <c r="I65" s="1"/>
      <c r="J65" s="1"/>
    </row>
    <row r="66">
      <c r="B66" s="8" t="s">
        <v>105</v>
      </c>
      <c r="C66" s="6"/>
      <c r="D66" s="6"/>
      <c r="E66" s="6"/>
      <c r="F66" s="6"/>
      <c r="G66" s="6"/>
      <c r="H66" s="22" t="s">
        <v>101</v>
      </c>
      <c r="I66" s="1"/>
      <c r="J66" s="1"/>
    </row>
    <row r="67">
      <c r="B67" s="8" t="s">
        <v>106</v>
      </c>
      <c r="C67" s="6"/>
      <c r="D67" s="6"/>
      <c r="E67" s="6"/>
      <c r="F67" s="6"/>
      <c r="G67" s="6"/>
      <c r="H67" s="22" t="s">
        <v>101</v>
      </c>
      <c r="I67" s="1"/>
      <c r="J67" s="1"/>
    </row>
    <row r="68">
      <c r="B68" s="8" t="s">
        <v>107</v>
      </c>
      <c r="C68" s="25"/>
      <c r="D68" s="25"/>
      <c r="E68" s="25"/>
      <c r="F68" s="25"/>
      <c r="G68" s="25"/>
      <c r="H68" s="34">
        <f>H61/H16</f>
        <v>0.32628398791540786</v>
      </c>
      <c r="I68" s="1"/>
      <c r="J68" s="1"/>
    </row>
    <row r="69">
      <c r="B69" s="8"/>
      <c r="C69" s="6"/>
      <c r="D69" s="6"/>
      <c r="E69" s="6"/>
      <c r="F69" s="6"/>
      <c r="G69" s="6"/>
      <c r="H69" s="22"/>
      <c r="I69" s="1"/>
      <c r="J69" s="1"/>
    </row>
    <row r="70" ht="24">
      <c r="B70" s="8" t="s">
        <v>108</v>
      </c>
      <c r="C70" s="6"/>
      <c r="D70" s="6"/>
      <c r="E70" s="6"/>
      <c r="F70" s="6"/>
      <c r="G70" s="6"/>
      <c r="H70" s="33">
        <v>1600</v>
      </c>
      <c r="I70" s="1"/>
      <c r="J70" s="1"/>
    </row>
    <row r="71">
      <c r="B71" s="8" t="s">
        <v>100</v>
      </c>
      <c r="C71" s="6"/>
      <c r="D71" s="6"/>
      <c r="E71" s="6"/>
      <c r="F71" s="6"/>
      <c r="G71" s="6"/>
      <c r="H71" s="22" t="s">
        <v>101</v>
      </c>
      <c r="I71" s="1"/>
      <c r="J71" s="1"/>
    </row>
    <row r="72">
      <c r="B72" s="8" t="s">
        <v>102</v>
      </c>
      <c r="C72" s="6"/>
      <c r="D72" s="6"/>
      <c r="E72" s="6"/>
      <c r="F72" s="6"/>
      <c r="G72" s="6"/>
      <c r="H72" s="22" t="s">
        <v>101</v>
      </c>
      <c r="I72" s="1"/>
      <c r="J72" s="1"/>
    </row>
    <row r="73">
      <c r="B73" s="8" t="s">
        <v>103</v>
      </c>
      <c r="C73" s="6"/>
      <c r="D73" s="6"/>
      <c r="E73" s="6"/>
      <c r="F73" s="6"/>
      <c r="G73" s="6"/>
      <c r="H73" s="22" t="s">
        <v>101</v>
      </c>
      <c r="I73" s="1"/>
      <c r="J73" s="1"/>
    </row>
    <row r="74">
      <c r="B74" s="8" t="s">
        <v>104</v>
      </c>
      <c r="C74" s="6"/>
      <c r="D74" s="6"/>
      <c r="E74" s="6"/>
      <c r="F74" s="6"/>
      <c r="G74" s="6"/>
      <c r="H74" s="22" t="s">
        <v>101</v>
      </c>
      <c r="I74" s="1"/>
      <c r="J74" s="1"/>
    </row>
    <row r="75">
      <c r="B75" s="8" t="s">
        <v>105</v>
      </c>
      <c r="C75" s="6"/>
      <c r="D75" s="6"/>
      <c r="E75" s="6"/>
      <c r="F75" s="6"/>
      <c r="G75" s="6"/>
      <c r="H75" s="22" t="s">
        <v>101</v>
      </c>
      <c r="I75" s="1"/>
      <c r="J75" s="1"/>
    </row>
    <row r="76">
      <c r="B76" s="8" t="s">
        <v>106</v>
      </c>
      <c r="C76" s="6"/>
      <c r="D76" s="6"/>
      <c r="E76" s="6"/>
      <c r="F76" s="6"/>
      <c r="G76" s="6"/>
      <c r="H76" s="22" t="s">
        <v>101</v>
      </c>
      <c r="I76" s="1"/>
      <c r="J76" s="1"/>
    </row>
    <row r="77">
      <c r="B77" s="8" t="s">
        <v>107</v>
      </c>
      <c r="C77" s="25"/>
      <c r="D77" s="25"/>
      <c r="E77" s="25"/>
      <c r="F77" s="25"/>
      <c r="G77" s="25"/>
      <c r="H77" s="34">
        <f>H70/H16</f>
        <v>0.48338368580060426</v>
      </c>
      <c r="I77" s="1"/>
      <c r="J77" s="1"/>
    </row>
    <row r="78">
      <c r="B78" s="8"/>
      <c r="C78" s="6"/>
      <c r="D78" s="6"/>
      <c r="E78" s="6"/>
      <c r="F78" s="6"/>
      <c r="G78" s="6"/>
      <c r="H78" s="22"/>
      <c r="I78" s="1"/>
      <c r="J78" s="1"/>
    </row>
    <row r="79" ht="24">
      <c r="B79" s="8" t="s">
        <v>109</v>
      </c>
      <c r="C79" s="6"/>
      <c r="D79" s="6"/>
      <c r="E79" s="6"/>
      <c r="F79" s="6"/>
      <c r="G79" s="6"/>
      <c r="H79" s="22">
        <f>H16-H61-H70</f>
        <v>630</v>
      </c>
      <c r="I79" s="1"/>
      <c r="J79" s="1"/>
    </row>
    <row r="80">
      <c r="B80" s="8" t="s">
        <v>100</v>
      </c>
      <c r="C80" s="6"/>
      <c r="D80" s="6"/>
      <c r="E80" s="6"/>
      <c r="F80" s="6"/>
      <c r="G80" s="6"/>
      <c r="H80" s="22" t="s">
        <v>101</v>
      </c>
      <c r="I80" s="1"/>
      <c r="J80" s="1"/>
    </row>
    <row r="81">
      <c r="B81" s="8" t="s">
        <v>102</v>
      </c>
      <c r="C81" s="6"/>
      <c r="D81" s="6"/>
      <c r="E81" s="6"/>
      <c r="F81" s="6"/>
      <c r="G81" s="6"/>
      <c r="H81" s="22" t="s">
        <v>101</v>
      </c>
      <c r="I81" s="1"/>
      <c r="J81" s="1"/>
    </row>
    <row r="82">
      <c r="B82" s="8" t="s">
        <v>103</v>
      </c>
      <c r="C82" s="6"/>
      <c r="D82" s="6"/>
      <c r="E82" s="6"/>
      <c r="F82" s="6"/>
      <c r="G82" s="6"/>
      <c r="H82" s="22" t="s">
        <v>101</v>
      </c>
      <c r="I82" s="1"/>
      <c r="J82" s="1"/>
    </row>
    <row r="83">
      <c r="B83" s="8" t="s">
        <v>104</v>
      </c>
      <c r="C83" s="6"/>
      <c r="D83" s="6"/>
      <c r="E83" s="6"/>
      <c r="F83" s="6"/>
      <c r="G83" s="6"/>
      <c r="H83" s="22" t="s">
        <v>101</v>
      </c>
      <c r="I83" s="1"/>
      <c r="J83" s="1"/>
    </row>
    <row r="84">
      <c r="B84" s="8" t="s">
        <v>105</v>
      </c>
      <c r="C84" s="6"/>
      <c r="D84" s="6"/>
      <c r="E84" s="6"/>
      <c r="F84" s="6"/>
      <c r="G84" s="6"/>
      <c r="H84" s="22" t="s">
        <v>101</v>
      </c>
      <c r="I84" s="1"/>
      <c r="J84" s="1"/>
    </row>
    <row r="85">
      <c r="B85" s="8" t="s">
        <v>106</v>
      </c>
      <c r="C85" s="6"/>
      <c r="D85" s="6"/>
      <c r="E85" s="6"/>
      <c r="F85" s="6"/>
      <c r="G85" s="6"/>
      <c r="H85" s="22" t="s">
        <v>101</v>
      </c>
      <c r="I85" s="1"/>
      <c r="J85" s="1"/>
    </row>
    <row r="86">
      <c r="B86" s="8" t="s">
        <v>107</v>
      </c>
      <c r="C86" s="25"/>
      <c r="D86" s="25"/>
      <c r="E86" s="25"/>
      <c r="F86" s="25"/>
      <c r="G86" s="25"/>
      <c r="H86" s="34">
        <f>H79/H16</f>
        <v>0.1903323262839879</v>
      </c>
      <c r="I86" s="1"/>
      <c r="J86" s="1"/>
    </row>
    <row r="87">
      <c r="B87" s="8"/>
      <c r="C87" s="6"/>
      <c r="D87" s="6"/>
      <c r="E87" s="6"/>
      <c r="F87" s="6"/>
      <c r="G87" s="6"/>
      <c r="H87" s="22"/>
      <c r="I87" s="1"/>
      <c r="J87" s="1"/>
    </row>
    <row r="88">
      <c r="B88" s="39" t="s">
        <v>110</v>
      </c>
      <c r="C88" s="19"/>
      <c r="D88" s="19"/>
      <c r="E88" s="19"/>
      <c r="F88" s="19"/>
      <c r="G88" s="19"/>
      <c r="H88" s="21">
        <f>SUM(H61,H70,H79)</f>
        <v>3310</v>
      </c>
      <c r="I88" s="1"/>
      <c r="J88" s="1"/>
    </row>
    <row r="89">
      <c r="B89" s="39" t="s">
        <v>111</v>
      </c>
      <c r="C89" s="19"/>
      <c r="D89" s="19"/>
      <c r="E89" s="19"/>
      <c r="F89" s="19"/>
      <c r="G89" s="19"/>
      <c r="H89" s="21">
        <f>H88-H16</f>
        <v>0</v>
      </c>
      <c r="I89" s="1"/>
      <c r="J89" s="1"/>
    </row>
  </sheetData>
</worksheet>
</file>

<file path=xl/worksheets/sheet4.xml><?xml version="1.0" encoding="utf-8"?>
<worksheet xmlns="http://schemas.openxmlformats.org/spreadsheetml/2006/main" xmlns:r="http://schemas.openxmlformats.org/officeDocument/2006/relationships">
  <dimension ref="B2:J89"/>
  <sheetViews>
    <sheetView showGridLines="0" workbookViewId="0">
      <pane xSplit="2" ySplit="8" topLeftCell="C9" activePane="bottomRight" state="frozen"/>
    </sheetView>
  </sheetViews>
  <sheetFormatPr defaultColWidth="8.42578125" defaultRowHeight="15"/>
  <cols>
    <col min="2" max="2" width="34" customWidth="1"/>
    <col min="3" max="8" width="13" customWidth="1"/>
    <col min="10" max="10" width="56" customWidth="1"/>
  </cols>
  <sheetData>
    <row r="2">
      <c r="B2" s="2" t="s">
        <v>0</v>
      </c>
      <c r="C2" s="2"/>
      <c r="D2" s="2"/>
      <c r="E2" s="2"/>
      <c r="F2" s="2"/>
      <c r="G2" s="2"/>
      <c r="H2" s="2"/>
      <c r="I2" s="1"/>
      <c r="J2" s="1"/>
    </row>
    <row r="3">
      <c r="B3" s="2" t="s">
        <v>112</v>
      </c>
      <c r="C3" s="2"/>
      <c r="D3" s="2"/>
      <c r="E3" s="2"/>
      <c r="F3" s="2"/>
      <c r="G3" s="2"/>
      <c r="H3" s="2"/>
      <c r="I3" s="1"/>
      <c r="J3" s="1"/>
    </row>
    <row r="4">
      <c r="B4" s="1" t="s">
        <v>2</v>
      </c>
      <c r="C4" s="1"/>
      <c r="D4" s="1"/>
      <c r="E4" s="1"/>
      <c r="F4" s="1"/>
      <c r="G4" s="1"/>
      <c r="H4" s="1"/>
      <c r="I4" s="1"/>
      <c r="J4" s="1"/>
    </row>
    <row r="5">
      <c r="B5" s="4" t="s">
        <v>3</v>
      </c>
      <c r="C5" s="4" t="s">
        <v>4</v>
      </c>
      <c r="D5" s="4" t="s">
        <v>5</v>
      </c>
      <c r="E5" s="4" t="s">
        <v>6</v>
      </c>
      <c r="F5" s="4" t="s">
        <v>7</v>
      </c>
      <c r="G5" s="4" t="s">
        <v>8</v>
      </c>
      <c r="H5" s="18" t="s">
        <v>9</v>
      </c>
      <c r="I5" s="1"/>
      <c r="J5" s="1"/>
    </row>
    <row r="6">
      <c r="B6" s="4" t="s">
        <v>10</v>
      </c>
      <c r="C6" s="11">
        <v>45900</v>
      </c>
      <c r="D6" s="11">
        <v>45900</v>
      </c>
      <c r="E6" s="11">
        <v>45991</v>
      </c>
      <c r="F6" s="11">
        <v>46081</v>
      </c>
      <c r="G6" s="11">
        <v>46173</v>
      </c>
      <c r="H6" s="29">
        <v>46265</v>
      </c>
      <c r="I6" s="1"/>
      <c r="J6" s="1"/>
    </row>
    <row r="7">
      <c r="B7" s="4" t="s">
        <v>11</v>
      </c>
      <c r="C7" s="4">
        <v>365</v>
      </c>
      <c r="D7" s="4">
        <v>92</v>
      </c>
      <c r="E7" s="4">
        <v>91</v>
      </c>
      <c r="F7" s="4">
        <v>90</v>
      </c>
      <c r="G7" s="4">
        <v>92</v>
      </c>
      <c r="H7" s="18">
        <v>92</v>
      </c>
      <c r="I7" s="1"/>
      <c r="J7" s="1"/>
    </row>
    <row r="8">
      <c r="B8" s="1"/>
      <c r="C8" s="1"/>
      <c r="D8" s="1"/>
      <c r="E8" s="1"/>
      <c r="F8" s="1"/>
      <c r="G8" s="1"/>
      <c r="H8" s="1"/>
      <c r="I8" s="1"/>
      <c r="J8" s="1"/>
    </row>
    <row r="9">
      <c r="B9" s="41" t="s">
        <v>57</v>
      </c>
      <c r="C9" s="41"/>
      <c r="D9" s="41"/>
      <c r="E9" s="41"/>
      <c r="F9" s="41"/>
      <c r="G9" s="41"/>
      <c r="H9" s="47"/>
      <c r="I9" s="1"/>
      <c r="J9" s="1"/>
    </row>
    <row r="10">
      <c r="B10" s="1" t="s">
        <v>58</v>
      </c>
      <c r="C10" s="14">
        <v>6299</v>
      </c>
      <c r="D10" s="6">
        <f>C10-J37</f>
        <v>2106</v>
      </c>
      <c r="E10" s="14">
        <v>2325</v>
      </c>
      <c r="F10" s="14">
        <v>2358</v>
      </c>
      <c r="G10" s="14">
        <v>2053</v>
      </c>
      <c r="H10" s="33">
        <v>2600</v>
      </c>
      <c r="I10" s="1"/>
      <c r="J10" s="1"/>
    </row>
    <row r="11">
      <c r="B11" s="1" t="s">
        <v>59</v>
      </c>
      <c r="C11" s="25">
        <f>C10/C50-1</f>
        <v>0.4110663082437276</v>
      </c>
      <c r="D11" s="25"/>
      <c r="E11" s="25">
        <f>E10/E50-1</f>
        <v>1.1021699819168171</v>
      </c>
      <c r="F11" s="25">
        <f>F10/F50-1</f>
        <v>0.9375513557929334</v>
      </c>
      <c r="G11" s="25">
        <f>G10/G50-1</f>
        <v>0.09786096256684496</v>
      </c>
      <c r="H11" s="34">
        <f>H10/D10-1</f>
        <v>0.23456790123456783</v>
      </c>
      <c r="I11" s="1"/>
      <c r="J11" s="1"/>
    </row>
    <row r="12">
      <c r="B12" s="1" t="s">
        <v>60</v>
      </c>
      <c r="C12" s="6"/>
      <c r="D12" s="6">
        <f>D10-D53</f>
        <v>236</v>
      </c>
      <c r="E12" s="6">
        <f>E10-D10</f>
        <v>219</v>
      </c>
      <c r="F12" s="6">
        <f>F10-E10</f>
        <v>33</v>
      </c>
      <c r="G12" s="6">
        <f>G10-F10</f>
        <v>-305</v>
      </c>
      <c r="H12" s="22">
        <f>H10-G10</f>
        <v>547</v>
      </c>
      <c r="I12" s="1"/>
      <c r="J12" s="1"/>
    </row>
    <row r="13">
      <c r="B13" s="1" t="s">
        <v>61</v>
      </c>
      <c r="C13" s="14">
        <v>6018</v>
      </c>
      <c r="D13" s="6">
        <f>C13-J38</f>
        <v>1635</v>
      </c>
      <c r="E13" s="14">
        <v>1528</v>
      </c>
      <c r="F13" s="14">
        <v>1670</v>
      </c>
      <c r="G13" s="14">
        <v>2116</v>
      </c>
      <c r="H13" s="33">
        <v>2450</v>
      </c>
      <c r="I13" s="1"/>
      <c r="J13" s="1"/>
    </row>
    <row r="14">
      <c r="B14" s="1" t="s">
        <v>59</v>
      </c>
      <c r="C14" s="25">
        <f>C13/C51-1</f>
        <v>0.2714979928163954</v>
      </c>
      <c r="D14" s="25"/>
      <c r="E14" s="25">
        <f>E13/E51-1</f>
        <v>0.09928057553956826</v>
      </c>
      <c r="F14" s="25">
        <f>F13/F51-1</f>
        <v>0.16783216783216792</v>
      </c>
      <c r="G14" s="25">
        <f>G13/G51-1</f>
        <v>0.3538067818298145</v>
      </c>
      <c r="H14" s="34">
        <f>H13/D13-1</f>
        <v>0.49847094801223246</v>
      </c>
      <c r="I14" s="1"/>
      <c r="J14" s="1"/>
    </row>
    <row r="15">
      <c r="B15" s="1" t="s">
        <v>60</v>
      </c>
      <c r="C15" s="6"/>
      <c r="D15" s="6">
        <f>D13-D54</f>
        <v>72</v>
      </c>
      <c r="E15" s="6">
        <f>E13-D13</f>
        <v>-107</v>
      </c>
      <c r="F15" s="6">
        <f>F13-E13</f>
        <v>142</v>
      </c>
      <c r="G15" s="6">
        <f>G13-F13</f>
        <v>446</v>
      </c>
      <c r="H15" s="22">
        <f>H13-G13</f>
        <v>334</v>
      </c>
      <c r="I15" s="1"/>
      <c r="J15" s="1"/>
    </row>
    <row r="16">
      <c r="B16" s="41" t="s">
        <v>62</v>
      </c>
      <c r="C16" s="44">
        <f>C10+C13</f>
        <v>12317</v>
      </c>
      <c r="D16" s="44">
        <f>D10+D13</f>
        <v>3741</v>
      </c>
      <c r="E16" s="44">
        <f>E10+E13</f>
        <v>3853</v>
      </c>
      <c r="F16" s="44">
        <f>F10+F13</f>
        <v>4028</v>
      </c>
      <c r="G16" s="44">
        <f>G10+G13</f>
        <v>4169</v>
      </c>
      <c r="H16" s="40">
        <f>H10+H13</f>
        <v>5050</v>
      </c>
      <c r="I16" s="1"/>
      <c r="J16" s="1"/>
    </row>
    <row r="17" ht="24.75">
      <c r="B17" s="1" t="s">
        <v>63</v>
      </c>
      <c r="C17" s="25"/>
      <c r="D17" s="25"/>
      <c r="E17" s="25"/>
      <c r="F17" s="25"/>
      <c r="G17" s="25"/>
      <c r="H17" s="34">
        <f>(1+H20)/((1+H18)*(1+H19))-1</f>
        <v>0.34990644212777333</v>
      </c>
      <c r="I17" s="1"/>
      <c r="J17" s="8" t="s">
        <v>64</v>
      </c>
    </row>
    <row r="18">
      <c r="B18" s="1" t="s">
        <v>65</v>
      </c>
      <c r="C18" s="38"/>
      <c r="D18" s="25"/>
      <c r="E18" s="38"/>
      <c r="F18" s="38"/>
      <c r="G18" s="38"/>
      <c r="H18" s="36">
        <f>Inputs!C97</f>
        <v>0</v>
      </c>
      <c r="I18" s="1"/>
      <c r="J18" s="8"/>
    </row>
    <row r="19">
      <c r="B19" s="1" t="s">
        <v>66</v>
      </c>
      <c r="C19" s="38"/>
      <c r="D19" s="25"/>
      <c r="E19" s="38"/>
      <c r="F19" s="38"/>
      <c r="G19" s="38"/>
      <c r="H19" s="36">
        <f>Inputs!C97</f>
        <v>0</v>
      </c>
      <c r="I19" s="1"/>
      <c r="J19" s="8"/>
    </row>
    <row r="20">
      <c r="B20" s="1" t="s">
        <v>67</v>
      </c>
      <c r="C20" s="25">
        <f>C16/C52-1</f>
        <v>0.3392410568663695</v>
      </c>
      <c r="D20" s="25"/>
      <c r="E20" s="25">
        <f>E16/E52-1</f>
        <v>0.5436698717948718</v>
      </c>
      <c r="F20" s="25">
        <f>F16/F52-1</f>
        <v>0.521722704948999</v>
      </c>
      <c r="G20" s="25">
        <f>G16/G52-1</f>
        <v>0.21438974657733767</v>
      </c>
      <c r="H20" s="34">
        <f>H16/D16-1</f>
        <v>0.34990644212777333</v>
      </c>
      <c r="I20" s="1"/>
      <c r="J20" s="8"/>
    </row>
    <row r="21">
      <c r="B21" s="1" t="s">
        <v>68</v>
      </c>
      <c r="C21" s="25"/>
      <c r="D21" s="25"/>
      <c r="E21" s="25"/>
      <c r="F21" s="25"/>
      <c r="G21" s="25"/>
      <c r="H21" s="34">
        <f>H16/G16-1</f>
        <v>0.21132165987047258</v>
      </c>
      <c r="I21" s="1"/>
      <c r="J21" s="8"/>
    </row>
    <row r="22">
      <c r="B22" s="1" t="s">
        <v>69</v>
      </c>
      <c r="C22" s="25">
        <f>C10/C16</f>
        <v>0.5114069984574166</v>
      </c>
      <c r="D22" s="25">
        <f>D10/D16</f>
        <v>0.5629510825982358</v>
      </c>
      <c r="E22" s="25">
        <f>E10/E16</f>
        <v>0.6034259018946275</v>
      </c>
      <c r="F22" s="25">
        <f>F10/F16</f>
        <v>0.5854021847070506</v>
      </c>
      <c r="G22" s="25">
        <f>G10/G16</f>
        <v>0.4924442312305109</v>
      </c>
      <c r="H22" s="34">
        <f>H10/H16</f>
        <v>0.5148514851485149</v>
      </c>
      <c r="I22" s="1"/>
      <c r="J22" s="8"/>
    </row>
    <row r="23">
      <c r="B23" s="1" t="s">
        <v>70</v>
      </c>
      <c r="C23" s="14">
        <v>11653</v>
      </c>
      <c r="D23" s="6">
        <f>C23-J35</f>
        <v>3519</v>
      </c>
      <c r="E23" s="14">
        <v>3651</v>
      </c>
      <c r="F23" s="14">
        <v>3797</v>
      </c>
      <c r="G23" s="14">
        <v>3913</v>
      </c>
      <c r="H23" s="22">
        <f>H16-H24</f>
        <v>4696.5</v>
      </c>
      <c r="I23" s="1"/>
      <c r="J23" s="8"/>
    </row>
    <row r="24">
      <c r="B24" s="41" t="s">
        <v>71</v>
      </c>
      <c r="C24" s="44">
        <f>C16-C23</f>
        <v>664</v>
      </c>
      <c r="D24" s="44">
        <f>D16-D23</f>
        <v>222</v>
      </c>
      <c r="E24" s="44">
        <f>E16-E23</f>
        <v>202</v>
      </c>
      <c r="F24" s="44">
        <f>F16-F23</f>
        <v>231</v>
      </c>
      <c r="G24" s="44">
        <f>G16-G23</f>
        <v>256</v>
      </c>
      <c r="H24" s="40">
        <f>H16*H25</f>
        <v>353.50000000000006</v>
      </c>
      <c r="I24" s="1"/>
      <c r="J24" s="8"/>
    </row>
    <row r="25">
      <c r="B25" s="1" t="s">
        <v>72</v>
      </c>
      <c r="C25" s="25">
        <f>C24/C16</f>
        <v>0.05390923114394739</v>
      </c>
      <c r="D25" s="25">
        <f>D24/D16</f>
        <v>0.05934242181234964</v>
      </c>
      <c r="E25" s="25">
        <f>E24/E16</f>
        <v>0.05242668050869452</v>
      </c>
      <c r="F25" s="25">
        <f>F24/F16</f>
        <v>0.057348560079443896</v>
      </c>
      <c r="G25" s="25">
        <f>G24/G16</f>
        <v>0.06140561285680019</v>
      </c>
      <c r="H25" s="52">
        <v>0.07</v>
      </c>
      <c r="I25" s="1"/>
      <c r="J25" s="8"/>
    </row>
    <row r="26">
      <c r="B26" s="1" t="s">
        <v>73</v>
      </c>
      <c r="C26" s="6"/>
      <c r="D26" s="6"/>
      <c r="E26" s="6">
        <f>(E25-D25)*10000</f>
        <v>-69.15741303655118</v>
      </c>
      <c r="F26" s="6">
        <f>(F25-E25)*10000</f>
        <v>49.218795707493754</v>
      </c>
      <c r="G26" s="6">
        <f>(G25-F25)*10000</f>
        <v>40.57052777356296</v>
      </c>
      <c r="H26" s="22">
        <f>(H25-D25)*10000</f>
        <v>106.57578187650368</v>
      </c>
      <c r="I26" s="1"/>
      <c r="J26" s="8"/>
    </row>
    <row r="27">
      <c r="B27" s="1" t="s">
        <v>74</v>
      </c>
      <c r="C27" s="25">
        <f>C23/C58-1</f>
        <v>0.3351283226397801</v>
      </c>
      <c r="D27" s="25"/>
      <c r="E27" s="25">
        <f>E23/E58-1</f>
        <v>0.5366161616161615</v>
      </c>
      <c r="F27" s="25">
        <f>F23/F58-1</f>
        <v>0.5151636073423782</v>
      </c>
      <c r="G27" s="25">
        <f>G23/G58-1</f>
        <v>0.20325953259532592</v>
      </c>
      <c r="H27" s="34">
        <f>H23/D23-1</f>
        <v>0.33461210571184985</v>
      </c>
      <c r="I27" s="1"/>
      <c r="J27" s="8"/>
    </row>
    <row r="28">
      <c r="B28" s="1" t="s">
        <v>75</v>
      </c>
      <c r="C28" s="6"/>
      <c r="D28" s="6">
        <f>D23-G58</f>
        <v>267</v>
      </c>
      <c r="E28" s="6">
        <f>E23-D23</f>
        <v>132</v>
      </c>
      <c r="F28" s="6">
        <f>F23-E23</f>
        <v>146</v>
      </c>
      <c r="G28" s="6">
        <f>G23-F23</f>
        <v>116</v>
      </c>
      <c r="H28" s="22">
        <f>H23-G23</f>
        <v>783.5</v>
      </c>
      <c r="I28" s="1"/>
      <c r="J28" s="8"/>
    </row>
    <row r="29">
      <c r="B29" s="1" t="s">
        <v>76</v>
      </c>
      <c r="C29" s="25">
        <f>C23/C16</f>
        <v>0.9460907688560526</v>
      </c>
      <c r="D29" s="25">
        <f>D23/D16</f>
        <v>0.9406575781876504</v>
      </c>
      <c r="E29" s="25">
        <f>E23/E16</f>
        <v>0.9475733194913055</v>
      </c>
      <c r="F29" s="25">
        <f>F23/F16</f>
        <v>0.9426514399205561</v>
      </c>
      <c r="G29" s="25">
        <f>G23/G16</f>
        <v>0.9385943871431998</v>
      </c>
      <c r="H29" s="34">
        <f>H23/H16</f>
        <v>0.93</v>
      </c>
      <c r="I29" s="1"/>
      <c r="J29" s="8"/>
    </row>
    <row r="30">
      <c r="B30" s="1" t="s">
        <v>77</v>
      </c>
      <c r="C30" s="6"/>
      <c r="D30" s="6"/>
      <c r="E30" s="6">
        <f>(E29-D29)*10000</f>
        <v>69.15741303655132</v>
      </c>
      <c r="F30" s="6">
        <f>(F29-E29)*10000</f>
        <v>-49.2187957074941</v>
      </c>
      <c r="G30" s="6">
        <f>(G29-F29)*10000</f>
        <v>-40.57052777356351</v>
      </c>
      <c r="H30" s="22">
        <f>(H29-D29)*10000</f>
        <v>-106.57578187650341</v>
      </c>
      <c r="I30" s="1"/>
      <c r="J30" s="8"/>
    </row>
    <row r="31">
      <c r="B31" s="1" t="s">
        <v>78</v>
      </c>
      <c r="C31" s="25"/>
      <c r="D31" s="25"/>
      <c r="E31" s="25"/>
      <c r="F31" s="25"/>
      <c r="G31" s="25"/>
      <c r="H31" s="34">
        <f>(1+H34)/((1+H32)*(1+H33))-1</f>
        <v>0.23456790123456783</v>
      </c>
      <c r="I31" s="1"/>
      <c r="J31" s="8"/>
    </row>
    <row r="32">
      <c r="B32" s="1" t="s">
        <v>79</v>
      </c>
      <c r="C32" s="25"/>
      <c r="D32" s="25"/>
      <c r="E32" s="25"/>
      <c r="F32" s="25"/>
      <c r="G32" s="25"/>
      <c r="H32" s="34">
        <f>H18</f>
        <v>0</v>
      </c>
      <c r="I32" s="1"/>
      <c r="J32" s="8"/>
    </row>
    <row r="33">
      <c r="B33" s="1" t="s">
        <v>80</v>
      </c>
      <c r="C33" s="25"/>
      <c r="D33" s="25"/>
      <c r="E33" s="25"/>
      <c r="F33" s="25"/>
      <c r="G33" s="25"/>
      <c r="H33" s="34">
        <f>H19</f>
        <v>0</v>
      </c>
      <c r="I33" s="1"/>
      <c r="J33" s="8"/>
    </row>
    <row r="34">
      <c r="B34" s="1" t="s">
        <v>81</v>
      </c>
      <c r="C34" s="25"/>
      <c r="D34" s="25"/>
      <c r="E34" s="25"/>
      <c r="F34" s="25"/>
      <c r="G34" s="25"/>
      <c r="H34" s="34">
        <f>H11</f>
        <v>0.23456790123456783</v>
      </c>
      <c r="I34" s="1"/>
      <c r="J34" s="8"/>
    </row>
    <row r="35">
      <c r="B35" s="1" t="s">
        <v>82</v>
      </c>
      <c r="C35" s="6"/>
      <c r="D35" s="6"/>
      <c r="E35" s="6"/>
      <c r="F35" s="6"/>
      <c r="G35" s="6"/>
      <c r="H35" s="22"/>
      <c r="I35" s="1"/>
      <c r="J35" s="43">
        <v>8134</v>
      </c>
    </row>
    <row r="36">
      <c r="B36" s="1" t="s">
        <v>83</v>
      </c>
      <c r="C36" s="6"/>
      <c r="D36" s="6"/>
      <c r="E36" s="6"/>
      <c r="F36" s="6"/>
      <c r="G36" s="6"/>
      <c r="H36" s="22"/>
      <c r="I36" s="1"/>
      <c r="J36" s="8"/>
    </row>
    <row r="37">
      <c r="B37" s="1" t="s">
        <v>84</v>
      </c>
      <c r="C37" s="6"/>
      <c r="D37" s="6"/>
      <c r="E37" s="6"/>
      <c r="F37" s="6"/>
      <c r="G37" s="6"/>
      <c r="H37" s="22"/>
      <c r="I37" s="1"/>
      <c r="J37" s="43">
        <v>4193</v>
      </c>
    </row>
    <row r="38">
      <c r="B38" s="1" t="s">
        <v>85</v>
      </c>
      <c r="C38" s="6"/>
      <c r="D38" s="6"/>
      <c r="E38" s="6"/>
      <c r="F38" s="6"/>
      <c r="G38" s="6"/>
      <c r="H38" s="22"/>
      <c r="I38" s="1"/>
      <c r="J38" s="43">
        <v>4383</v>
      </c>
    </row>
    <row r="39">
      <c r="B39" s="41"/>
      <c r="C39" s="44"/>
      <c r="D39" s="44"/>
      <c r="E39" s="44"/>
      <c r="F39" s="44"/>
      <c r="G39" s="44"/>
      <c r="H39" s="40"/>
      <c r="I39" s="1"/>
      <c r="J39" s="8"/>
    </row>
    <row r="40" ht="26.25">
      <c r="B40" s="1"/>
      <c r="C40" s="6"/>
      <c r="D40" s="6"/>
      <c r="E40" s="6"/>
      <c r="F40" s="6"/>
      <c r="G40" s="6"/>
      <c r="H40" s="33"/>
      <c r="I40" s="1"/>
      <c r="J40" s="8"/>
    </row>
    <row r="41">
      <c r="B41" s="1"/>
      <c r="C41" s="6"/>
      <c r="D41" s="6"/>
      <c r="E41" s="6"/>
      <c r="F41" s="6"/>
      <c r="G41" s="6"/>
      <c r="H41" s="33"/>
      <c r="I41" s="1"/>
      <c r="J41" s="1"/>
    </row>
    <row r="42">
      <c r="B42" s="1"/>
      <c r="C42" s="6"/>
      <c r="D42" s="6"/>
      <c r="E42" s="6"/>
      <c r="F42" s="6"/>
      <c r="G42" s="6"/>
      <c r="H42" s="22"/>
      <c r="I42" s="1"/>
      <c r="J42" s="1"/>
    </row>
    <row r="43">
      <c r="B43" s="1"/>
      <c r="C43" s="6"/>
      <c r="D43" s="6"/>
      <c r="E43" s="6"/>
      <c r="F43" s="6"/>
      <c r="G43" s="6"/>
      <c r="H43" s="22"/>
      <c r="I43" s="1"/>
      <c r="J43" s="1"/>
    </row>
    <row r="44">
      <c r="B44" s="1" t="s">
        <v>86</v>
      </c>
      <c r="C44" s="25"/>
      <c r="D44" s="25"/>
      <c r="E44" s="25"/>
      <c r="F44" s="25"/>
      <c r="G44" s="25"/>
      <c r="H44" s="34">
        <f>(1+H47)/((1+H45)*(1+H46))-1</f>
        <v>0.49847094801223246</v>
      </c>
      <c r="I44" s="1"/>
      <c r="J44" s="1"/>
    </row>
    <row r="45">
      <c r="B45" s="1" t="s">
        <v>87</v>
      </c>
      <c r="C45" s="25"/>
      <c r="D45" s="25"/>
      <c r="E45" s="25"/>
      <c r="F45" s="25"/>
      <c r="G45" s="25"/>
      <c r="H45" s="34">
        <f>H18</f>
        <v>0</v>
      </c>
      <c r="I45" s="1"/>
      <c r="J45" s="1"/>
    </row>
    <row r="46">
      <c r="B46" s="1" t="s">
        <v>88</v>
      </c>
      <c r="C46" s="25"/>
      <c r="D46" s="25"/>
      <c r="E46" s="25"/>
      <c r="F46" s="25"/>
      <c r="G46" s="25"/>
      <c r="H46" s="34">
        <f>H19</f>
        <v>0</v>
      </c>
      <c r="I46" s="1"/>
      <c r="J46" s="1"/>
    </row>
    <row r="47">
      <c r="B47" s="1" t="s">
        <v>89</v>
      </c>
      <c r="C47" s="25"/>
      <c r="D47" s="25"/>
      <c r="E47" s="25"/>
      <c r="F47" s="25"/>
      <c r="G47" s="25"/>
      <c r="H47" s="34">
        <f>H14</f>
        <v>0.49847094801223246</v>
      </c>
      <c r="I47" s="1"/>
      <c r="J47" s="1"/>
    </row>
    <row r="48">
      <c r="B48" s="1"/>
      <c r="C48" s="1"/>
      <c r="D48" s="1"/>
      <c r="E48" s="1"/>
      <c r="F48" s="1"/>
      <c r="G48" s="1"/>
      <c r="H48" s="1"/>
      <c r="I48" s="1"/>
      <c r="J48" s="1"/>
    </row>
    <row r="49">
      <c r="B49" s="1" t="s">
        <v>90</v>
      </c>
      <c r="C49" s="1"/>
      <c r="D49" s="1"/>
      <c r="E49" s="1"/>
      <c r="F49" s="1"/>
      <c r="G49" s="1"/>
      <c r="H49" s="1"/>
      <c r="I49" s="1"/>
      <c r="J49" s="1"/>
    </row>
    <row r="50">
      <c r="B50" s="1" t="s">
        <v>91</v>
      </c>
      <c r="C50" s="14">
        <v>4464</v>
      </c>
      <c r="D50" s="6"/>
      <c r="E50" s="14">
        <v>1106</v>
      </c>
      <c r="F50" s="14">
        <v>1217</v>
      </c>
      <c r="G50" s="14">
        <v>1870</v>
      </c>
      <c r="H50" s="1"/>
      <c r="I50" s="1"/>
      <c r="J50" s="1"/>
    </row>
    <row r="51">
      <c r="B51" s="1" t="s">
        <v>92</v>
      </c>
      <c r="C51" s="14">
        <v>4733</v>
      </c>
      <c r="D51" s="6"/>
      <c r="E51" s="14">
        <v>1390</v>
      </c>
      <c r="F51" s="14">
        <v>1430</v>
      </c>
      <c r="G51" s="14">
        <v>1563</v>
      </c>
      <c r="H51" s="1"/>
      <c r="I51" s="1"/>
      <c r="J51" s="1"/>
    </row>
    <row r="52">
      <c r="B52" s="1" t="s">
        <v>93</v>
      </c>
      <c r="C52" s="6">
        <f>C50+C51</f>
        <v>9197</v>
      </c>
      <c r="D52" s="6"/>
      <c r="E52" s="6">
        <f>E50+E51</f>
        <v>2496</v>
      </c>
      <c r="F52" s="6">
        <f>F50+F51</f>
        <v>2647</v>
      </c>
      <c r="G52" s="6">
        <f>G50+G51</f>
        <v>3433</v>
      </c>
      <c r="H52" s="1"/>
      <c r="I52" s="1"/>
      <c r="J52" s="1"/>
    </row>
    <row r="53">
      <c r="B53" s="1" t="s">
        <v>94</v>
      </c>
      <c r="C53" s="6"/>
      <c r="D53" s="6">
        <f>G50</f>
        <v>1870</v>
      </c>
      <c r="E53" s="6"/>
      <c r="F53" s="6"/>
      <c r="G53" s="6"/>
      <c r="H53" s="1"/>
      <c r="I53" s="1"/>
      <c r="J53" s="1"/>
    </row>
    <row r="54">
      <c r="B54" s="1" t="s">
        <v>95</v>
      </c>
      <c r="C54" s="6"/>
      <c r="D54" s="6">
        <f>G51</f>
        <v>1563</v>
      </c>
      <c r="E54" s="6"/>
      <c r="F54" s="6"/>
      <c r="G54" s="6"/>
      <c r="H54" s="1"/>
      <c r="I54" s="1"/>
      <c r="J54" s="1"/>
    </row>
    <row r="55">
      <c r="B55" s="1"/>
      <c r="C55" s="1"/>
      <c r="D55" s="1"/>
      <c r="E55" s="1"/>
      <c r="F55" s="1"/>
      <c r="G55" s="1"/>
      <c r="H55" s="1"/>
      <c r="I55" s="1"/>
      <c r="J55" s="1"/>
    </row>
    <row r="58">
      <c r="B58" s="1" t="s">
        <v>96</v>
      </c>
      <c r="C58" s="42">
        <v>8728</v>
      </c>
      <c r="D58" s="1"/>
      <c r="E58" s="42">
        <v>2376</v>
      </c>
      <c r="F58" s="42">
        <v>2506</v>
      </c>
      <c r="G58" s="42">
        <v>3252</v>
      </c>
      <c r="H58" s="1"/>
      <c r="I58" s="1"/>
      <c r="J58" s="1"/>
    </row>
    <row r="60">
      <c r="B60" s="7" t="s">
        <v>97</v>
      </c>
      <c r="C60" s="19"/>
      <c r="D60" s="19"/>
      <c r="E60" s="19"/>
      <c r="F60" s="19"/>
      <c r="G60" s="19"/>
      <c r="H60" s="21"/>
      <c r="I60" s="1"/>
      <c r="J60" s="1" t="s">
        <v>98</v>
      </c>
    </row>
    <row r="61" ht="24">
      <c r="B61" s="8" t="s">
        <v>113</v>
      </c>
      <c r="C61" s="6"/>
      <c r="D61" s="6"/>
      <c r="E61" s="6"/>
      <c r="F61" s="6"/>
      <c r="G61" s="6"/>
      <c r="H61" s="33">
        <v>3300</v>
      </c>
      <c r="I61" s="1"/>
      <c r="J61" s="1"/>
    </row>
    <row r="62">
      <c r="B62" s="8" t="s">
        <v>100</v>
      </c>
      <c r="C62" s="6"/>
      <c r="D62" s="6"/>
      <c r="E62" s="6"/>
      <c r="F62" s="6"/>
      <c r="G62" s="6"/>
      <c r="H62" s="22" t="s">
        <v>101</v>
      </c>
      <c r="I62" s="1"/>
      <c r="J62" s="1"/>
    </row>
    <row r="63">
      <c r="B63" s="8" t="s">
        <v>102</v>
      </c>
      <c r="C63" s="6"/>
      <c r="D63" s="6"/>
      <c r="E63" s="6"/>
      <c r="F63" s="6"/>
      <c r="G63" s="6"/>
      <c r="H63" s="22" t="s">
        <v>101</v>
      </c>
      <c r="I63" s="1"/>
      <c r="J63" s="1"/>
    </row>
    <row r="64">
      <c r="B64" s="8" t="s">
        <v>103</v>
      </c>
      <c r="C64" s="6"/>
      <c r="D64" s="6"/>
      <c r="E64" s="6"/>
      <c r="F64" s="6"/>
      <c r="G64" s="6"/>
      <c r="H64" s="22" t="s">
        <v>101</v>
      </c>
      <c r="I64" s="1"/>
      <c r="J64" s="1"/>
    </row>
    <row r="65">
      <c r="B65" s="8" t="s">
        <v>104</v>
      </c>
      <c r="C65" s="6"/>
      <c r="D65" s="6"/>
      <c r="E65" s="6"/>
      <c r="F65" s="6"/>
      <c r="G65" s="6"/>
      <c r="H65" s="22" t="s">
        <v>101</v>
      </c>
      <c r="I65" s="1"/>
      <c r="J65" s="1"/>
    </row>
    <row r="66">
      <c r="B66" s="8" t="s">
        <v>105</v>
      </c>
      <c r="C66" s="6"/>
      <c r="D66" s="6"/>
      <c r="E66" s="6"/>
      <c r="F66" s="6"/>
      <c r="G66" s="6"/>
      <c r="H66" s="22" t="s">
        <v>101</v>
      </c>
      <c r="I66" s="1"/>
      <c r="J66" s="1"/>
    </row>
    <row r="67">
      <c r="B67" s="8" t="s">
        <v>106</v>
      </c>
      <c r="C67" s="6"/>
      <c r="D67" s="6"/>
      <c r="E67" s="6"/>
      <c r="F67" s="6"/>
      <c r="G67" s="6"/>
      <c r="H67" s="22" t="s">
        <v>101</v>
      </c>
      <c r="I67" s="1"/>
      <c r="J67" s="1"/>
    </row>
    <row r="68">
      <c r="B68" s="8" t="s">
        <v>107</v>
      </c>
      <c r="C68" s="25"/>
      <c r="D68" s="25"/>
      <c r="E68" s="25"/>
      <c r="F68" s="25"/>
      <c r="G68" s="25"/>
      <c r="H68" s="34">
        <f>H61/H16</f>
        <v>0.6534653465346535</v>
      </c>
      <c r="I68" s="1"/>
      <c r="J68" s="1"/>
    </row>
    <row r="69">
      <c r="B69" s="8"/>
      <c r="C69" s="6"/>
      <c r="D69" s="6"/>
      <c r="E69" s="6"/>
      <c r="F69" s="6"/>
      <c r="G69" s="6"/>
      <c r="H69" s="22"/>
      <c r="I69" s="1"/>
      <c r="J69" s="1"/>
    </row>
    <row r="70" ht="24">
      <c r="B70" s="8" t="s">
        <v>114</v>
      </c>
      <c r="C70" s="6"/>
      <c r="D70" s="6"/>
      <c r="E70" s="6"/>
      <c r="F70" s="6"/>
      <c r="G70" s="6"/>
      <c r="H70" s="33">
        <v>940</v>
      </c>
      <c r="I70" s="1"/>
      <c r="J70" s="1"/>
    </row>
    <row r="71">
      <c r="B71" s="8" t="s">
        <v>100</v>
      </c>
      <c r="C71" s="6"/>
      <c r="D71" s="6"/>
      <c r="E71" s="6"/>
      <c r="F71" s="6"/>
      <c r="G71" s="6"/>
      <c r="H71" s="22" t="s">
        <v>101</v>
      </c>
      <c r="I71" s="1"/>
      <c r="J71" s="1"/>
    </row>
    <row r="72">
      <c r="B72" s="8" t="s">
        <v>102</v>
      </c>
      <c r="C72" s="6"/>
      <c r="D72" s="6"/>
      <c r="E72" s="6"/>
      <c r="F72" s="6"/>
      <c r="G72" s="6"/>
      <c r="H72" s="22" t="s">
        <v>101</v>
      </c>
      <c r="I72" s="1"/>
      <c r="J72" s="1"/>
    </row>
    <row r="73">
      <c r="B73" s="8" t="s">
        <v>103</v>
      </c>
      <c r="C73" s="6"/>
      <c r="D73" s="6"/>
      <c r="E73" s="6"/>
      <c r="F73" s="6"/>
      <c r="G73" s="6"/>
      <c r="H73" s="22" t="s">
        <v>101</v>
      </c>
      <c r="I73" s="1"/>
      <c r="J73" s="1"/>
    </row>
    <row r="74">
      <c r="B74" s="8" t="s">
        <v>104</v>
      </c>
      <c r="C74" s="6"/>
      <c r="D74" s="6"/>
      <c r="E74" s="6"/>
      <c r="F74" s="6"/>
      <c r="G74" s="6"/>
      <c r="H74" s="22" t="s">
        <v>101</v>
      </c>
      <c r="I74" s="1"/>
      <c r="J74" s="1"/>
    </row>
    <row r="75">
      <c r="B75" s="8" t="s">
        <v>105</v>
      </c>
      <c r="C75" s="6"/>
      <c r="D75" s="6"/>
      <c r="E75" s="6"/>
      <c r="F75" s="6"/>
      <c r="G75" s="6"/>
      <c r="H75" s="22" t="s">
        <v>101</v>
      </c>
      <c r="I75" s="1"/>
      <c r="J75" s="1"/>
    </row>
    <row r="76">
      <c r="B76" s="8" t="s">
        <v>106</v>
      </c>
      <c r="C76" s="6"/>
      <c r="D76" s="6"/>
      <c r="E76" s="6"/>
      <c r="F76" s="6"/>
      <c r="G76" s="6"/>
      <c r="H76" s="22" t="s">
        <v>101</v>
      </c>
      <c r="I76" s="1"/>
      <c r="J76" s="1"/>
    </row>
    <row r="77">
      <c r="B77" s="8" t="s">
        <v>107</v>
      </c>
      <c r="C77" s="25"/>
      <c r="D77" s="25"/>
      <c r="E77" s="25"/>
      <c r="F77" s="25"/>
      <c r="G77" s="25"/>
      <c r="H77" s="34">
        <f>H70/H16</f>
        <v>0.18613861386138614</v>
      </c>
      <c r="I77" s="1"/>
      <c r="J77" s="1"/>
    </row>
    <row r="78">
      <c r="B78" s="8"/>
      <c r="C78" s="6"/>
      <c r="D78" s="6"/>
      <c r="E78" s="6"/>
      <c r="F78" s="6"/>
      <c r="G78" s="6"/>
      <c r="H78" s="22"/>
      <c r="I78" s="1"/>
      <c r="J78" s="1"/>
    </row>
    <row r="79" ht="24">
      <c r="B79" s="8" t="s">
        <v>115</v>
      </c>
      <c r="C79" s="6"/>
      <c r="D79" s="6"/>
      <c r="E79" s="6"/>
      <c r="F79" s="6"/>
      <c r="G79" s="6"/>
      <c r="H79" s="22">
        <f>H16-H61-H70</f>
        <v>810</v>
      </c>
      <c r="I79" s="1"/>
      <c r="J79" s="1"/>
    </row>
    <row r="80">
      <c r="B80" s="8" t="s">
        <v>100</v>
      </c>
      <c r="C80" s="6"/>
      <c r="D80" s="6"/>
      <c r="E80" s="6"/>
      <c r="F80" s="6"/>
      <c r="G80" s="6"/>
      <c r="H80" s="22" t="s">
        <v>101</v>
      </c>
      <c r="I80" s="1"/>
      <c r="J80" s="1"/>
    </row>
    <row r="81">
      <c r="B81" s="8" t="s">
        <v>102</v>
      </c>
      <c r="C81" s="6"/>
      <c r="D81" s="6"/>
      <c r="E81" s="6"/>
      <c r="F81" s="6"/>
      <c r="G81" s="6"/>
      <c r="H81" s="22" t="s">
        <v>101</v>
      </c>
      <c r="I81" s="1"/>
      <c r="J81" s="1"/>
    </row>
    <row r="82">
      <c r="B82" s="8" t="s">
        <v>103</v>
      </c>
      <c r="C82" s="6"/>
      <c r="D82" s="6"/>
      <c r="E82" s="6"/>
      <c r="F82" s="6"/>
      <c r="G82" s="6"/>
      <c r="H82" s="22" t="s">
        <v>101</v>
      </c>
      <c r="I82" s="1"/>
      <c r="J82" s="1"/>
    </row>
    <row r="83">
      <c r="B83" s="8" t="s">
        <v>104</v>
      </c>
      <c r="C83" s="6"/>
      <c r="D83" s="6"/>
      <c r="E83" s="6"/>
      <c r="F83" s="6"/>
      <c r="G83" s="6"/>
      <c r="H83" s="22" t="s">
        <v>101</v>
      </c>
      <c r="I83" s="1"/>
      <c r="J83" s="1"/>
    </row>
    <row r="84">
      <c r="B84" s="8" t="s">
        <v>105</v>
      </c>
      <c r="C84" s="6"/>
      <c r="D84" s="6"/>
      <c r="E84" s="6"/>
      <c r="F84" s="6"/>
      <c r="G84" s="6"/>
      <c r="H84" s="22" t="s">
        <v>101</v>
      </c>
      <c r="I84" s="1"/>
      <c r="J84" s="1"/>
    </row>
    <row r="85">
      <c r="B85" s="8" t="s">
        <v>106</v>
      </c>
      <c r="C85" s="6"/>
      <c r="D85" s="6"/>
      <c r="E85" s="6"/>
      <c r="F85" s="6"/>
      <c r="G85" s="6"/>
      <c r="H85" s="22" t="s">
        <v>101</v>
      </c>
      <c r="I85" s="1"/>
      <c r="J85" s="1"/>
    </row>
    <row r="86">
      <c r="B86" s="8" t="s">
        <v>107</v>
      </c>
      <c r="C86" s="25"/>
      <c r="D86" s="25"/>
      <c r="E86" s="25"/>
      <c r="F86" s="25"/>
      <c r="G86" s="25"/>
      <c r="H86" s="34">
        <f>H79/H16</f>
        <v>0.1603960396039604</v>
      </c>
      <c r="I86" s="1"/>
      <c r="J86" s="1"/>
    </row>
    <row r="87">
      <c r="B87" s="8"/>
      <c r="C87" s="6"/>
      <c r="D87" s="6"/>
      <c r="E87" s="6"/>
      <c r="F87" s="6"/>
      <c r="G87" s="6"/>
      <c r="H87" s="22"/>
      <c r="I87" s="1"/>
      <c r="J87" s="1"/>
    </row>
    <row r="88">
      <c r="B88" s="39" t="s">
        <v>110</v>
      </c>
      <c r="C88" s="19"/>
      <c r="D88" s="19"/>
      <c r="E88" s="19"/>
      <c r="F88" s="19"/>
      <c r="G88" s="19"/>
      <c r="H88" s="21">
        <f>SUM(H61,H70,H79)</f>
        <v>5050</v>
      </c>
      <c r="I88" s="1"/>
      <c r="J88" s="1"/>
    </row>
    <row r="89">
      <c r="B89" s="39" t="s">
        <v>111</v>
      </c>
      <c r="C89" s="19"/>
      <c r="D89" s="19"/>
      <c r="E89" s="19"/>
      <c r="F89" s="19"/>
      <c r="G89" s="19"/>
      <c r="H89" s="21">
        <f>H88-H16</f>
        <v>0</v>
      </c>
      <c r="I89" s="1"/>
      <c r="J89" s="1"/>
    </row>
  </sheetData>
</worksheet>
</file>

<file path=xl/worksheets/sheet5.xml><?xml version="1.0" encoding="utf-8"?>
<worksheet xmlns="http://schemas.openxmlformats.org/spreadsheetml/2006/main" xmlns:r="http://schemas.openxmlformats.org/officeDocument/2006/relationships">
  <dimension ref="B2:J89"/>
  <sheetViews>
    <sheetView showGridLines="0" workbookViewId="0">
      <pane xSplit="2" ySplit="8" topLeftCell="C9" activePane="bottomRight" state="frozen"/>
    </sheetView>
  </sheetViews>
  <sheetFormatPr defaultColWidth="8.42578125" defaultRowHeight="15"/>
  <cols>
    <col min="2" max="2" width="34" customWidth="1"/>
    <col min="3" max="8" width="13" customWidth="1"/>
    <col min="10" max="10" width="56" customWidth="1"/>
  </cols>
  <sheetData>
    <row r="2">
      <c r="B2" s="2" t="s">
        <v>0</v>
      </c>
      <c r="C2" s="2"/>
      <c r="D2" s="2"/>
      <c r="E2" s="2"/>
      <c r="F2" s="2"/>
      <c r="G2" s="2"/>
      <c r="H2" s="2"/>
      <c r="I2" s="1"/>
      <c r="J2" s="1"/>
    </row>
    <row r="3">
      <c r="B3" s="2" t="s">
        <v>116</v>
      </c>
      <c r="C3" s="2"/>
      <c r="D3" s="2"/>
      <c r="E3" s="2"/>
      <c r="F3" s="2"/>
      <c r="G3" s="2"/>
      <c r="H3" s="2"/>
      <c r="I3" s="1"/>
      <c r="J3" s="1"/>
    </row>
    <row r="4">
      <c r="B4" s="1" t="s">
        <v>2</v>
      </c>
      <c r="C4" s="1"/>
      <c r="D4" s="1"/>
      <c r="E4" s="1"/>
      <c r="F4" s="1"/>
      <c r="G4" s="1"/>
      <c r="H4" s="1"/>
      <c r="I4" s="1"/>
      <c r="J4" s="1"/>
    </row>
    <row r="5">
      <c r="B5" s="4" t="s">
        <v>3</v>
      </c>
      <c r="C5" s="4" t="s">
        <v>4</v>
      </c>
      <c r="D5" s="4" t="s">
        <v>5</v>
      </c>
      <c r="E5" s="4" t="s">
        <v>6</v>
      </c>
      <c r="F5" s="4" t="s">
        <v>7</v>
      </c>
      <c r="G5" s="4" t="s">
        <v>8</v>
      </c>
      <c r="H5" s="18" t="s">
        <v>9</v>
      </c>
      <c r="I5" s="1"/>
      <c r="J5" s="1"/>
    </row>
    <row r="6">
      <c r="B6" s="4" t="s">
        <v>10</v>
      </c>
      <c r="C6" s="11">
        <v>45900</v>
      </c>
      <c r="D6" s="11">
        <v>45900</v>
      </c>
      <c r="E6" s="11">
        <v>45991</v>
      </c>
      <c r="F6" s="11">
        <v>46081</v>
      </c>
      <c r="G6" s="11">
        <v>46173</v>
      </c>
      <c r="H6" s="29">
        <v>46265</v>
      </c>
      <c r="I6" s="1"/>
      <c r="J6" s="1"/>
    </row>
    <row r="7">
      <c r="B7" s="4" t="s">
        <v>11</v>
      </c>
      <c r="C7" s="4">
        <v>365</v>
      </c>
      <c r="D7" s="4">
        <v>92</v>
      </c>
      <c r="E7" s="4">
        <v>91</v>
      </c>
      <c r="F7" s="4">
        <v>90</v>
      </c>
      <c r="G7" s="4">
        <v>92</v>
      </c>
      <c r="H7" s="18">
        <v>92</v>
      </c>
      <c r="I7" s="1"/>
      <c r="J7" s="1"/>
    </row>
    <row r="8">
      <c r="B8" s="1"/>
      <c r="C8" s="1"/>
      <c r="D8" s="1"/>
      <c r="E8" s="1"/>
      <c r="F8" s="1"/>
      <c r="G8" s="1"/>
      <c r="H8" s="1"/>
      <c r="I8" s="1"/>
      <c r="J8" s="1"/>
    </row>
    <row r="9">
      <c r="B9" s="41" t="s">
        <v>57</v>
      </c>
      <c r="C9" s="41"/>
      <c r="D9" s="41"/>
      <c r="E9" s="41"/>
      <c r="F9" s="41"/>
      <c r="G9" s="41"/>
      <c r="H9" s="47"/>
      <c r="I9" s="1"/>
      <c r="J9" s="1"/>
    </row>
    <row r="10">
      <c r="B10" s="1" t="s">
        <v>58</v>
      </c>
      <c r="C10" s="14">
        <v>1727</v>
      </c>
      <c r="D10" s="6">
        <f>C10-J37</f>
        <v>503</v>
      </c>
      <c r="E10" s="14">
        <v>525</v>
      </c>
      <c r="F10" s="14">
        <v>427</v>
      </c>
      <c r="G10" s="14">
        <v>499</v>
      </c>
      <c r="H10" s="33">
        <v>510</v>
      </c>
      <c r="I10" s="1"/>
      <c r="J10" s="1"/>
    </row>
    <row r="11">
      <c r="B11" s="1" t="s">
        <v>59</v>
      </c>
      <c r="C11" s="25">
        <f>C10/C50-1</f>
        <v>-0.4910109048040082</v>
      </c>
      <c r="D11" s="25"/>
      <c r="E11" s="25">
        <f>E10/E50-1</f>
        <v>0.15384615384615374</v>
      </c>
      <c r="F11" s="25">
        <f>F10/F50-1</f>
        <v>0.1698630136986301</v>
      </c>
      <c r="G11" s="25">
        <f>G10/G50-1</f>
        <v>0.23514851485148514</v>
      </c>
      <c r="H11" s="34">
        <f>H10/D10-1</f>
        <v>0.013916500994035852</v>
      </c>
      <c r="I11" s="1"/>
      <c r="J11" s="1"/>
    </row>
    <row r="12">
      <c r="B12" s="1" t="s">
        <v>60</v>
      </c>
      <c r="C12" s="6"/>
      <c r="D12" s="6">
        <f>D10-D53</f>
        <v>99</v>
      </c>
      <c r="E12" s="6">
        <f>E10-D10</f>
        <v>22</v>
      </c>
      <c r="F12" s="6">
        <f>F10-E10</f>
        <v>-98</v>
      </c>
      <c r="G12" s="6">
        <f>G10-F10</f>
        <v>72</v>
      </c>
      <c r="H12" s="22">
        <f>H10-G10</f>
        <v>11</v>
      </c>
      <c r="I12" s="1"/>
      <c r="J12" s="1"/>
    </row>
    <row r="13">
      <c r="B13" s="1" t="s">
        <v>61</v>
      </c>
      <c r="C13" s="14">
        <v>3879</v>
      </c>
      <c r="D13" s="6">
        <f>C13-J38</f>
        <v>883</v>
      </c>
      <c r="E13" s="14">
        <v>854</v>
      </c>
      <c r="F13" s="14">
        <v>801</v>
      </c>
      <c r="G13" s="14">
        <v>902</v>
      </c>
      <c r="H13" s="33">
        <v>930</v>
      </c>
      <c r="I13" s="1"/>
      <c r="J13" s="1"/>
    </row>
    <row r="14">
      <c r="B14" s="1" t="s">
        <v>59</v>
      </c>
      <c r="C14" s="25">
        <f>C13/C51-1</f>
        <v>-0.0379464285714286</v>
      </c>
      <c r="D14" s="25"/>
      <c r="E14" s="25">
        <f>E13/E51-1</f>
        <v>-0.2136279926335175</v>
      </c>
      <c r="F14" s="25">
        <f>F13/F51-1</f>
        <v>-0.17846153846153845</v>
      </c>
      <c r="G14" s="25">
        <f>G13/G51-1</f>
        <v>-0.03529411764705881</v>
      </c>
      <c r="H14" s="34">
        <f>H13/D13-1</f>
        <v>0.053227633069082625</v>
      </c>
      <c r="I14" s="1"/>
      <c r="J14" s="1"/>
    </row>
    <row r="15">
      <c r="B15" s="1" t="s">
        <v>60</v>
      </c>
      <c r="C15" s="6"/>
      <c r="D15" s="6">
        <f>D13-D54</f>
        <v>-52</v>
      </c>
      <c r="E15" s="6">
        <f>E13-D13</f>
        <v>-29</v>
      </c>
      <c r="F15" s="6">
        <f>F13-E13</f>
        <v>-53</v>
      </c>
      <c r="G15" s="6">
        <f>G13-F13</f>
        <v>101</v>
      </c>
      <c r="H15" s="22">
        <f>H13-G13</f>
        <v>28</v>
      </c>
      <c r="I15" s="1"/>
      <c r="J15" s="1"/>
    </row>
    <row r="16">
      <c r="B16" s="41" t="s">
        <v>62</v>
      </c>
      <c r="C16" s="44">
        <f>C10+C13</f>
        <v>5606</v>
      </c>
      <c r="D16" s="44">
        <f>D10+D13</f>
        <v>1386</v>
      </c>
      <c r="E16" s="44">
        <f>E10+E13</f>
        <v>1379</v>
      </c>
      <c r="F16" s="44">
        <f>F10+F13</f>
        <v>1228</v>
      </c>
      <c r="G16" s="44">
        <f>G10+G13</f>
        <v>1401</v>
      </c>
      <c r="H16" s="40">
        <f>H10+H13</f>
        <v>1440</v>
      </c>
      <c r="I16" s="1"/>
      <c r="J16" s="1"/>
    </row>
    <row r="17" ht="24.75">
      <c r="B17" s="1" t="s">
        <v>63</v>
      </c>
      <c r="C17" s="25"/>
      <c r="D17" s="25"/>
      <c r="E17" s="25"/>
      <c r="F17" s="25"/>
      <c r="G17" s="25"/>
      <c r="H17" s="34">
        <f>(1+H20)/((1+H18)*(1+H19))-1</f>
        <v>0.03896103896103886</v>
      </c>
      <c r="I17" s="1"/>
      <c r="J17" s="8" t="s">
        <v>64</v>
      </c>
    </row>
    <row r="18">
      <c r="B18" s="1" t="s">
        <v>65</v>
      </c>
      <c r="C18" s="38"/>
      <c r="D18" s="25"/>
      <c r="E18" s="38"/>
      <c r="F18" s="38"/>
      <c r="G18" s="38"/>
      <c r="H18" s="36">
        <f>Inputs!C97</f>
        <v>0</v>
      </c>
      <c r="I18" s="1"/>
      <c r="J18" s="8"/>
    </row>
    <row r="19">
      <c r="B19" s="1" t="s">
        <v>66</v>
      </c>
      <c r="C19" s="38"/>
      <c r="D19" s="25"/>
      <c r="E19" s="38"/>
      <c r="F19" s="38"/>
      <c r="G19" s="38"/>
      <c r="H19" s="36">
        <f>Inputs!C97</f>
        <v>0</v>
      </c>
      <c r="I19" s="1"/>
      <c r="J19" s="8"/>
    </row>
    <row r="20">
      <c r="B20" s="1" t="s">
        <v>67</v>
      </c>
      <c r="C20" s="25">
        <f>C16/C52-1</f>
        <v>-0.24498316498316497</v>
      </c>
      <c r="D20" s="25"/>
      <c r="E20" s="25">
        <f>E16/E52-1</f>
        <v>-0.10512654120700848</v>
      </c>
      <c r="F20" s="25">
        <f>F16/F52-1</f>
        <v>-0.08358208955223878</v>
      </c>
      <c r="G20" s="25">
        <f>G16/G52-1</f>
        <v>0.04630321135175497</v>
      </c>
      <c r="H20" s="34">
        <f>H16/D16-1</f>
        <v>0.03896103896103886</v>
      </c>
      <c r="I20" s="1"/>
      <c r="J20" s="8"/>
    </row>
    <row r="21">
      <c r="B21" s="1" t="s">
        <v>68</v>
      </c>
      <c r="C21" s="25"/>
      <c r="D21" s="25"/>
      <c r="E21" s="25"/>
      <c r="F21" s="25"/>
      <c r="G21" s="25"/>
      <c r="H21" s="34">
        <f>H16/G16-1</f>
        <v>0.027837259100642386</v>
      </c>
      <c r="I21" s="1"/>
      <c r="J21" s="8"/>
    </row>
    <row r="22">
      <c r="B22" s="1" t="s">
        <v>69</v>
      </c>
      <c r="C22" s="25">
        <f>C10/C16</f>
        <v>0.30806278986799857</v>
      </c>
      <c r="D22" s="25">
        <f>D10/D16</f>
        <v>0.3629148629148629</v>
      </c>
      <c r="E22" s="25">
        <f>E10/E16</f>
        <v>0.38071065989847713</v>
      </c>
      <c r="F22" s="25">
        <f>F10/F16</f>
        <v>0.3477198697068404</v>
      </c>
      <c r="G22" s="25">
        <f>G10/G16</f>
        <v>0.3561741613133476</v>
      </c>
      <c r="H22" s="34">
        <f>H10/H16</f>
        <v>0.3541666666666667</v>
      </c>
      <c r="I22" s="1"/>
      <c r="J22" s="8"/>
    </row>
    <row r="23">
      <c r="B23" s="1" t="s">
        <v>70</v>
      </c>
      <c r="C23" s="14">
        <v>5293</v>
      </c>
      <c r="D23" s="6">
        <f>C23-J35</f>
        <v>1294</v>
      </c>
      <c r="E23" s="14">
        <v>1304</v>
      </c>
      <c r="F23" s="14">
        <v>1168</v>
      </c>
      <c r="G23" s="14">
        <v>1333</v>
      </c>
      <c r="H23" s="22">
        <f>H16-H24</f>
        <v>1372.032</v>
      </c>
      <c r="I23" s="1"/>
      <c r="J23" s="8"/>
    </row>
    <row r="24">
      <c r="B24" s="41" t="s">
        <v>71</v>
      </c>
      <c r="C24" s="44">
        <f>C16-C23</f>
        <v>313</v>
      </c>
      <c r="D24" s="44">
        <f>D16-D23</f>
        <v>92</v>
      </c>
      <c r="E24" s="44">
        <f>E16-E23</f>
        <v>75</v>
      </c>
      <c r="F24" s="44">
        <f>F16-F23</f>
        <v>60</v>
      </c>
      <c r="G24" s="44">
        <f>G16-G23</f>
        <v>68</v>
      </c>
      <c r="H24" s="40">
        <f>H16*H25</f>
        <v>67.968</v>
      </c>
      <c r="I24" s="1"/>
      <c r="J24" s="8"/>
    </row>
    <row r="25">
      <c r="B25" s="1" t="s">
        <v>72</v>
      </c>
      <c r="C25" s="25">
        <f>C24/C16</f>
        <v>0.05583303603282198</v>
      </c>
      <c r="D25" s="25">
        <f>D24/D16</f>
        <v>0.06637806637806638</v>
      </c>
      <c r="E25" s="25">
        <f>E24/E16</f>
        <v>0.05438723712835388</v>
      </c>
      <c r="F25" s="25">
        <f>F24/F16</f>
        <v>0.048859934853420196</v>
      </c>
      <c r="G25" s="25">
        <f>G24/G16</f>
        <v>0.04853675945753034</v>
      </c>
      <c r="H25" s="52">
        <v>0.0472</v>
      </c>
      <c r="I25" s="1"/>
      <c r="J25" s="8"/>
    </row>
    <row r="26">
      <c r="B26" s="1" t="s">
        <v>73</v>
      </c>
      <c r="C26" s="6"/>
      <c r="D26" s="6"/>
      <c r="E26" s="6">
        <f>(E25-D25)*10000</f>
        <v>-119.90829249712502</v>
      </c>
      <c r="F26" s="6">
        <f>(F25-E25)*10000</f>
        <v>-55.273022749336846</v>
      </c>
      <c r="G26" s="6">
        <f>(G25-F25)*10000</f>
        <v>-3.2317539588985755</v>
      </c>
      <c r="H26" s="22">
        <f>(H25-D25)*10000</f>
        <v>-191.78066378066384</v>
      </c>
      <c r="I26" s="1"/>
      <c r="J26" s="8"/>
    </row>
    <row r="27">
      <c r="B27" s="1" t="s">
        <v>74</v>
      </c>
      <c r="C27" s="25">
        <f>C23/C58-1</f>
        <v>-0.23962074414595602</v>
      </c>
      <c r="D27" s="25"/>
      <c r="E27" s="25">
        <f>E23/E58-1</f>
        <v>-0.10192837465564741</v>
      </c>
      <c r="F27" s="25">
        <f>F23/F58-1</f>
        <v>-0.08678655199374508</v>
      </c>
      <c r="G27" s="25">
        <f>G23/G58-1</f>
        <v>0.05126182965299675</v>
      </c>
      <c r="H27" s="34">
        <f>H23/D23-1</f>
        <v>0.06030293663060271</v>
      </c>
      <c r="I27" s="1"/>
      <c r="J27" s="8"/>
    </row>
    <row r="28">
      <c r="B28" s="1" t="s">
        <v>75</v>
      </c>
      <c r="C28" s="6"/>
      <c r="D28" s="6">
        <f>D23-G58</f>
        <v>26</v>
      </c>
      <c r="E28" s="6">
        <f>E23-D23</f>
        <v>10</v>
      </c>
      <c r="F28" s="6">
        <f>F23-E23</f>
        <v>-136</v>
      </c>
      <c r="G28" s="6">
        <f>G23-F23</f>
        <v>165</v>
      </c>
      <c r="H28" s="22">
        <f>H23-G23</f>
        <v>39.031999999999925</v>
      </c>
      <c r="I28" s="1"/>
      <c r="J28" s="8"/>
    </row>
    <row r="29">
      <c r="B29" s="1" t="s">
        <v>76</v>
      </c>
      <c r="C29" s="25">
        <f>C23/C16</f>
        <v>0.944166963967178</v>
      </c>
      <c r="D29" s="25">
        <f>D23/D16</f>
        <v>0.9336219336219336</v>
      </c>
      <c r="E29" s="25">
        <f>E23/E16</f>
        <v>0.9456127628716461</v>
      </c>
      <c r="F29" s="25">
        <f>F23/F16</f>
        <v>0.9511400651465798</v>
      </c>
      <c r="G29" s="25">
        <f>G23/G16</f>
        <v>0.9514632405424697</v>
      </c>
      <c r="H29" s="34">
        <f>H23/H16</f>
        <v>0.9528</v>
      </c>
      <c r="I29" s="1"/>
      <c r="J29" s="8"/>
    </row>
    <row r="30">
      <c r="B30" s="1" t="s">
        <v>77</v>
      </c>
      <c r="C30" s="6"/>
      <c r="D30" s="6"/>
      <c r="E30" s="6">
        <f>(E29-D29)*10000</f>
        <v>119.90829249712509</v>
      </c>
      <c r="F30" s="6">
        <f>(F29-E29)*10000</f>
        <v>55.27302274933699</v>
      </c>
      <c r="G30" s="6">
        <f>(G29-F29)*10000</f>
        <v>3.231753958898853</v>
      </c>
      <c r="H30" s="22">
        <f>(H29-D29)*10000</f>
        <v>191.78066378066404</v>
      </c>
      <c r="I30" s="1"/>
      <c r="J30" s="8"/>
    </row>
    <row r="31">
      <c r="B31" s="1" t="s">
        <v>78</v>
      </c>
      <c r="C31" s="25"/>
      <c r="D31" s="25"/>
      <c r="E31" s="25"/>
      <c r="F31" s="25"/>
      <c r="G31" s="25"/>
      <c r="H31" s="34">
        <f>(1+H34)/((1+H32)*(1+H33))-1</f>
        <v>0.013916500994035852</v>
      </c>
      <c r="I31" s="1"/>
      <c r="J31" s="8"/>
    </row>
    <row r="32">
      <c r="B32" s="1" t="s">
        <v>79</v>
      </c>
      <c r="C32" s="25"/>
      <c r="D32" s="25"/>
      <c r="E32" s="25"/>
      <c r="F32" s="25"/>
      <c r="G32" s="25"/>
      <c r="H32" s="34">
        <f>H18</f>
        <v>0</v>
      </c>
      <c r="I32" s="1"/>
      <c r="J32" s="8"/>
    </row>
    <row r="33">
      <c r="B33" s="1" t="s">
        <v>80</v>
      </c>
      <c r="C33" s="25"/>
      <c r="D33" s="25"/>
      <c r="E33" s="25"/>
      <c r="F33" s="25"/>
      <c r="G33" s="25"/>
      <c r="H33" s="34">
        <f>H19</f>
        <v>0</v>
      </c>
      <c r="I33" s="1"/>
      <c r="J33" s="8"/>
    </row>
    <row r="34">
      <c r="B34" s="1" t="s">
        <v>81</v>
      </c>
      <c r="C34" s="25"/>
      <c r="D34" s="25"/>
      <c r="E34" s="25"/>
      <c r="F34" s="25"/>
      <c r="G34" s="25"/>
      <c r="H34" s="34">
        <f>H11</f>
        <v>0.013916500994035852</v>
      </c>
      <c r="I34" s="1"/>
      <c r="J34" s="8"/>
    </row>
    <row r="35">
      <c r="B35" s="1" t="s">
        <v>82</v>
      </c>
      <c r="C35" s="6"/>
      <c r="D35" s="6"/>
      <c r="E35" s="6"/>
      <c r="F35" s="6"/>
      <c r="G35" s="6"/>
      <c r="H35" s="22"/>
      <c r="I35" s="1"/>
      <c r="J35" s="43">
        <v>3999</v>
      </c>
    </row>
    <row r="36">
      <c r="B36" s="1" t="s">
        <v>83</v>
      </c>
      <c r="C36" s="6"/>
      <c r="D36" s="6"/>
      <c r="E36" s="6"/>
      <c r="F36" s="6"/>
      <c r="G36" s="6"/>
      <c r="H36" s="22"/>
      <c r="I36" s="1"/>
      <c r="J36" s="8"/>
    </row>
    <row r="37">
      <c r="B37" s="1" t="s">
        <v>84</v>
      </c>
      <c r="C37" s="6"/>
      <c r="D37" s="6"/>
      <c r="E37" s="6"/>
      <c r="F37" s="6"/>
      <c r="G37" s="6"/>
      <c r="H37" s="22"/>
      <c r="I37" s="1"/>
      <c r="J37" s="43">
        <v>1224</v>
      </c>
    </row>
    <row r="38">
      <c r="B38" s="1" t="s">
        <v>85</v>
      </c>
      <c r="C38" s="6"/>
      <c r="D38" s="6"/>
      <c r="E38" s="6"/>
      <c r="F38" s="6"/>
      <c r="G38" s="6"/>
      <c r="H38" s="22"/>
      <c r="I38" s="1"/>
      <c r="J38" s="43">
        <v>2996</v>
      </c>
    </row>
    <row r="39">
      <c r="B39" s="41"/>
      <c r="C39" s="44"/>
      <c r="D39" s="44"/>
      <c r="E39" s="44"/>
      <c r="F39" s="44"/>
      <c r="G39" s="44"/>
      <c r="H39" s="40"/>
      <c r="I39" s="1"/>
      <c r="J39" s="8"/>
    </row>
    <row r="40" ht="26.25">
      <c r="B40" s="1"/>
      <c r="C40" s="6"/>
      <c r="D40" s="6"/>
      <c r="E40" s="6"/>
      <c r="F40" s="6"/>
      <c r="G40" s="6"/>
      <c r="H40" s="33"/>
      <c r="I40" s="1"/>
      <c r="J40" s="8"/>
    </row>
    <row r="41">
      <c r="B41" s="1"/>
      <c r="C41" s="6"/>
      <c r="D41" s="6"/>
      <c r="E41" s="6"/>
      <c r="F41" s="6"/>
      <c r="G41" s="6"/>
      <c r="H41" s="22"/>
      <c r="I41" s="1"/>
      <c r="J41" s="1"/>
    </row>
    <row r="42">
      <c r="B42" s="1"/>
      <c r="C42" s="6"/>
      <c r="D42" s="6"/>
      <c r="E42" s="6"/>
      <c r="F42" s="6"/>
      <c r="G42" s="6"/>
      <c r="H42" s="22"/>
      <c r="I42" s="1"/>
      <c r="J42" s="1"/>
    </row>
    <row r="43">
      <c r="B43" s="1"/>
      <c r="C43" s="6"/>
      <c r="D43" s="6"/>
      <c r="E43" s="6"/>
      <c r="F43" s="6"/>
      <c r="G43" s="6"/>
      <c r="H43" s="22"/>
      <c r="I43" s="1"/>
      <c r="J43" s="1"/>
    </row>
    <row r="44">
      <c r="B44" s="1" t="s">
        <v>86</v>
      </c>
      <c r="C44" s="25"/>
      <c r="D44" s="25"/>
      <c r="E44" s="25"/>
      <c r="F44" s="25"/>
      <c r="G44" s="25"/>
      <c r="H44" s="34">
        <f>(1+H47)/((1+H45)*(1+H46))-1</f>
        <v>0.053227633069082625</v>
      </c>
      <c r="I44" s="1"/>
      <c r="J44" s="1"/>
    </row>
    <row r="45">
      <c r="B45" s="1" t="s">
        <v>87</v>
      </c>
      <c r="C45" s="25"/>
      <c r="D45" s="25"/>
      <c r="E45" s="25"/>
      <c r="F45" s="25"/>
      <c r="G45" s="25"/>
      <c r="H45" s="34">
        <f>H18</f>
        <v>0</v>
      </c>
      <c r="I45" s="1"/>
      <c r="J45" s="1"/>
    </row>
    <row r="46">
      <c r="B46" s="1" t="s">
        <v>88</v>
      </c>
      <c r="C46" s="25"/>
      <c r="D46" s="25"/>
      <c r="E46" s="25"/>
      <c r="F46" s="25"/>
      <c r="G46" s="25"/>
      <c r="H46" s="34">
        <f>H19</f>
        <v>0</v>
      </c>
      <c r="I46" s="1"/>
      <c r="J46" s="1"/>
    </row>
    <row r="47">
      <c r="B47" s="1" t="s">
        <v>89</v>
      </c>
      <c r="C47" s="25"/>
      <c r="D47" s="25"/>
      <c r="E47" s="25"/>
      <c r="F47" s="25"/>
      <c r="G47" s="25"/>
      <c r="H47" s="34">
        <f>H14</f>
        <v>0.053227633069082625</v>
      </c>
      <c r="I47" s="1"/>
      <c r="J47" s="1"/>
    </row>
    <row r="48">
      <c r="B48" s="1"/>
      <c r="C48" s="1"/>
      <c r="D48" s="1"/>
      <c r="E48" s="1"/>
      <c r="F48" s="1"/>
      <c r="G48" s="1"/>
      <c r="H48" s="1"/>
      <c r="I48" s="1"/>
      <c r="J48" s="1"/>
    </row>
    <row r="49">
      <c r="B49" s="1" t="s">
        <v>90</v>
      </c>
      <c r="C49" s="1"/>
      <c r="D49" s="1"/>
      <c r="E49" s="1"/>
      <c r="F49" s="1"/>
      <c r="G49" s="1"/>
      <c r="H49" s="1"/>
      <c r="I49" s="1"/>
      <c r="J49" s="1"/>
    </row>
    <row r="50">
      <c r="B50" s="1" t="s">
        <v>91</v>
      </c>
      <c r="C50" s="14">
        <v>3393</v>
      </c>
      <c r="D50" s="6"/>
      <c r="E50" s="14">
        <v>455</v>
      </c>
      <c r="F50" s="14">
        <v>365</v>
      </c>
      <c r="G50" s="14">
        <v>404</v>
      </c>
      <c r="H50" s="1"/>
      <c r="I50" s="1"/>
      <c r="J50" s="1"/>
    </row>
    <row r="51">
      <c r="B51" s="1" t="s">
        <v>92</v>
      </c>
      <c r="C51" s="14">
        <v>4032</v>
      </c>
      <c r="D51" s="6"/>
      <c r="E51" s="14">
        <v>1086</v>
      </c>
      <c r="F51" s="14">
        <v>975</v>
      </c>
      <c r="G51" s="14">
        <v>935</v>
      </c>
      <c r="H51" s="1"/>
      <c r="I51" s="1"/>
      <c r="J51" s="1"/>
    </row>
    <row r="52">
      <c r="B52" s="1" t="s">
        <v>93</v>
      </c>
      <c r="C52" s="6">
        <f>C50+C51</f>
        <v>7425</v>
      </c>
      <c r="D52" s="6"/>
      <c r="E52" s="6">
        <f>E50+E51</f>
        <v>1541</v>
      </c>
      <c r="F52" s="6">
        <f>F50+F51</f>
        <v>1340</v>
      </c>
      <c r="G52" s="6">
        <f>G50+G51</f>
        <v>1339</v>
      </c>
      <c r="H52" s="1"/>
      <c r="I52" s="1"/>
      <c r="J52" s="1"/>
    </row>
    <row r="53">
      <c r="B53" s="1" t="s">
        <v>94</v>
      </c>
      <c r="C53" s="6"/>
      <c r="D53" s="6">
        <f>G50</f>
        <v>404</v>
      </c>
      <c r="E53" s="6"/>
      <c r="F53" s="6"/>
      <c r="G53" s="6"/>
      <c r="H53" s="1"/>
      <c r="I53" s="1"/>
      <c r="J53" s="1"/>
    </row>
    <row r="54">
      <c r="B54" s="1" t="s">
        <v>95</v>
      </c>
      <c r="C54" s="6"/>
      <c r="D54" s="6">
        <f>G51</f>
        <v>935</v>
      </c>
      <c r="E54" s="6"/>
      <c r="F54" s="6"/>
      <c r="G54" s="6"/>
      <c r="H54" s="1"/>
      <c r="I54" s="1"/>
      <c r="J54" s="1"/>
    </row>
    <row r="55">
      <c r="B55" s="1"/>
      <c r="C55" s="1"/>
      <c r="D55" s="1"/>
      <c r="E55" s="1"/>
      <c r="F55" s="1"/>
      <c r="G55" s="1"/>
      <c r="H55" s="1"/>
      <c r="I55" s="1"/>
      <c r="J55" s="1"/>
    </row>
    <row r="58">
      <c r="B58" s="1" t="s">
        <v>96</v>
      </c>
      <c r="C58" s="42">
        <v>6961</v>
      </c>
      <c r="D58" s="1"/>
      <c r="E58" s="42">
        <v>1452</v>
      </c>
      <c r="F58" s="42">
        <v>1279</v>
      </c>
      <c r="G58" s="42">
        <v>1268</v>
      </c>
      <c r="H58" s="1"/>
      <c r="I58" s="1"/>
      <c r="J58" s="1"/>
    </row>
    <row r="60">
      <c r="B60" s="7" t="s">
        <v>97</v>
      </c>
      <c r="C60" s="19"/>
      <c r="D60" s="19"/>
      <c r="E60" s="19"/>
      <c r="F60" s="19"/>
      <c r="G60" s="19"/>
      <c r="H60" s="21"/>
      <c r="I60" s="1"/>
      <c r="J60" s="1" t="s">
        <v>98</v>
      </c>
    </row>
    <row r="61" ht="24">
      <c r="B61" s="8" t="s">
        <v>117</v>
      </c>
      <c r="C61" s="6"/>
      <c r="D61" s="6"/>
      <c r="E61" s="6"/>
      <c r="F61" s="6"/>
      <c r="G61" s="6"/>
      <c r="H61" s="33">
        <v>710</v>
      </c>
      <c r="I61" s="1"/>
      <c r="J61" s="1"/>
    </row>
    <row r="62">
      <c r="B62" s="8" t="s">
        <v>100</v>
      </c>
      <c r="C62" s="6"/>
      <c r="D62" s="6"/>
      <c r="E62" s="6"/>
      <c r="F62" s="6"/>
      <c r="G62" s="6"/>
      <c r="H62" s="22" t="s">
        <v>101</v>
      </c>
      <c r="I62" s="1"/>
      <c r="J62" s="1"/>
    </row>
    <row r="63">
      <c r="B63" s="8" t="s">
        <v>102</v>
      </c>
      <c r="C63" s="6"/>
      <c r="D63" s="6"/>
      <c r="E63" s="6"/>
      <c r="F63" s="6"/>
      <c r="G63" s="6"/>
      <c r="H63" s="22" t="s">
        <v>101</v>
      </c>
      <c r="I63" s="1"/>
      <c r="J63" s="1"/>
    </row>
    <row r="64">
      <c r="B64" s="8" t="s">
        <v>103</v>
      </c>
      <c r="C64" s="6"/>
      <c r="D64" s="6"/>
      <c r="E64" s="6"/>
      <c r="F64" s="6"/>
      <c r="G64" s="6"/>
      <c r="H64" s="22" t="s">
        <v>101</v>
      </c>
      <c r="I64" s="1"/>
      <c r="J64" s="1"/>
    </row>
    <row r="65">
      <c r="B65" s="8" t="s">
        <v>104</v>
      </c>
      <c r="C65" s="6"/>
      <c r="D65" s="6"/>
      <c r="E65" s="6"/>
      <c r="F65" s="6"/>
      <c r="G65" s="6"/>
      <c r="H65" s="22" t="s">
        <v>101</v>
      </c>
      <c r="I65" s="1"/>
      <c r="J65" s="1"/>
    </row>
    <row r="66">
      <c r="B66" s="8" t="s">
        <v>105</v>
      </c>
      <c r="C66" s="6"/>
      <c r="D66" s="6"/>
      <c r="E66" s="6"/>
      <c r="F66" s="6"/>
      <c r="G66" s="6"/>
      <c r="H66" s="22" t="s">
        <v>101</v>
      </c>
      <c r="I66" s="1"/>
      <c r="J66" s="1"/>
    </row>
    <row r="67">
      <c r="B67" s="8" t="s">
        <v>106</v>
      </c>
      <c r="C67" s="6"/>
      <c r="D67" s="6"/>
      <c r="E67" s="6"/>
      <c r="F67" s="6"/>
      <c r="G67" s="6"/>
      <c r="H67" s="22" t="s">
        <v>101</v>
      </c>
      <c r="I67" s="1"/>
      <c r="J67" s="1"/>
    </row>
    <row r="68">
      <c r="B68" s="8" t="s">
        <v>107</v>
      </c>
      <c r="C68" s="25"/>
      <c r="D68" s="25"/>
      <c r="E68" s="25"/>
      <c r="F68" s="25"/>
      <c r="G68" s="25"/>
      <c r="H68" s="34">
        <f>H61/H16</f>
        <v>0.4930555555555556</v>
      </c>
      <c r="I68" s="1"/>
      <c r="J68" s="1"/>
    </row>
    <row r="69">
      <c r="B69" s="8"/>
      <c r="C69" s="6"/>
      <c r="D69" s="6"/>
      <c r="E69" s="6"/>
      <c r="F69" s="6"/>
      <c r="G69" s="6"/>
      <c r="H69" s="22"/>
      <c r="I69" s="1"/>
      <c r="J69" s="1"/>
    </row>
    <row r="70" ht="24">
      <c r="B70" s="8" t="s">
        <v>118</v>
      </c>
      <c r="C70" s="6"/>
      <c r="D70" s="6"/>
      <c r="E70" s="6"/>
      <c r="F70" s="6"/>
      <c r="G70" s="6"/>
      <c r="H70" s="22">
        <f>H16-H61</f>
        <v>730</v>
      </c>
      <c r="I70" s="1"/>
      <c r="J70" s="1"/>
    </row>
    <row r="71">
      <c r="B71" s="8" t="s">
        <v>100</v>
      </c>
      <c r="C71" s="6"/>
      <c r="D71" s="6"/>
      <c r="E71" s="6"/>
      <c r="F71" s="6"/>
      <c r="G71" s="6"/>
      <c r="H71" s="22" t="s">
        <v>101</v>
      </c>
      <c r="I71" s="1"/>
      <c r="J71" s="1"/>
    </row>
    <row r="72">
      <c r="B72" s="8" t="s">
        <v>102</v>
      </c>
      <c r="C72" s="6"/>
      <c r="D72" s="6"/>
      <c r="E72" s="6"/>
      <c r="F72" s="6"/>
      <c r="G72" s="6"/>
      <c r="H72" s="22" t="s">
        <v>101</v>
      </c>
      <c r="I72" s="1"/>
      <c r="J72" s="1"/>
    </row>
    <row r="73">
      <c r="B73" s="8" t="s">
        <v>103</v>
      </c>
      <c r="C73" s="6"/>
      <c r="D73" s="6"/>
      <c r="E73" s="6"/>
      <c r="F73" s="6"/>
      <c r="G73" s="6"/>
      <c r="H73" s="22" t="s">
        <v>101</v>
      </c>
      <c r="I73" s="1"/>
      <c r="J73" s="1"/>
    </row>
    <row r="74">
      <c r="B74" s="8" t="s">
        <v>104</v>
      </c>
      <c r="C74" s="6"/>
      <c r="D74" s="6"/>
      <c r="E74" s="6"/>
      <c r="F74" s="6"/>
      <c r="G74" s="6"/>
      <c r="H74" s="22" t="s">
        <v>101</v>
      </c>
      <c r="I74" s="1"/>
      <c r="J74" s="1"/>
    </row>
    <row r="75">
      <c r="B75" s="8" t="s">
        <v>105</v>
      </c>
      <c r="C75" s="6"/>
      <c r="D75" s="6"/>
      <c r="E75" s="6"/>
      <c r="F75" s="6"/>
      <c r="G75" s="6"/>
      <c r="H75" s="22" t="s">
        <v>101</v>
      </c>
      <c r="I75" s="1"/>
      <c r="J75" s="1"/>
    </row>
    <row r="76">
      <c r="B76" s="8" t="s">
        <v>106</v>
      </c>
      <c r="C76" s="6"/>
      <c r="D76" s="6"/>
      <c r="E76" s="6"/>
      <c r="F76" s="6"/>
      <c r="G76" s="6"/>
      <c r="H76" s="22" t="s">
        <v>101</v>
      </c>
      <c r="I76" s="1"/>
      <c r="J76" s="1"/>
    </row>
    <row r="77">
      <c r="B77" s="8" t="s">
        <v>107</v>
      </c>
      <c r="C77" s="25"/>
      <c r="D77" s="25"/>
      <c r="E77" s="25"/>
      <c r="F77" s="25"/>
      <c r="G77" s="25"/>
      <c r="H77" s="34">
        <f>H70/H16</f>
        <v>0.5069444444444444</v>
      </c>
      <c r="I77" s="1"/>
      <c r="J77" s="1"/>
    </row>
    <row r="78">
      <c r="B78" s="8"/>
      <c r="C78" s="6"/>
      <c r="D78" s="6"/>
      <c r="E78" s="6"/>
      <c r="F78" s="6"/>
      <c r="G78" s="6"/>
      <c r="H78" s="22"/>
      <c r="I78" s="1"/>
      <c r="J78" s="1"/>
    </row>
    <row r="79">
      <c r="B79" s="8"/>
      <c r="C79" s="6"/>
      <c r="D79" s="6"/>
      <c r="E79" s="6"/>
      <c r="F79" s="6"/>
      <c r="G79" s="6"/>
      <c r="H79" s="22"/>
      <c r="I79" s="1"/>
      <c r="J79" s="1"/>
    </row>
    <row r="80">
      <c r="B80" s="8"/>
      <c r="C80" s="6"/>
      <c r="D80" s="6"/>
      <c r="E80" s="6"/>
      <c r="F80" s="6"/>
      <c r="G80" s="6"/>
      <c r="H80" s="22"/>
      <c r="I80" s="1"/>
      <c r="J80" s="1"/>
    </row>
    <row r="81">
      <c r="B81" s="8"/>
      <c r="C81" s="6"/>
      <c r="D81" s="6"/>
      <c r="E81" s="6"/>
      <c r="F81" s="6"/>
      <c r="G81" s="6"/>
      <c r="H81" s="22"/>
      <c r="I81" s="1"/>
      <c r="J81" s="1"/>
    </row>
    <row r="82">
      <c r="B82" s="8"/>
      <c r="C82" s="6"/>
      <c r="D82" s="6"/>
      <c r="E82" s="6"/>
      <c r="F82" s="6"/>
      <c r="G82" s="6"/>
      <c r="H82" s="22"/>
      <c r="I82" s="1"/>
      <c r="J82" s="1"/>
    </row>
    <row r="83">
      <c r="B83" s="8"/>
      <c r="C83" s="6"/>
      <c r="D83" s="6"/>
      <c r="E83" s="6"/>
      <c r="F83" s="6"/>
      <c r="G83" s="6"/>
      <c r="H83" s="22"/>
      <c r="I83" s="1"/>
      <c r="J83" s="1"/>
    </row>
    <row r="84">
      <c r="B84" s="8"/>
      <c r="C84" s="6"/>
      <c r="D84" s="6"/>
      <c r="E84" s="6"/>
      <c r="F84" s="6"/>
      <c r="G84" s="6"/>
      <c r="H84" s="22"/>
      <c r="I84" s="1"/>
      <c r="J84" s="1"/>
    </row>
    <row r="85">
      <c r="B85" s="8"/>
      <c r="C85" s="6"/>
      <c r="D85" s="6"/>
      <c r="E85" s="6"/>
      <c r="F85" s="6"/>
      <c r="G85" s="6"/>
      <c r="H85" s="22"/>
      <c r="I85" s="1"/>
      <c r="J85" s="1"/>
    </row>
    <row r="86">
      <c r="B86" s="8"/>
      <c r="C86" s="6"/>
      <c r="D86" s="6"/>
      <c r="E86" s="6"/>
      <c r="F86" s="6"/>
      <c r="G86" s="6"/>
      <c r="H86" s="22"/>
      <c r="I86" s="1"/>
      <c r="J86" s="1"/>
    </row>
    <row r="87">
      <c r="B87" s="8"/>
      <c r="C87" s="6"/>
      <c r="D87" s="6"/>
      <c r="E87" s="6"/>
      <c r="F87" s="6"/>
      <c r="G87" s="6"/>
      <c r="H87" s="22"/>
      <c r="I87" s="1"/>
      <c r="J87" s="1"/>
    </row>
    <row r="88">
      <c r="B88" s="39" t="s">
        <v>110</v>
      </c>
      <c r="C88" s="19"/>
      <c r="D88" s="19"/>
      <c r="E88" s="19"/>
      <c r="F88" s="19"/>
      <c r="G88" s="19"/>
      <c r="H88" s="21">
        <f>SUM(H61,H70)</f>
        <v>1440</v>
      </c>
      <c r="I88" s="1"/>
      <c r="J88" s="1"/>
    </row>
    <row r="89">
      <c r="B89" s="39" t="s">
        <v>111</v>
      </c>
      <c r="C89" s="19"/>
      <c r="D89" s="19"/>
      <c r="E89" s="19"/>
      <c r="F89" s="19"/>
      <c r="G89" s="19"/>
      <c r="H89" s="21">
        <f>H88-H16</f>
        <v>0</v>
      </c>
      <c r="I89" s="1"/>
      <c r="J89" s="1"/>
    </row>
  </sheetData>
</worksheet>
</file>

<file path=xl/worksheets/sheet6.xml><?xml version="1.0" encoding="utf-8"?>
<worksheet xmlns="http://schemas.openxmlformats.org/spreadsheetml/2006/main" xmlns:r="http://schemas.openxmlformats.org/officeDocument/2006/relationships">
  <dimension ref="B2:J57"/>
  <sheetViews>
    <sheetView showGridLines="0" workbookViewId="0">
      <pane xSplit="2" ySplit="8" topLeftCell="C9" activePane="bottomRight" state="frozen"/>
    </sheetView>
  </sheetViews>
  <sheetFormatPr defaultColWidth="8.42578125" defaultRowHeight="15"/>
  <cols>
    <col min="2" max="2" width="34" customWidth="1"/>
    <col min="3" max="8" width="13" customWidth="1"/>
  </cols>
  <sheetData>
    <row r="2">
      <c r="B2" s="2" t="s">
        <v>0</v>
      </c>
      <c r="C2" s="2"/>
      <c r="D2" s="2"/>
      <c r="E2" s="2"/>
      <c r="F2" s="2"/>
      <c r="G2" s="2"/>
      <c r="H2" s="2"/>
      <c r="I2" s="1"/>
      <c r="J2" s="1"/>
    </row>
    <row r="3">
      <c r="B3" s="2" t="s">
        <v>119</v>
      </c>
      <c r="C3" s="2"/>
      <c r="D3" s="2"/>
      <c r="E3" s="2"/>
      <c r="F3" s="2"/>
      <c r="G3" s="2"/>
      <c r="H3" s="2"/>
      <c r="I3" s="1"/>
      <c r="J3" s="1"/>
    </row>
    <row r="4">
      <c r="B4" s="1" t="s">
        <v>2</v>
      </c>
      <c r="C4" s="1"/>
      <c r="D4" s="1"/>
      <c r="E4" s="1"/>
      <c r="F4" s="1"/>
      <c r="G4" s="1"/>
      <c r="H4" s="1"/>
      <c r="I4" s="1"/>
      <c r="J4" s="1"/>
    </row>
    <row r="5">
      <c r="B5" s="4" t="s">
        <v>3</v>
      </c>
      <c r="C5" s="4" t="s">
        <v>4</v>
      </c>
      <c r="D5" s="4" t="s">
        <v>5</v>
      </c>
      <c r="E5" s="4" t="s">
        <v>6</v>
      </c>
      <c r="F5" s="4" t="s">
        <v>7</v>
      </c>
      <c r="G5" s="4" t="s">
        <v>8</v>
      </c>
      <c r="H5" s="18" t="s">
        <v>9</v>
      </c>
      <c r="I5" s="1"/>
      <c r="J5" s="1"/>
    </row>
    <row r="6">
      <c r="B6" s="4" t="s">
        <v>10</v>
      </c>
      <c r="C6" s="11">
        <v>45900</v>
      </c>
      <c r="D6" s="11">
        <v>45900</v>
      </c>
      <c r="E6" s="11">
        <v>45991</v>
      </c>
      <c r="F6" s="11">
        <v>46081</v>
      </c>
      <c r="G6" s="11">
        <v>46173</v>
      </c>
      <c r="H6" s="29">
        <v>46265</v>
      </c>
      <c r="I6" s="1"/>
      <c r="J6" s="1"/>
    </row>
    <row r="7">
      <c r="B7" s="4" t="s">
        <v>11</v>
      </c>
      <c r="C7" s="4">
        <v>365</v>
      </c>
      <c r="D7" s="4">
        <v>92</v>
      </c>
      <c r="E7" s="4">
        <v>91</v>
      </c>
      <c r="F7" s="4">
        <v>90</v>
      </c>
      <c r="G7" s="4">
        <v>92</v>
      </c>
      <c r="H7" s="18">
        <v>92</v>
      </c>
      <c r="I7" s="1"/>
      <c r="J7" s="1"/>
    </row>
    <row r="8">
      <c r="B8" s="1"/>
      <c r="C8" s="1"/>
      <c r="D8" s="1"/>
      <c r="E8" s="1"/>
      <c r="F8" s="1"/>
      <c r="G8" s="1"/>
      <c r="H8" s="1"/>
      <c r="I8" s="1"/>
      <c r="J8" s="1"/>
    </row>
    <row r="9">
      <c r="B9" s="7" t="s">
        <v>120</v>
      </c>
      <c r="C9" s="7"/>
      <c r="D9" s="7"/>
      <c r="E9" s="7"/>
      <c r="F9" s="7"/>
      <c r="G9" s="7"/>
      <c r="H9" s="31"/>
      <c r="I9" s="1"/>
      <c r="J9" s="1"/>
    </row>
    <row r="10">
      <c r="B10" s="1" t="s">
        <v>121</v>
      </c>
      <c r="C10" s="3">
        <f>'Revenue summary'!C29</f>
        <v>29802</v>
      </c>
      <c r="D10" s="3">
        <f>'Revenue summary'!D29</f>
        <v>8252</v>
      </c>
      <c r="E10" s="3">
        <f>'Revenue summary'!E29</f>
        <v>8305</v>
      </c>
      <c r="F10" s="3">
        <f>'Revenue summary'!F29</f>
        <v>8282</v>
      </c>
      <c r="G10" s="3">
        <f>'Revenue summary'!G29</f>
        <v>8751</v>
      </c>
      <c r="H10" s="20">
        <f>'Revenue summary'!H29</f>
        <v>9800</v>
      </c>
      <c r="I10" s="1"/>
      <c r="J10" s="1"/>
    </row>
    <row r="11">
      <c r="B11" s="1" t="s">
        <v>122</v>
      </c>
      <c r="C11" s="25"/>
      <c r="D11" s="25"/>
      <c r="E11" s="25"/>
      <c r="F11" s="25"/>
      <c r="G11" s="25"/>
      <c r="H11" s="34">
        <f>H10/D10-1</f>
        <v>0.187590887057683</v>
      </c>
      <c r="I11" s="1"/>
      <c r="J11" s="1"/>
    </row>
    <row r="12">
      <c r="B12" s="1" t="s">
        <v>123</v>
      </c>
      <c r="C12" s="14">
        <v>27156</v>
      </c>
      <c r="D12" s="14">
        <v>7469</v>
      </c>
      <c r="E12" s="14">
        <v>7563</v>
      </c>
      <c r="F12" s="14">
        <v>7536</v>
      </c>
      <c r="G12" s="14">
        <v>7923</v>
      </c>
      <c r="H12" s="22">
        <f>H10*(1-H14)</f>
        <v>8834.699999999999</v>
      </c>
      <c r="I12" s="1"/>
      <c r="J12" s="1"/>
    </row>
    <row r="13">
      <c r="B13" s="7" t="s">
        <v>124</v>
      </c>
      <c r="C13" s="19">
        <f>C10-C12</f>
        <v>2646</v>
      </c>
      <c r="D13" s="19">
        <f>D10-D12</f>
        <v>783</v>
      </c>
      <c r="E13" s="19">
        <f>E10-E12</f>
        <v>742</v>
      </c>
      <c r="F13" s="19">
        <f>F10-F12</f>
        <v>746</v>
      </c>
      <c r="G13" s="19">
        <f>G10-G12</f>
        <v>828</v>
      </c>
      <c r="H13" s="21">
        <f>H10-H12</f>
        <v>965.3000000000011</v>
      </c>
      <c r="I13" s="1"/>
      <c r="J13" s="1"/>
    </row>
    <row r="14">
      <c r="B14" s="1" t="s">
        <v>125</v>
      </c>
      <c r="C14" s="25">
        <f>C13/C10</f>
        <v>0.08878598751761627</v>
      </c>
      <c r="D14" s="25">
        <f>D13/D10</f>
        <v>0.09488608822103732</v>
      </c>
      <c r="E14" s="25">
        <f>E13/E10</f>
        <v>0.0893437688139675</v>
      </c>
      <c r="F14" s="25">
        <f>F13/F10</f>
        <v>0.09007486114465105</v>
      </c>
      <c r="G14" s="25">
        <f>G13/G10</f>
        <v>0.09461775797051765</v>
      </c>
      <c r="H14" s="36">
        <f>Inputs!C83</f>
        <v>0.0985</v>
      </c>
      <c r="I14" s="1"/>
      <c r="J14" s="1"/>
    </row>
    <row r="15">
      <c r="B15" s="1" t="s">
        <v>126</v>
      </c>
      <c r="C15" s="6"/>
      <c r="D15" s="6"/>
      <c r="E15" s="6"/>
      <c r="F15" s="6"/>
      <c r="G15" s="6"/>
      <c r="H15" s="22">
        <f>(H14-D14)*10000</f>
        <v>36.13911778962684</v>
      </c>
      <c r="I15" s="1"/>
      <c r="J15" s="1"/>
    </row>
    <row r="16">
      <c r="B16" s="1" t="s">
        <v>127</v>
      </c>
      <c r="C16" s="14">
        <v>1122</v>
      </c>
      <c r="D16" s="14">
        <v>287</v>
      </c>
      <c r="E16" s="14">
        <v>344</v>
      </c>
      <c r="F16" s="14">
        <v>329</v>
      </c>
      <c r="G16" s="14">
        <v>340</v>
      </c>
      <c r="H16" s="22">
        <f>H13-H22-SUM(H17:H21)</f>
        <v>350.30200000000104</v>
      </c>
      <c r="I16" s="1"/>
      <c r="J16" s="1"/>
    </row>
    <row r="17">
      <c r="B17" s="1" t="s">
        <v>128</v>
      </c>
      <c r="C17" s="14">
        <v>26</v>
      </c>
      <c r="D17" s="14">
        <v>4</v>
      </c>
      <c r="E17" s="14">
        <v>7</v>
      </c>
      <c r="F17" s="14">
        <v>7</v>
      </c>
      <c r="G17" s="14">
        <v>9</v>
      </c>
      <c r="H17" s="20">
        <f>Inputs!C84</f>
        <v>10</v>
      </c>
      <c r="I17" s="1"/>
      <c r="J17" s="1"/>
    </row>
    <row r="18">
      <c r="B18" s="1" t="s">
        <v>129</v>
      </c>
      <c r="C18" s="14">
        <v>62</v>
      </c>
      <c r="D18" s="14">
        <v>17</v>
      </c>
      <c r="E18" s="14">
        <v>19</v>
      </c>
      <c r="F18" s="14">
        <v>23</v>
      </c>
      <c r="G18" s="14">
        <v>23</v>
      </c>
      <c r="H18" s="20">
        <f>Guidance!G13</f>
        <v>24</v>
      </c>
      <c r="I18" s="1"/>
      <c r="J18" s="1"/>
    </row>
    <row r="19">
      <c r="B19" s="1" t="s">
        <v>130</v>
      </c>
      <c r="C19" s="14">
        <v>181</v>
      </c>
      <c r="D19" s="14">
        <v>37</v>
      </c>
      <c r="E19" s="14">
        <v>76</v>
      </c>
      <c r="F19" s="14">
        <v>5</v>
      </c>
      <c r="G19" s="14">
        <v>7</v>
      </c>
      <c r="H19" s="20">
        <f>Guidance!G14</f>
        <v>14</v>
      </c>
      <c r="I19" s="1"/>
      <c r="J19" s="1"/>
    </row>
    <row r="20">
      <c r="B20" s="1" t="s">
        <v>131</v>
      </c>
      <c r="C20" s="14">
        <v>53</v>
      </c>
      <c r="D20" s="14">
        <v>98</v>
      </c>
      <c r="E20" s="14">
        <v>-2</v>
      </c>
      <c r="F20" s="14">
        <v>2</v>
      </c>
      <c r="G20" s="14">
        <v>1</v>
      </c>
      <c r="H20" s="33">
        <v>0</v>
      </c>
      <c r="I20" s="1"/>
      <c r="J20" s="1"/>
    </row>
    <row r="21">
      <c r="B21" s="1" t="s">
        <v>132</v>
      </c>
      <c r="C21" s="14">
        <v>20</v>
      </c>
      <c r="D21" s="14">
        <v>3</v>
      </c>
      <c r="E21" s="14">
        <v>15</v>
      </c>
      <c r="F21" s="14">
        <v>6</v>
      </c>
      <c r="G21" s="14">
        <v>3</v>
      </c>
      <c r="H21" s="33">
        <v>0</v>
      </c>
      <c r="I21" s="1"/>
      <c r="J21" s="1"/>
    </row>
    <row r="22">
      <c r="B22" s="7" t="s">
        <v>133</v>
      </c>
      <c r="C22" s="19">
        <f>C13-SUM(C16:C21)</f>
        <v>1182</v>
      </c>
      <c r="D22" s="19">
        <f>D13-SUM(D16:D21)</f>
        <v>337</v>
      </c>
      <c r="E22" s="19">
        <f>E13-SUM(E16:E21)</f>
        <v>283</v>
      </c>
      <c r="F22" s="19">
        <f>F13-SUM(F16:F21)</f>
        <v>374</v>
      </c>
      <c r="G22" s="19">
        <f>G13-SUM(G16:G21)</f>
        <v>445</v>
      </c>
      <c r="H22" s="23">
        <f>SUM('Segment - Regulated Industries'!H24,'Segment - Intelligent Infra'!H24,'Segment - Connected Living'!H24)-SUM(H18:H21,H41)</f>
        <v>566.998</v>
      </c>
      <c r="I22" s="1"/>
      <c r="J22" s="1"/>
    </row>
    <row r="23">
      <c r="B23" s="1" t="s">
        <v>134</v>
      </c>
      <c r="C23" s="25">
        <f>C22/C10</f>
        <v>0.039661767666599554</v>
      </c>
      <c r="D23" s="25">
        <f>D22/D10</f>
        <v>0.04083858458555502</v>
      </c>
      <c r="E23" s="25">
        <f>E22/E10</f>
        <v>0.03407585791691752</v>
      </c>
      <c r="F23" s="25">
        <f>F22/F10</f>
        <v>0.045158174354020766</v>
      </c>
      <c r="G23" s="25">
        <f>G22/G10</f>
        <v>0.05085133127642555</v>
      </c>
      <c r="H23" s="34">
        <f>H22/H10</f>
        <v>0.05785693877551021</v>
      </c>
      <c r="I23" s="1"/>
      <c r="J23" s="1"/>
    </row>
    <row r="24">
      <c r="B24" s="1" t="s">
        <v>135</v>
      </c>
      <c r="C24" s="6"/>
      <c r="D24" s="6"/>
      <c r="E24" s="6"/>
      <c r="F24" s="6"/>
      <c r="G24" s="6"/>
      <c r="H24" s="22">
        <f>(H23-D23)*10000</f>
        <v>170.1835418995519</v>
      </c>
      <c r="I24" s="1"/>
      <c r="J24" s="1"/>
    </row>
    <row r="25">
      <c r="B25" s="1" t="s">
        <v>136</v>
      </c>
      <c r="C25" s="14">
        <v>46</v>
      </c>
      <c r="D25" s="14">
        <v>0</v>
      </c>
      <c r="E25" s="14">
        <v>0</v>
      </c>
      <c r="F25" s="14">
        <v>0</v>
      </c>
      <c r="G25" s="14">
        <v>0</v>
      </c>
      <c r="H25" s="33">
        <v>0</v>
      </c>
      <c r="I25" s="1"/>
      <c r="J25" s="1"/>
    </row>
    <row r="26">
      <c r="B26" s="1" t="s">
        <v>137</v>
      </c>
      <c r="C26" s="14">
        <v>97</v>
      </c>
      <c r="D26" s="14">
        <v>23</v>
      </c>
      <c r="E26" s="14">
        <v>29</v>
      </c>
      <c r="F26" s="14">
        <v>31</v>
      </c>
      <c r="G26" s="14">
        <v>28</v>
      </c>
      <c r="H26" s="20">
        <f>Inputs!C85</f>
        <v>27</v>
      </c>
      <c r="I26" s="1"/>
      <c r="J26" s="1"/>
    </row>
    <row r="27">
      <c r="B27" s="1" t="s">
        <v>138</v>
      </c>
      <c r="C27" s="14">
        <v>147</v>
      </c>
      <c r="D27" s="14">
        <v>35</v>
      </c>
      <c r="E27" s="14">
        <v>34</v>
      </c>
      <c r="F27" s="14">
        <v>43</v>
      </c>
      <c r="G27" s="14">
        <v>51</v>
      </c>
      <c r="H27" s="20">
        <f>Inputs!C86</f>
        <v>53</v>
      </c>
      <c r="I27" s="1"/>
      <c r="J27" s="1"/>
    </row>
    <row r="28">
      <c r="B28" s="1" t="s">
        <v>139</v>
      </c>
      <c r="C28" s="6">
        <f>C22-SUM(C25:C27)</f>
        <v>892</v>
      </c>
      <c r="D28" s="6">
        <f>D22-SUM(D25:D27)</f>
        <v>279</v>
      </c>
      <c r="E28" s="6">
        <f>E22-SUM(E25:E27)</f>
        <v>220</v>
      </c>
      <c r="F28" s="6">
        <f>F22-SUM(F25:F27)</f>
        <v>300</v>
      </c>
      <c r="G28" s="6">
        <f>G22-SUM(G25:G27)</f>
        <v>366</v>
      </c>
      <c r="H28" s="22">
        <f>H22-SUM(H25:H27)</f>
        <v>486.99800000000005</v>
      </c>
      <c r="I28" s="1"/>
      <c r="J28" s="1"/>
    </row>
    <row r="29">
      <c r="B29" s="1" t="s">
        <v>140</v>
      </c>
      <c r="C29" s="14">
        <v>235</v>
      </c>
      <c r="D29" s="14">
        <v>61</v>
      </c>
      <c r="E29" s="14">
        <v>74</v>
      </c>
      <c r="F29" s="14">
        <v>78</v>
      </c>
      <c r="G29" s="14">
        <v>91</v>
      </c>
      <c r="H29" s="20">
        <f>(H53-H26-H27)*Inputs!C75</f>
        <v>115.49958000000001</v>
      </c>
      <c r="I29" s="1"/>
      <c r="J29" s="1"/>
    </row>
    <row r="30">
      <c r="B30" s="1" t="s">
        <v>141</v>
      </c>
      <c r="C30" s="25">
        <f>C29/C28</f>
        <v>0.26345291479820626</v>
      </c>
      <c r="D30" s="25">
        <f>D29/D28</f>
        <v>0.21863799283154123</v>
      </c>
      <c r="E30" s="25">
        <f>E29/E28</f>
        <v>0.33636363636363636</v>
      </c>
      <c r="F30" s="25">
        <f>F29/F28</f>
        <v>0.26</v>
      </c>
      <c r="G30" s="25">
        <f>G29/G28</f>
        <v>0.24863387978142076</v>
      </c>
      <c r="H30" s="34">
        <f>H29/H28</f>
        <v>0.23716643600179055</v>
      </c>
      <c r="I30" s="1"/>
      <c r="J30" s="1"/>
    </row>
    <row r="31">
      <c r="B31" s="7" t="s">
        <v>142</v>
      </c>
      <c r="C31" s="19">
        <f>C28-C29</f>
        <v>657</v>
      </c>
      <c r="D31" s="19">
        <f>D28-D29</f>
        <v>218</v>
      </c>
      <c r="E31" s="19">
        <f>E28-E29</f>
        <v>146</v>
      </c>
      <c r="F31" s="19">
        <f>F28-F29</f>
        <v>222</v>
      </c>
      <c r="G31" s="19">
        <f>G28-G29</f>
        <v>275</v>
      </c>
      <c r="H31" s="21">
        <f>H28-H29</f>
        <v>371.49842</v>
      </c>
      <c r="I31" s="1"/>
      <c r="J31" s="1"/>
    </row>
    <row r="32">
      <c r="B32" s="1" t="s">
        <v>143</v>
      </c>
      <c r="C32" s="14">
        <v>0</v>
      </c>
      <c r="D32" s="14">
        <v>0</v>
      </c>
      <c r="E32" s="14">
        <v>0</v>
      </c>
      <c r="F32" s="14">
        <v>-1</v>
      </c>
      <c r="G32" s="14">
        <v>0</v>
      </c>
      <c r="H32" s="33">
        <v>0</v>
      </c>
      <c r="I32" s="1"/>
      <c r="J32" s="1"/>
    </row>
    <row r="33">
      <c r="B33" s="1" t="s">
        <v>144</v>
      </c>
      <c r="C33" s="14">
        <v>109.5</v>
      </c>
      <c r="D33" s="14">
        <v>107.5</v>
      </c>
      <c r="E33" s="14">
        <v>107</v>
      </c>
      <c r="F33" s="14">
        <v>106</v>
      </c>
      <c r="G33" s="14">
        <v>105.3</v>
      </c>
      <c r="H33" s="20">
        <f>'Share Count'!H17</f>
        <v>104.3575988553864</v>
      </c>
      <c r="I33" s="1"/>
      <c r="J33" s="1"/>
    </row>
    <row r="34">
      <c r="B34" s="1" t="s">
        <v>145</v>
      </c>
      <c r="C34" s="5">
        <f>C38/C33</f>
        <v>6</v>
      </c>
      <c r="D34" s="5">
        <f>D38/D33</f>
        <v>2.027906976744186</v>
      </c>
      <c r="E34" s="5">
        <f>E38/E33</f>
        <v>1.3644859813084111</v>
      </c>
      <c r="F34" s="5">
        <f>F38/F33</f>
        <v>2.1037735849056602</v>
      </c>
      <c r="G34" s="5">
        <f>G38/G33</f>
        <v>2.611585944919278</v>
      </c>
      <c r="H34" s="51">
        <f>H38/H33</f>
        <v>3.559859790515151</v>
      </c>
      <c r="I34" s="1"/>
      <c r="J34" s="1"/>
    </row>
    <row r="35">
      <c r="B35" s="1" t="s">
        <v>146</v>
      </c>
      <c r="C35" s="14">
        <v>110.9</v>
      </c>
      <c r="D35" s="14">
        <v>109.2</v>
      </c>
      <c r="E35" s="14">
        <v>108.3</v>
      </c>
      <c r="F35" s="14">
        <v>106.9</v>
      </c>
      <c r="G35" s="14">
        <v>106.5</v>
      </c>
      <c r="H35" s="20">
        <f>'Share Count'!H18</f>
        <v>105.0575988553864</v>
      </c>
      <c r="I35" s="1"/>
      <c r="J35" s="1"/>
    </row>
    <row r="36">
      <c r="B36" s="7" t="s">
        <v>147</v>
      </c>
      <c r="C36" s="37">
        <f>C38/C35</f>
        <v>5.924256086564472</v>
      </c>
      <c r="D36" s="35">
        <f>Inputs!F62</f>
        <v>1.99</v>
      </c>
      <c r="E36" s="35">
        <f>Inputs!F63</f>
        <v>1.35</v>
      </c>
      <c r="F36" s="35">
        <f>Inputs!F64</f>
        <v>2.08</v>
      </c>
      <c r="G36" s="35">
        <f>Inputs!F65</f>
        <v>2.59</v>
      </c>
      <c r="H36" s="49">
        <f>H38/H35</f>
        <v>3.536140403431207</v>
      </c>
      <c r="I36" s="1"/>
      <c r="J36" s="1"/>
    </row>
    <row r="37">
      <c r="B37" s="1"/>
      <c r="C37" s="6"/>
      <c r="D37" s="6"/>
      <c r="E37" s="6"/>
      <c r="F37" s="6"/>
      <c r="G37" s="6"/>
      <c r="H37" s="22"/>
      <c r="I37" s="1"/>
      <c r="J37" s="1"/>
    </row>
    <row r="38">
      <c r="B38" s="7" t="s">
        <v>148</v>
      </c>
      <c r="C38" s="19">
        <f>C31-C32</f>
        <v>657</v>
      </c>
      <c r="D38" s="19">
        <f>D31-D32</f>
        <v>218</v>
      </c>
      <c r="E38" s="19">
        <f>E31-E32</f>
        <v>146</v>
      </c>
      <c r="F38" s="19">
        <f>F31-F32</f>
        <v>223</v>
      </c>
      <c r="G38" s="19">
        <f>G31-G32</f>
        <v>275</v>
      </c>
      <c r="H38" s="21">
        <f>H31-H32</f>
        <v>371.49842</v>
      </c>
      <c r="I38" s="1"/>
      <c r="J38" s="1"/>
    </row>
    <row r="39">
      <c r="B39" s="7" t="s">
        <v>149</v>
      </c>
      <c r="C39" s="19"/>
      <c r="D39" s="19"/>
      <c r="E39" s="19"/>
      <c r="F39" s="19"/>
      <c r="G39" s="19"/>
      <c r="H39" s="21"/>
      <c r="I39" s="1"/>
      <c r="J39" s="1"/>
    </row>
    <row r="40">
      <c r="B40" s="1" t="s">
        <v>150</v>
      </c>
      <c r="C40" s="6">
        <f>C18</f>
        <v>62</v>
      </c>
      <c r="D40" s="6">
        <f>D18</f>
        <v>17</v>
      </c>
      <c r="E40" s="6">
        <f>E18</f>
        <v>19</v>
      </c>
      <c r="F40" s="6">
        <f>F18</f>
        <v>23</v>
      </c>
      <c r="G40" s="6">
        <f>G18</f>
        <v>23</v>
      </c>
      <c r="H40" s="22">
        <f>H18</f>
        <v>24</v>
      </c>
      <c r="I40" s="1"/>
      <c r="J40" s="1"/>
    </row>
    <row r="41">
      <c r="B41" s="1" t="s">
        <v>151</v>
      </c>
      <c r="C41" s="14">
        <v>107</v>
      </c>
      <c r="D41" s="14">
        <v>23</v>
      </c>
      <c r="E41" s="14">
        <v>63</v>
      </c>
      <c r="F41" s="14">
        <v>27</v>
      </c>
      <c r="G41" s="14">
        <v>25</v>
      </c>
      <c r="H41" s="20">
        <f>Guidance!G15</f>
        <v>25</v>
      </c>
      <c r="I41" s="1"/>
      <c r="J41" s="1"/>
    </row>
    <row r="42">
      <c r="B42" s="1" t="s">
        <v>152</v>
      </c>
      <c r="C42" s="6">
        <f>C19</f>
        <v>181</v>
      </c>
      <c r="D42" s="6">
        <f>D19</f>
        <v>37</v>
      </c>
      <c r="E42" s="6">
        <f>E19</f>
        <v>76</v>
      </c>
      <c r="F42" s="6">
        <f>F19</f>
        <v>5</v>
      </c>
      <c r="G42" s="6">
        <f>G19</f>
        <v>7</v>
      </c>
      <c r="H42" s="22">
        <f>H19</f>
        <v>14</v>
      </c>
      <c r="I42" s="1"/>
      <c r="J42" s="1"/>
    </row>
    <row r="43">
      <c r="B43" s="1" t="s">
        <v>153</v>
      </c>
      <c r="C43" s="6">
        <f>C20</f>
        <v>53</v>
      </c>
      <c r="D43" s="6">
        <f>D20</f>
        <v>98</v>
      </c>
      <c r="E43" s="6">
        <f>E20</f>
        <v>-2</v>
      </c>
      <c r="F43" s="6">
        <f>F20</f>
        <v>2</v>
      </c>
      <c r="G43" s="6">
        <f>G20</f>
        <v>1</v>
      </c>
      <c r="H43" s="22">
        <f>H20</f>
        <v>0</v>
      </c>
      <c r="I43" s="1"/>
      <c r="J43" s="1"/>
    </row>
    <row r="44">
      <c r="B44" s="1" t="s">
        <v>154</v>
      </c>
      <c r="C44" s="6">
        <f>C21</f>
        <v>20</v>
      </c>
      <c r="D44" s="6">
        <f>D21</f>
        <v>3</v>
      </c>
      <c r="E44" s="6">
        <f>E21</f>
        <v>15</v>
      </c>
      <c r="F44" s="6">
        <f>F21</f>
        <v>6</v>
      </c>
      <c r="G44" s="6">
        <f>G21</f>
        <v>3</v>
      </c>
      <c r="H44" s="22">
        <f>H21</f>
        <v>0</v>
      </c>
      <c r="I44" s="1"/>
      <c r="J44" s="1"/>
    </row>
    <row r="45">
      <c r="B45" s="1" t="s">
        <v>155</v>
      </c>
      <c r="C45" s="14">
        <v>0</v>
      </c>
      <c r="D45" s="14">
        <v>0</v>
      </c>
      <c r="E45" s="14">
        <v>0</v>
      </c>
      <c r="F45" s="14">
        <v>-1</v>
      </c>
      <c r="G45" s="14">
        <v>0</v>
      </c>
      <c r="H45" s="33">
        <v>0</v>
      </c>
      <c r="I45" s="1"/>
      <c r="J45" s="1"/>
    </row>
    <row r="46">
      <c r="B46" s="1" t="s">
        <v>156</v>
      </c>
      <c r="C46" s="14">
        <v>8</v>
      </c>
      <c r="D46" s="14">
        <v>-2</v>
      </c>
      <c r="E46" s="14">
        <v>0</v>
      </c>
      <c r="F46" s="14">
        <v>0</v>
      </c>
      <c r="G46" s="14">
        <v>0</v>
      </c>
      <c r="H46" s="33">
        <v>0</v>
      </c>
      <c r="I46" s="1"/>
      <c r="J46" s="1"/>
    </row>
    <row r="47">
      <c r="B47" s="1" t="s">
        <v>157</v>
      </c>
      <c r="C47" s="6">
        <f>C25</f>
        <v>46</v>
      </c>
      <c r="D47" s="6">
        <f>D25</f>
        <v>0</v>
      </c>
      <c r="E47" s="6">
        <f>E25</f>
        <v>0</v>
      </c>
      <c r="F47" s="6">
        <f>F25</f>
        <v>0</v>
      </c>
      <c r="G47" s="6">
        <f>G25</f>
        <v>0</v>
      </c>
      <c r="H47" s="22">
        <f>H25</f>
        <v>0</v>
      </c>
      <c r="I47" s="1"/>
      <c r="J47" s="1"/>
    </row>
    <row r="48">
      <c r="B48" s="1" t="s">
        <v>158</v>
      </c>
      <c r="C48" s="14">
        <v>-52</v>
      </c>
      <c r="D48" s="14">
        <v>-34</v>
      </c>
      <c r="E48" s="14">
        <v>-8</v>
      </c>
      <c r="F48" s="14">
        <v>3</v>
      </c>
      <c r="G48" s="14">
        <v>2</v>
      </c>
      <c r="H48" s="33">
        <v>0</v>
      </c>
      <c r="I48" s="1"/>
      <c r="J48" s="1"/>
    </row>
    <row r="49">
      <c r="B49" s="7" t="s">
        <v>159</v>
      </c>
      <c r="C49" s="19">
        <f>C38+SUM(C40:C48)</f>
        <v>1082</v>
      </c>
      <c r="D49" s="19">
        <f>D38+SUM(D40:D48)</f>
        <v>360</v>
      </c>
      <c r="E49" s="19">
        <f>E38+SUM(E40:E48)</f>
        <v>309</v>
      </c>
      <c r="F49" s="19">
        <f>F38+SUM(F40:F48)</f>
        <v>288</v>
      </c>
      <c r="G49" s="19">
        <f>G38+SUM(G40:G48)</f>
        <v>336</v>
      </c>
      <c r="H49" s="21">
        <f>H38+SUM(H40:H48)</f>
        <v>434.49842</v>
      </c>
      <c r="I49" s="1"/>
      <c r="J49" s="1"/>
    </row>
    <row r="50">
      <c r="B50" s="7" t="s">
        <v>160</v>
      </c>
      <c r="C50" s="48">
        <v>9.75</v>
      </c>
      <c r="D50" s="35">
        <f>Inputs!D62</f>
        <v>3.29</v>
      </c>
      <c r="E50" s="35">
        <f>Inputs!D63</f>
        <v>2.85</v>
      </c>
      <c r="F50" s="35">
        <f>Inputs!D64</f>
        <v>2.69</v>
      </c>
      <c r="G50" s="35">
        <f>Inputs!D65</f>
        <v>3.16</v>
      </c>
      <c r="H50" s="49">
        <f>H49/H35</f>
        <v>4.135811447566916</v>
      </c>
      <c r="I50" s="1"/>
      <c r="J50" s="1"/>
    </row>
    <row r="51">
      <c r="B51" s="1" t="s">
        <v>161</v>
      </c>
      <c r="C51" s="5"/>
      <c r="D51" s="5">
        <f>D49/D35-D50</f>
        <v>0.006703296703296502</v>
      </c>
      <c r="E51" s="5">
        <f>E49/E35-E50</f>
        <v>0.0031855955678672387</v>
      </c>
      <c r="F51" s="5">
        <f>F49/F35-F50</f>
        <v>0.0041066417212345385</v>
      </c>
      <c r="G51" s="5">
        <f>G49/G35-G50</f>
        <v>-0.005070422535211616</v>
      </c>
      <c r="H51" s="50">
        <f>H50-Inputs!C20</f>
        <v>0.06581144756691604</v>
      </c>
      <c r="I51" s="1"/>
      <c r="J51" s="1"/>
    </row>
    <row r="52">
      <c r="B52" s="1" t="s">
        <v>162</v>
      </c>
      <c r="C52" s="5"/>
      <c r="D52" s="5"/>
      <c r="E52" s="5"/>
      <c r="F52" s="5"/>
      <c r="G52" s="5"/>
      <c r="H52" s="51">
        <f>H38/H35-H36</f>
        <v>0</v>
      </c>
      <c r="I52" s="1"/>
      <c r="J52" s="1"/>
    </row>
    <row r="53">
      <c r="B53" s="7" t="s">
        <v>163</v>
      </c>
      <c r="C53" s="26">
        <f>SUM('Segment - Regulated Industries'!C24,'Segment - Intelligent Infra'!C24,'Segment - Connected Living'!C24)</f>
        <v>1620</v>
      </c>
      <c r="D53" s="26">
        <f>SUM('Segment - Regulated Industries'!D24,'Segment - Intelligent Infra'!D24,'Segment - Connected Living'!D24)</f>
        <v>519</v>
      </c>
      <c r="E53" s="26">
        <f>SUM('Segment - Regulated Industries'!E24,'Segment - Intelligent Infra'!E24,'Segment - Connected Living'!E24)</f>
        <v>454</v>
      </c>
      <c r="F53" s="26">
        <f>SUM('Segment - Regulated Industries'!F24,'Segment - Intelligent Infra'!F24,'Segment - Connected Living'!F24)</f>
        <v>436</v>
      </c>
      <c r="G53" s="26">
        <f>SUM('Segment - Regulated Industries'!G24,'Segment - Intelligent Infra'!G24,'Segment - Connected Living'!G24)</f>
        <v>504</v>
      </c>
      <c r="H53" s="23">
        <f>SUM('Segment - Regulated Industries'!H24,'Segment - Intelligent Infra'!H24,'Segment - Connected Living'!H24)</f>
        <v>629.998</v>
      </c>
      <c r="I53" s="1"/>
      <c r="J53" s="1"/>
    </row>
    <row r="54">
      <c r="B54" s="1" t="s">
        <v>164</v>
      </c>
      <c r="C54" s="25">
        <f>C53/C10</f>
        <v>0.05435876786792833</v>
      </c>
      <c r="D54" s="25">
        <f>D53/D10</f>
        <v>0.06289384391662627</v>
      </c>
      <c r="E54" s="25">
        <f>E53/E10</f>
        <v>0.054665863937387114</v>
      </c>
      <c r="F54" s="25">
        <f>F53/F10</f>
        <v>0.05264428881912581</v>
      </c>
      <c r="G54" s="25">
        <f>G53/G10</f>
        <v>0.057593417895097705</v>
      </c>
      <c r="H54" s="34">
        <f>H53/H10</f>
        <v>0.06428551020408163</v>
      </c>
      <c r="I54" s="1"/>
      <c r="J54" s="1"/>
    </row>
    <row r="55">
      <c r="B55" s="1" t="s">
        <v>165</v>
      </c>
      <c r="C55" s="6"/>
      <c r="D55" s="6"/>
      <c r="E55" s="6"/>
      <c r="F55" s="6"/>
      <c r="G55" s="6"/>
      <c r="H55" s="22">
        <f>(H54-D54)*10000</f>
        <v>13.916662874553648</v>
      </c>
      <c r="I55" s="1"/>
      <c r="J55" s="1"/>
    </row>
    <row r="56">
      <c r="B56" s="7" t="s">
        <v>166</v>
      </c>
      <c r="C56" s="7"/>
      <c r="D56" s="7"/>
      <c r="E56" s="7"/>
      <c r="F56" s="7"/>
      <c r="G56" s="7"/>
      <c r="H56" s="21">
        <f>H53-H22-SUM(H40:H44,H46)</f>
        <v>0</v>
      </c>
    </row>
    <row r="57">
      <c r="B57" s="7" t="s">
        <v>167</v>
      </c>
      <c r="C57" s="7"/>
      <c r="D57" s="7"/>
      <c r="E57" s="7"/>
      <c r="F57" s="7"/>
      <c r="G57" s="7"/>
      <c r="H57" s="21">
        <f>H13-H10+H12</f>
        <v>0</v>
      </c>
    </row>
  </sheetData>
</worksheet>
</file>

<file path=xl/worksheets/sheet7.xml><?xml version="1.0" encoding="utf-8"?>
<worksheet xmlns="http://schemas.openxmlformats.org/spreadsheetml/2006/main" xmlns:r="http://schemas.openxmlformats.org/officeDocument/2006/relationships">
  <dimension ref="B2:J43"/>
  <sheetViews>
    <sheetView showGridLines="0" workbookViewId="0">
      <pane xSplit="2" ySplit="8" topLeftCell="C9" activePane="bottomRight" state="frozen"/>
    </sheetView>
  </sheetViews>
  <sheetFormatPr defaultColWidth="8.42578125" defaultRowHeight="15"/>
  <cols>
    <col min="2" max="2" width="34" customWidth="1"/>
    <col min="3" max="8" width="13" customWidth="1"/>
  </cols>
  <sheetData>
    <row r="2">
      <c r="B2" s="2" t="s">
        <v>0</v>
      </c>
      <c r="C2" s="2"/>
      <c r="D2" s="2"/>
      <c r="E2" s="2"/>
      <c r="F2" s="2"/>
      <c r="G2" s="2"/>
      <c r="H2" s="2"/>
      <c r="I2" s="1"/>
      <c r="J2" s="1"/>
    </row>
    <row r="3">
      <c r="B3" s="2" t="s">
        <v>168</v>
      </c>
      <c r="C3" s="2"/>
      <c r="D3" s="2"/>
      <c r="E3" s="2"/>
      <c r="F3" s="2"/>
      <c r="G3" s="2"/>
      <c r="H3" s="2"/>
      <c r="I3" s="1"/>
      <c r="J3" s="1"/>
    </row>
    <row r="4">
      <c r="B4" s="1" t="s">
        <v>2</v>
      </c>
      <c r="C4" s="1"/>
      <c r="D4" s="1"/>
      <c r="E4" s="1"/>
      <c r="F4" s="1"/>
      <c r="G4" s="1"/>
      <c r="H4" s="1"/>
      <c r="I4" s="1"/>
      <c r="J4" s="1"/>
    </row>
    <row r="5">
      <c r="B5" s="4" t="s">
        <v>3</v>
      </c>
      <c r="C5" s="4" t="s">
        <v>4</v>
      </c>
      <c r="D5" s="4" t="s">
        <v>5</v>
      </c>
      <c r="E5" s="4" t="s">
        <v>6</v>
      </c>
      <c r="F5" s="4" t="s">
        <v>7</v>
      </c>
      <c r="G5" s="4" t="s">
        <v>8</v>
      </c>
      <c r="H5" s="18" t="s">
        <v>9</v>
      </c>
      <c r="I5" s="1"/>
      <c r="J5" s="1"/>
    </row>
    <row r="6">
      <c r="B6" s="4" t="s">
        <v>10</v>
      </c>
      <c r="C6" s="11">
        <v>45900</v>
      </c>
      <c r="D6" s="11">
        <v>45900</v>
      </c>
      <c r="E6" s="11">
        <v>45991</v>
      </c>
      <c r="F6" s="11">
        <v>46081</v>
      </c>
      <c r="G6" s="11">
        <v>46173</v>
      </c>
      <c r="H6" s="29">
        <v>46265</v>
      </c>
      <c r="I6" s="1"/>
      <c r="J6" s="1"/>
    </row>
    <row r="7">
      <c r="B7" s="4" t="s">
        <v>11</v>
      </c>
      <c r="C7" s="4">
        <v>365</v>
      </c>
      <c r="D7" s="4">
        <v>92</v>
      </c>
      <c r="E7" s="4">
        <v>91</v>
      </c>
      <c r="F7" s="4">
        <v>90</v>
      </c>
      <c r="G7" s="4">
        <v>92</v>
      </c>
      <c r="H7" s="18">
        <v>92</v>
      </c>
      <c r="I7" s="1"/>
      <c r="J7" s="1"/>
    </row>
    <row r="8">
      <c r="B8" s="1"/>
      <c r="C8" s="1"/>
      <c r="D8" s="1"/>
      <c r="E8" s="1"/>
      <c r="F8" s="1"/>
      <c r="G8" s="1"/>
      <c r="H8" s="1"/>
      <c r="I8" s="1"/>
      <c r="J8" s="1"/>
    </row>
    <row r="9">
      <c r="B9" s="7" t="s">
        <v>169</v>
      </c>
      <c r="C9" s="7"/>
      <c r="D9" s="7"/>
      <c r="E9" s="7"/>
      <c r="F9" s="7"/>
      <c r="G9" s="7"/>
      <c r="H9" s="31"/>
      <c r="I9" s="1"/>
      <c r="J9" s="1"/>
    </row>
    <row r="10">
      <c r="B10" s="1" t="s">
        <v>170</v>
      </c>
      <c r="C10" s="14">
        <v>1933</v>
      </c>
      <c r="D10" s="6">
        <f>C10</f>
        <v>1933</v>
      </c>
      <c r="E10" s="14">
        <v>1572</v>
      </c>
      <c r="F10" s="14">
        <v>1830</v>
      </c>
      <c r="G10" s="14">
        <v>1360</v>
      </c>
      <c r="H10" s="20">
        <f>'Cash Flow Statement'!H35</f>
        <v>1491</v>
      </c>
      <c r="I10" s="1"/>
      <c r="J10" s="1"/>
    </row>
    <row r="11">
      <c r="B11" s="1" t="s">
        <v>171</v>
      </c>
      <c r="C11" s="14">
        <v>4039</v>
      </c>
      <c r="D11" s="6">
        <f>C11</f>
        <v>4039</v>
      </c>
      <c r="E11" s="14">
        <v>4421</v>
      </c>
      <c r="F11" s="14">
        <v>4390</v>
      </c>
      <c r="G11" s="14">
        <v>5473</v>
      </c>
      <c r="H11" s="20">
        <f>G11+Inputs!C77</f>
        <v>5823</v>
      </c>
      <c r="I11" s="1"/>
      <c r="J11" s="1"/>
    </row>
    <row r="12">
      <c r="B12" s="1" t="s">
        <v>172</v>
      </c>
      <c r="C12" s="14">
        <v>1057</v>
      </c>
      <c r="D12" s="6">
        <f>C12</f>
        <v>1057</v>
      </c>
      <c r="E12" s="14">
        <v>1178</v>
      </c>
      <c r="F12" s="14">
        <v>1270</v>
      </c>
      <c r="G12" s="14">
        <v>1467</v>
      </c>
      <c r="H12" s="20">
        <f>G12+Inputs!C78</f>
        <v>1517</v>
      </c>
      <c r="I12" s="1"/>
      <c r="J12" s="1"/>
    </row>
    <row r="13">
      <c r="B13" s="1" t="s">
        <v>173</v>
      </c>
      <c r="C13" s="14">
        <v>4681</v>
      </c>
      <c r="D13" s="6">
        <f>C13</f>
        <v>4681</v>
      </c>
      <c r="E13" s="14">
        <v>4681</v>
      </c>
      <c r="F13" s="14">
        <v>4972</v>
      </c>
      <c r="G13" s="14">
        <v>5933</v>
      </c>
      <c r="H13" s="20">
        <f>G13+Inputs!C79</f>
        <v>6333</v>
      </c>
      <c r="I13" s="1"/>
      <c r="J13" s="1"/>
    </row>
    <row r="14">
      <c r="B14" s="1" t="s">
        <v>174</v>
      </c>
      <c r="C14" s="14">
        <v>2010</v>
      </c>
      <c r="D14" s="6">
        <f>C14</f>
        <v>2010</v>
      </c>
      <c r="E14" s="14">
        <v>2532</v>
      </c>
      <c r="F14" s="14">
        <v>2547</v>
      </c>
      <c r="G14" s="14">
        <v>3925</v>
      </c>
      <c r="H14" s="20">
        <f>G14+Inputs!C80</f>
        <v>3625</v>
      </c>
      <c r="I14" s="1"/>
      <c r="J14" s="1"/>
    </row>
    <row r="15">
      <c r="B15" s="7" t="s">
        <v>175</v>
      </c>
      <c r="C15" s="19">
        <f>SUM(C10:C14)</f>
        <v>13720</v>
      </c>
      <c r="D15" s="19">
        <f>SUM(D10:D14)</f>
        <v>13720</v>
      </c>
      <c r="E15" s="19">
        <f>SUM(E10:E14)</f>
        <v>14384</v>
      </c>
      <c r="F15" s="19">
        <f>SUM(F10:F14)</f>
        <v>15009</v>
      </c>
      <c r="G15" s="19">
        <f>SUM(G10:G14)</f>
        <v>18158</v>
      </c>
      <c r="H15" s="21">
        <f>SUM(H10:H14)</f>
        <v>18789</v>
      </c>
      <c r="I15" s="1"/>
      <c r="J15" s="1"/>
    </row>
    <row r="16">
      <c r="B16" s="1" t="s">
        <v>176</v>
      </c>
      <c r="C16" s="14">
        <v>2847</v>
      </c>
      <c r="D16" s="6">
        <f>C16</f>
        <v>2847</v>
      </c>
      <c r="E16" s="14">
        <v>2831</v>
      </c>
      <c r="F16" s="14">
        <v>2840</v>
      </c>
      <c r="G16" s="14">
        <v>2899</v>
      </c>
      <c r="H16" s="20">
        <f>G16+Inputs!C81</f>
        <v>2969</v>
      </c>
      <c r="I16" s="1"/>
      <c r="J16" s="1"/>
    </row>
    <row r="17">
      <c r="B17" s="1" t="s">
        <v>177</v>
      </c>
      <c r="C17" s="14">
        <v>462</v>
      </c>
      <c r="D17" s="6">
        <f>C17</f>
        <v>462</v>
      </c>
      <c r="E17" s="14">
        <v>461</v>
      </c>
      <c r="F17" s="14">
        <v>487</v>
      </c>
      <c r="G17" s="14">
        <v>487</v>
      </c>
      <c r="H17" s="22">
        <f>G17</f>
        <v>487</v>
      </c>
      <c r="I17" s="1"/>
      <c r="J17" s="1"/>
    </row>
    <row r="18">
      <c r="B18" s="1" t="s">
        <v>178</v>
      </c>
      <c r="C18" s="14">
        <v>841</v>
      </c>
      <c r="D18" s="6">
        <f>C18</f>
        <v>841</v>
      </c>
      <c r="E18" s="14">
        <v>887</v>
      </c>
      <c r="F18" s="14">
        <v>1229</v>
      </c>
      <c r="G18" s="14">
        <v>1228</v>
      </c>
      <c r="H18" s="22">
        <f>G18</f>
        <v>1228</v>
      </c>
      <c r="I18" s="1"/>
      <c r="J18" s="1"/>
    </row>
    <row r="19">
      <c r="B19" s="1" t="s">
        <v>179</v>
      </c>
      <c r="C19" s="14">
        <v>273</v>
      </c>
      <c r="D19" s="6">
        <f>C19</f>
        <v>273</v>
      </c>
      <c r="E19" s="14">
        <v>297</v>
      </c>
      <c r="F19" s="14">
        <v>648</v>
      </c>
      <c r="G19" s="14">
        <v>627</v>
      </c>
      <c r="H19" s="20">
        <f>G19-'Income Statement'!H18</f>
        <v>603</v>
      </c>
      <c r="I19" s="1"/>
      <c r="J19" s="1"/>
    </row>
    <row r="20">
      <c r="B20" s="1" t="s">
        <v>180</v>
      </c>
      <c r="C20" s="14">
        <v>141</v>
      </c>
      <c r="D20" s="6">
        <f>C20</f>
        <v>141</v>
      </c>
      <c r="E20" s="14">
        <v>147</v>
      </c>
      <c r="F20" s="14">
        <v>147</v>
      </c>
      <c r="G20" s="14">
        <v>156</v>
      </c>
      <c r="H20" s="22">
        <f>G20</f>
        <v>156</v>
      </c>
      <c r="I20" s="1"/>
      <c r="J20" s="1"/>
    </row>
    <row r="21">
      <c r="B21" s="1" t="s">
        <v>181</v>
      </c>
      <c r="C21" s="14">
        <v>259</v>
      </c>
      <c r="D21" s="6">
        <f>C21</f>
        <v>259</v>
      </c>
      <c r="E21" s="14">
        <v>269</v>
      </c>
      <c r="F21" s="14">
        <v>268</v>
      </c>
      <c r="G21" s="14">
        <v>264</v>
      </c>
      <c r="H21" s="22">
        <f>G21</f>
        <v>264</v>
      </c>
      <c r="I21" s="1"/>
      <c r="J21" s="1"/>
    </row>
    <row r="22">
      <c r="B22" s="7" t="s">
        <v>182</v>
      </c>
      <c r="C22" s="19">
        <f>SUM(C15:C21)</f>
        <v>18543</v>
      </c>
      <c r="D22" s="19">
        <f>SUM(D15:D21)</f>
        <v>18543</v>
      </c>
      <c r="E22" s="19">
        <f>SUM(E15:E21)</f>
        <v>19276</v>
      </c>
      <c r="F22" s="19">
        <f>SUM(F15:F21)</f>
        <v>20628</v>
      </c>
      <c r="G22" s="19">
        <f>SUM(G15:G21)</f>
        <v>23819</v>
      </c>
      <c r="H22" s="21">
        <f>SUM(H15:H21)</f>
        <v>24496</v>
      </c>
      <c r="I22" s="1"/>
      <c r="J22" s="1"/>
    </row>
    <row r="23">
      <c r="B23" s="7" t="s">
        <v>183</v>
      </c>
      <c r="C23" s="19"/>
      <c r="D23" s="19"/>
      <c r="E23" s="19"/>
      <c r="F23" s="19"/>
      <c r="G23" s="19"/>
      <c r="H23" s="21"/>
      <c r="I23" s="1"/>
      <c r="J23" s="1"/>
    </row>
    <row r="24">
      <c r="B24" s="1" t="s">
        <v>184</v>
      </c>
      <c r="C24" s="14">
        <v>499</v>
      </c>
      <c r="D24" s="6">
        <f>C24</f>
        <v>499</v>
      </c>
      <c r="E24" s="14">
        <v>500</v>
      </c>
      <c r="F24" s="14">
        <v>500</v>
      </c>
      <c r="G24" s="14">
        <v>499</v>
      </c>
      <c r="H24" s="22">
        <f>G24</f>
        <v>499</v>
      </c>
      <c r="I24" s="1"/>
      <c r="J24" s="1"/>
    </row>
    <row r="25">
      <c r="B25" s="1" t="s">
        <v>185</v>
      </c>
      <c r="C25" s="14">
        <v>7937</v>
      </c>
      <c r="D25" s="6">
        <f>C25</f>
        <v>7937</v>
      </c>
      <c r="E25" s="14">
        <v>8418</v>
      </c>
      <c r="F25" s="14">
        <v>8517</v>
      </c>
      <c r="G25" s="14">
        <v>11908</v>
      </c>
      <c r="H25" s="20">
        <f>G25+Inputs!C82</f>
        <v>12308</v>
      </c>
      <c r="I25" s="1"/>
      <c r="J25" s="1"/>
    </row>
    <row r="26">
      <c r="B26" s="1" t="s">
        <v>186</v>
      </c>
      <c r="C26" s="14">
        <v>5185</v>
      </c>
      <c r="D26" s="6">
        <f>C26</f>
        <v>5185</v>
      </c>
      <c r="E26" s="14">
        <v>5534</v>
      </c>
      <c r="F26" s="14">
        <v>5695</v>
      </c>
      <c r="G26" s="14">
        <v>6006</v>
      </c>
      <c r="H26" s="22">
        <f>H22-SUM(H24:H25,H27,H29:H33,H36:H40)</f>
        <v>6230.50158</v>
      </c>
      <c r="I26" s="1"/>
      <c r="J26" s="1"/>
    </row>
    <row r="27">
      <c r="B27" s="1" t="s">
        <v>187</v>
      </c>
      <c r="C27" s="14">
        <v>93</v>
      </c>
      <c r="D27" s="6">
        <f>C27</f>
        <v>93</v>
      </c>
      <c r="E27" s="14">
        <v>96</v>
      </c>
      <c r="F27" s="14">
        <v>99</v>
      </c>
      <c r="G27" s="14">
        <v>98</v>
      </c>
      <c r="H27" s="22">
        <f>G27</f>
        <v>98</v>
      </c>
      <c r="I27" s="1"/>
      <c r="J27" s="1"/>
    </row>
    <row r="28">
      <c r="B28" s="7" t="s">
        <v>188</v>
      </c>
      <c r="C28" s="19">
        <f>SUM(C24:C27)</f>
        <v>13714</v>
      </c>
      <c r="D28" s="19">
        <f>SUM(D24:D27)</f>
        <v>13714</v>
      </c>
      <c r="E28" s="19">
        <f>SUM(E24:E27)</f>
        <v>14548</v>
      </c>
      <c r="F28" s="19">
        <f>SUM(F24:F27)</f>
        <v>14811</v>
      </c>
      <c r="G28" s="19">
        <f>SUM(G24:G27)</f>
        <v>18511</v>
      </c>
      <c r="H28" s="21">
        <f>SUM(H24:H27)</f>
        <v>19135.50158</v>
      </c>
      <c r="I28" s="1"/>
      <c r="J28" s="1"/>
    </row>
    <row r="29">
      <c r="B29" s="1" t="s">
        <v>189</v>
      </c>
      <c r="C29" s="14">
        <v>2386</v>
      </c>
      <c r="D29" s="6">
        <f>C29</f>
        <v>2386</v>
      </c>
      <c r="E29" s="14">
        <v>2387</v>
      </c>
      <c r="F29" s="14">
        <v>3376</v>
      </c>
      <c r="G29" s="14">
        <v>2879</v>
      </c>
      <c r="H29" s="20">
        <f>G29+'Cash Flow Statement'!H19+'Cash Flow Statement'!H20</f>
        <v>2859</v>
      </c>
      <c r="I29" s="1"/>
      <c r="J29" s="1"/>
    </row>
    <row r="30">
      <c r="B30" s="1" t="s">
        <v>190</v>
      </c>
      <c r="C30" s="14">
        <v>345</v>
      </c>
      <c r="D30" s="6">
        <f>C30</f>
        <v>345</v>
      </c>
      <c r="E30" s="14">
        <v>377</v>
      </c>
      <c r="F30" s="14">
        <v>405</v>
      </c>
      <c r="G30" s="14">
        <v>393</v>
      </c>
      <c r="H30" s="22">
        <f>G30</f>
        <v>393</v>
      </c>
      <c r="I30" s="1"/>
      <c r="J30" s="1"/>
    </row>
    <row r="31">
      <c r="B31" s="1" t="s">
        <v>191</v>
      </c>
      <c r="C31" s="14">
        <v>388</v>
      </c>
      <c r="D31" s="6">
        <f>C31</f>
        <v>388</v>
      </c>
      <c r="E31" s="14">
        <v>385</v>
      </c>
      <c r="F31" s="14">
        <v>414</v>
      </c>
      <c r="G31" s="14">
        <v>416</v>
      </c>
      <c r="H31" s="22">
        <f>G31</f>
        <v>416</v>
      </c>
      <c r="I31" s="1"/>
      <c r="J31" s="1"/>
    </row>
    <row r="32">
      <c r="B32" s="1" t="s">
        <v>192</v>
      </c>
      <c r="C32" s="14">
        <v>113</v>
      </c>
      <c r="D32" s="6">
        <f>C32</f>
        <v>113</v>
      </c>
      <c r="E32" s="14">
        <v>128</v>
      </c>
      <c r="F32" s="14">
        <v>131</v>
      </c>
      <c r="G32" s="14">
        <v>159</v>
      </c>
      <c r="H32" s="22">
        <f>G32</f>
        <v>159</v>
      </c>
      <c r="I32" s="1"/>
      <c r="J32" s="1"/>
    </row>
    <row r="33">
      <c r="B33" s="1" t="s">
        <v>193</v>
      </c>
      <c r="C33" s="14">
        <v>80</v>
      </c>
      <c r="D33" s="6">
        <f>C33</f>
        <v>80</v>
      </c>
      <c r="E33" s="14">
        <v>104</v>
      </c>
      <c r="F33" s="14">
        <v>142</v>
      </c>
      <c r="G33" s="14">
        <v>134</v>
      </c>
      <c r="H33" s="22">
        <f>G33</f>
        <v>134</v>
      </c>
      <c r="I33" s="1"/>
      <c r="J33" s="1"/>
    </row>
    <row r="34">
      <c r="B34" s="7" t="s">
        <v>194</v>
      </c>
      <c r="C34" s="19">
        <f>SUM(C28:C33)</f>
        <v>17026</v>
      </c>
      <c r="D34" s="19">
        <f>SUM(D28:D33)</f>
        <v>17026</v>
      </c>
      <c r="E34" s="19">
        <f>SUM(E28:E33)</f>
        <v>17929</v>
      </c>
      <c r="F34" s="19">
        <f>SUM(F28:F33)</f>
        <v>19279</v>
      </c>
      <c r="G34" s="19">
        <f>SUM(G28:G33)</f>
        <v>22492</v>
      </c>
      <c r="H34" s="21">
        <f>SUM(H28:H33)</f>
        <v>23096.50158</v>
      </c>
      <c r="I34" s="1"/>
      <c r="J34" s="1"/>
    </row>
    <row r="35">
      <c r="B35" s="7" t="s">
        <v>195</v>
      </c>
      <c r="C35" s="19"/>
      <c r="D35" s="19"/>
      <c r="E35" s="19"/>
      <c r="F35" s="19"/>
      <c r="G35" s="19"/>
      <c r="H35" s="21"/>
      <c r="I35" s="1"/>
      <c r="J35" s="1"/>
    </row>
    <row r="36">
      <c r="B36" s="1" t="s">
        <v>196</v>
      </c>
      <c r="C36" s="14">
        <v>3047</v>
      </c>
      <c r="D36" s="6">
        <f>C36</f>
        <v>3047</v>
      </c>
      <c r="E36" s="14">
        <v>3108</v>
      </c>
      <c r="F36" s="14">
        <v>3149</v>
      </c>
      <c r="G36" s="14">
        <v>3192</v>
      </c>
      <c r="H36" s="20">
        <f>G36+'Cash Flow Statement'!H23</f>
        <v>3202</v>
      </c>
      <c r="I36" s="1"/>
      <c r="J36" s="1"/>
    </row>
    <row r="37">
      <c r="B37" s="1" t="s">
        <v>197</v>
      </c>
      <c r="C37" s="14">
        <v>6382</v>
      </c>
      <c r="D37" s="6">
        <f>C37</f>
        <v>6382</v>
      </c>
      <c r="E37" s="14">
        <v>6519</v>
      </c>
      <c r="F37" s="14">
        <v>6733</v>
      </c>
      <c r="G37" s="14">
        <v>7000</v>
      </c>
      <c r="H37" s="20">
        <f>G37+'Income Statement'!H38+'Cash Flow Statement'!H22</f>
        <v>7362.49842</v>
      </c>
      <c r="I37" s="1"/>
      <c r="J37" s="1"/>
    </row>
    <row r="38">
      <c r="B38" s="1" t="s">
        <v>198</v>
      </c>
      <c r="C38" s="14">
        <v>-17</v>
      </c>
      <c r="D38" s="6">
        <f>C38</f>
        <v>-17</v>
      </c>
      <c r="E38" s="14">
        <v>-22</v>
      </c>
      <c r="F38" s="14">
        <v>0</v>
      </c>
      <c r="G38" s="14">
        <v>-20</v>
      </c>
      <c r="H38" s="22">
        <f>G38</f>
        <v>-20</v>
      </c>
      <c r="I38" s="1"/>
      <c r="J38" s="1"/>
    </row>
    <row r="39">
      <c r="B39" s="1" t="s">
        <v>199</v>
      </c>
      <c r="C39" s="14">
        <v>-7899</v>
      </c>
      <c r="D39" s="6">
        <f>C39</f>
        <v>-7899</v>
      </c>
      <c r="E39" s="14">
        <v>-8261</v>
      </c>
      <c r="F39" s="14">
        <v>-8538</v>
      </c>
      <c r="G39" s="14">
        <v>-8849</v>
      </c>
      <c r="H39" s="20">
        <f>G39+'Cash Flow Statement'!H21</f>
        <v>-9149</v>
      </c>
      <c r="I39" s="1"/>
      <c r="J39" s="1"/>
    </row>
    <row r="40">
      <c r="B40" s="1" t="s">
        <v>200</v>
      </c>
      <c r="C40" s="14">
        <v>4</v>
      </c>
      <c r="D40" s="6">
        <f>C40</f>
        <v>4</v>
      </c>
      <c r="E40" s="14">
        <v>3</v>
      </c>
      <c r="F40" s="14">
        <v>5</v>
      </c>
      <c r="G40" s="14">
        <v>4</v>
      </c>
      <c r="H40" s="22">
        <f>G40</f>
        <v>4</v>
      </c>
      <c r="I40" s="1"/>
      <c r="J40" s="1"/>
    </row>
    <row r="41">
      <c r="B41" s="7" t="s">
        <v>201</v>
      </c>
      <c r="C41" s="19">
        <f>SUM(C36:C40)</f>
        <v>1517</v>
      </c>
      <c r="D41" s="19">
        <f>SUM(D36:D40)</f>
        <v>1517</v>
      </c>
      <c r="E41" s="19">
        <f>SUM(E36:E40)</f>
        <v>1347</v>
      </c>
      <c r="F41" s="19">
        <f>SUM(F36:F40)</f>
        <v>1349</v>
      </c>
      <c r="G41" s="19">
        <f>SUM(G36:G40)</f>
        <v>1327</v>
      </c>
      <c r="H41" s="21">
        <f>SUM(H36:H40)</f>
        <v>1399.49842</v>
      </c>
      <c r="I41" s="1"/>
      <c r="J41" s="1"/>
    </row>
    <row r="42">
      <c r="B42" s="7" t="s">
        <v>202</v>
      </c>
      <c r="C42" s="19">
        <f>C34+C41</f>
        <v>18543</v>
      </c>
      <c r="D42" s="19">
        <f>D34+D41</f>
        <v>18543</v>
      </c>
      <c r="E42" s="19">
        <f>E34+E41</f>
        <v>19276</v>
      </c>
      <c r="F42" s="19">
        <f>F34+F41</f>
        <v>20628</v>
      </c>
      <c r="G42" s="19">
        <f>G34+G41</f>
        <v>23819</v>
      </c>
      <c r="H42" s="21">
        <f>H34+H41</f>
        <v>24496</v>
      </c>
      <c r="I42" s="1"/>
      <c r="J42" s="1"/>
    </row>
    <row r="43">
      <c r="B43" s="7" t="s">
        <v>203</v>
      </c>
      <c r="C43" s="19">
        <f>C22-C42</f>
        <v>0</v>
      </c>
      <c r="D43" s="19">
        <f>D22-D42</f>
        <v>0</v>
      </c>
      <c r="E43" s="19">
        <f>E22-E42</f>
        <v>0</v>
      </c>
      <c r="F43" s="19">
        <f>F22-F42</f>
        <v>0</v>
      </c>
      <c r="G43" s="19">
        <f>G22-G42</f>
        <v>0</v>
      </c>
      <c r="H43" s="21">
        <f>H22-H42</f>
        <v>0</v>
      </c>
      <c r="I43" s="1"/>
      <c r="J43" s="1"/>
    </row>
  </sheetData>
</worksheet>
</file>

<file path=xl/worksheets/sheet8.xml><?xml version="1.0" encoding="utf-8"?>
<worksheet xmlns="http://schemas.openxmlformats.org/spreadsheetml/2006/main" xmlns:r="http://schemas.openxmlformats.org/officeDocument/2006/relationships">
  <dimension ref="B2:J35"/>
  <sheetViews>
    <sheetView showGridLines="0" workbookViewId="0">
      <pane xSplit="2" ySplit="8" topLeftCell="C9" activePane="bottomRight" state="frozen"/>
    </sheetView>
  </sheetViews>
  <sheetFormatPr defaultColWidth="8.42578125" defaultRowHeight="15"/>
  <cols>
    <col min="2" max="2" width="34" customWidth="1"/>
    <col min="3" max="8" width="13" customWidth="1"/>
  </cols>
  <sheetData>
    <row r="2">
      <c r="B2" s="2" t="s">
        <v>0</v>
      </c>
      <c r="C2" s="2"/>
      <c r="D2" s="2"/>
      <c r="E2" s="2"/>
      <c r="F2" s="2"/>
      <c r="G2" s="2"/>
      <c r="H2" s="2"/>
      <c r="I2" s="1"/>
      <c r="J2" s="1"/>
    </row>
    <row r="3">
      <c r="B3" s="2" t="s">
        <v>204</v>
      </c>
      <c r="C3" s="2"/>
      <c r="D3" s="2"/>
      <c r="E3" s="2"/>
      <c r="F3" s="2"/>
      <c r="G3" s="2"/>
      <c r="H3" s="2"/>
      <c r="I3" s="1"/>
      <c r="J3" s="1"/>
    </row>
    <row r="4">
      <c r="B4" s="1" t="s">
        <v>2</v>
      </c>
      <c r="C4" s="1"/>
      <c r="D4" s="1"/>
      <c r="E4" s="1"/>
      <c r="F4" s="1"/>
      <c r="G4" s="1"/>
      <c r="H4" s="1"/>
      <c r="I4" s="1"/>
      <c r="J4" s="1"/>
    </row>
    <row r="5">
      <c r="B5" s="4" t="s">
        <v>3</v>
      </c>
      <c r="C5" s="4" t="s">
        <v>4</v>
      </c>
      <c r="D5" s="4" t="s">
        <v>5</v>
      </c>
      <c r="E5" s="4" t="s">
        <v>6</v>
      </c>
      <c r="F5" s="4" t="s">
        <v>7</v>
      </c>
      <c r="G5" s="4" t="s">
        <v>8</v>
      </c>
      <c r="H5" s="18" t="s">
        <v>9</v>
      </c>
      <c r="I5" s="1"/>
      <c r="J5" s="1"/>
    </row>
    <row r="6">
      <c r="B6" s="4" t="s">
        <v>10</v>
      </c>
      <c r="C6" s="11">
        <v>45900</v>
      </c>
      <c r="D6" s="11">
        <v>45900</v>
      </c>
      <c r="E6" s="11">
        <v>45991</v>
      </c>
      <c r="F6" s="11">
        <v>46081</v>
      </c>
      <c r="G6" s="11">
        <v>46173</v>
      </c>
      <c r="H6" s="29">
        <v>46265</v>
      </c>
      <c r="I6" s="1"/>
      <c r="J6" s="1"/>
    </row>
    <row r="7">
      <c r="B7" s="4" t="s">
        <v>11</v>
      </c>
      <c r="C7" s="4">
        <v>365</v>
      </c>
      <c r="D7" s="4">
        <v>92</v>
      </c>
      <c r="E7" s="4">
        <v>91</v>
      </c>
      <c r="F7" s="4">
        <v>90</v>
      </c>
      <c r="G7" s="4">
        <v>92</v>
      </c>
      <c r="H7" s="18">
        <v>92</v>
      </c>
      <c r="I7" s="1"/>
      <c r="J7" s="1"/>
    </row>
    <row r="8">
      <c r="B8" s="1"/>
      <c r="C8" s="1"/>
      <c r="D8" s="1"/>
      <c r="E8" s="1"/>
      <c r="F8" s="1"/>
      <c r="G8" s="1"/>
      <c r="H8" s="1"/>
      <c r="I8" s="1"/>
      <c r="J8" s="1"/>
    </row>
    <row r="9">
      <c r="B9" s="7" t="s">
        <v>205</v>
      </c>
      <c r="C9" s="7"/>
      <c r="D9" s="7"/>
      <c r="E9" s="7"/>
      <c r="F9" s="7"/>
      <c r="G9" s="7"/>
      <c r="H9" s="31"/>
      <c r="I9" s="1"/>
      <c r="J9" s="1"/>
    </row>
    <row r="10">
      <c r="B10" s="1" t="s">
        <v>206</v>
      </c>
      <c r="C10" s="3">
        <f>'Income Statement'!C31</f>
        <v>657</v>
      </c>
      <c r="D10" s="3">
        <f>'Income Statement'!D31</f>
        <v>218</v>
      </c>
      <c r="E10" s="3">
        <f>'Income Statement'!E31</f>
        <v>146</v>
      </c>
      <c r="F10" s="3">
        <f>'Income Statement'!F31</f>
        <v>222</v>
      </c>
      <c r="G10" s="3">
        <f>'Income Statement'!G31</f>
        <v>275</v>
      </c>
      <c r="H10" s="20">
        <f>'Income Statement'!H31</f>
        <v>371.49842</v>
      </c>
      <c r="I10" s="1"/>
      <c r="J10" s="1"/>
    </row>
    <row r="11">
      <c r="B11" s="1" t="s">
        <v>207</v>
      </c>
      <c r="C11" s="14">
        <v>674</v>
      </c>
      <c r="D11" s="14">
        <v>52</v>
      </c>
      <c r="E11" s="14">
        <v>267</v>
      </c>
      <c r="F11" s="14">
        <v>182</v>
      </c>
      <c r="G11" s="14">
        <v>196</v>
      </c>
      <c r="H11" s="20">
        <f>Inputs!C88</f>
        <v>210</v>
      </c>
      <c r="I11" s="1"/>
      <c r="J11" s="1"/>
    </row>
    <row r="12">
      <c r="B12" s="1" t="s">
        <v>208</v>
      </c>
      <c r="C12" s="6">
        <f>C13-C10-C11</f>
        <v>309</v>
      </c>
      <c r="D12" s="6">
        <f>D13-D10-D11</f>
        <v>318</v>
      </c>
      <c r="E12" s="6">
        <f>E13-E10-E11</f>
        <v>-90</v>
      </c>
      <c r="F12" s="6">
        <f>F13-F10-F11</f>
        <v>7</v>
      </c>
      <c r="G12" s="6">
        <f>G13-G10-G11</f>
        <v>64</v>
      </c>
      <c r="H12" s="22">
        <f>H13-H10-H11</f>
        <v>28.50157999999999</v>
      </c>
      <c r="I12" s="1"/>
      <c r="J12" s="1"/>
    </row>
    <row r="13">
      <c r="B13" s="7" t="s">
        <v>209</v>
      </c>
      <c r="C13" s="32">
        <v>1640</v>
      </c>
      <c r="D13" s="32">
        <v>588</v>
      </c>
      <c r="E13" s="32">
        <v>323</v>
      </c>
      <c r="F13" s="32">
        <v>411</v>
      </c>
      <c r="G13" s="32">
        <v>535</v>
      </c>
      <c r="H13" s="23">
        <f>Inputs!C76</f>
        <v>610</v>
      </c>
      <c r="I13" s="1"/>
      <c r="J13" s="1"/>
    </row>
    <row r="14">
      <c r="B14" s="1" t="s">
        <v>210</v>
      </c>
      <c r="C14" s="14">
        <v>-468</v>
      </c>
      <c r="D14" s="14">
        <v>-169</v>
      </c>
      <c r="E14" s="14">
        <v>-95</v>
      </c>
      <c r="F14" s="14">
        <v>-103</v>
      </c>
      <c r="G14" s="14">
        <v>-184</v>
      </c>
      <c r="H14" s="20">
        <f>Inputs!C89</f>
        <v>-190</v>
      </c>
      <c r="I14" s="1"/>
      <c r="J14" s="1"/>
    </row>
    <row r="15">
      <c r="B15" s="1" t="s">
        <v>211</v>
      </c>
      <c r="C15" s="14">
        <v>146</v>
      </c>
      <c r="D15" s="14">
        <v>86</v>
      </c>
      <c r="E15" s="14">
        <v>44</v>
      </c>
      <c r="F15" s="14">
        <v>52</v>
      </c>
      <c r="G15" s="14">
        <v>8</v>
      </c>
      <c r="H15" s="20">
        <f>Inputs!C90</f>
        <v>30</v>
      </c>
      <c r="I15" s="1"/>
      <c r="J15" s="1"/>
    </row>
    <row r="16">
      <c r="B16" s="1" t="s">
        <v>212</v>
      </c>
      <c r="C16" s="14">
        <v>-392</v>
      </c>
      <c r="D16" s="14">
        <v>1</v>
      </c>
      <c r="E16" s="14">
        <v>-124</v>
      </c>
      <c r="F16" s="14">
        <v>-724</v>
      </c>
      <c r="G16" s="14">
        <v>-4</v>
      </c>
      <c r="H16" s="33">
        <v>0</v>
      </c>
      <c r="I16" s="1"/>
      <c r="J16" s="1"/>
    </row>
    <row r="17">
      <c r="B17" s="1" t="s">
        <v>213</v>
      </c>
      <c r="C17" s="6">
        <f>C18-SUM(C14:C16)</f>
        <v>0</v>
      </c>
      <c r="D17" s="6">
        <f>D18-SUM(D14:D16)</f>
        <v>-54</v>
      </c>
      <c r="E17" s="6">
        <f>E18-SUM(E14:E16)</f>
        <v>-5</v>
      </c>
      <c r="F17" s="6">
        <f>F18-SUM(F14:F16)</f>
        <v>-8</v>
      </c>
      <c r="G17" s="6">
        <f>G18-SUM(G14:G16)</f>
        <v>-3</v>
      </c>
      <c r="H17" s="33">
        <v>0</v>
      </c>
      <c r="I17" s="1"/>
      <c r="J17" s="1"/>
    </row>
    <row r="18">
      <c r="B18" s="7" t="s">
        <v>214</v>
      </c>
      <c r="C18" s="32">
        <v>-714</v>
      </c>
      <c r="D18" s="32">
        <v>-136</v>
      </c>
      <c r="E18" s="32">
        <v>-180</v>
      </c>
      <c r="F18" s="32">
        <v>-783</v>
      </c>
      <c r="G18" s="32">
        <v>-183</v>
      </c>
      <c r="H18" s="21">
        <f>SUM(H14:H17)</f>
        <v>-160</v>
      </c>
      <c r="I18" s="1"/>
      <c r="J18" s="1"/>
    </row>
    <row r="19">
      <c r="B19" s="1" t="s">
        <v>215</v>
      </c>
      <c r="C19" s="14">
        <v>1844</v>
      </c>
      <c r="D19" s="14">
        <v>240</v>
      </c>
      <c r="E19" s="14">
        <v>200</v>
      </c>
      <c r="F19" s="14">
        <v>1478</v>
      </c>
      <c r="G19" s="14">
        <v>466</v>
      </c>
      <c r="H19" s="20">
        <f>Inputs!C91</f>
        <v>100</v>
      </c>
      <c r="I19" s="1"/>
      <c r="J19" s="1"/>
    </row>
    <row r="20">
      <c r="B20" s="1" t="s">
        <v>216</v>
      </c>
      <c r="C20" s="14">
        <v>-1986</v>
      </c>
      <c r="D20" s="14">
        <v>-266</v>
      </c>
      <c r="E20" s="14">
        <v>-328</v>
      </c>
      <c r="F20" s="14">
        <v>-569</v>
      </c>
      <c r="G20" s="14">
        <v>-987</v>
      </c>
      <c r="H20" s="20">
        <f>Inputs!C92</f>
        <v>-120</v>
      </c>
      <c r="I20" s="1"/>
      <c r="J20" s="1"/>
    </row>
    <row r="21">
      <c r="B21" s="1" t="s">
        <v>217</v>
      </c>
      <c r="C21" s="14">
        <v>-1000</v>
      </c>
      <c r="D21" s="14">
        <v>-25</v>
      </c>
      <c r="E21" s="14">
        <v>-300</v>
      </c>
      <c r="F21" s="14">
        <v>-300</v>
      </c>
      <c r="G21" s="14">
        <v>-291</v>
      </c>
      <c r="H21" s="20">
        <f>Inputs!C93</f>
        <v>-300</v>
      </c>
      <c r="I21" s="1"/>
      <c r="J21" s="1"/>
    </row>
    <row r="22">
      <c r="B22" s="1" t="s">
        <v>218</v>
      </c>
      <c r="C22" s="14">
        <v>-36</v>
      </c>
      <c r="D22" s="14">
        <v>-8</v>
      </c>
      <c r="E22" s="14">
        <v>-10</v>
      </c>
      <c r="F22" s="14">
        <v>-8</v>
      </c>
      <c r="G22" s="14">
        <v>-9</v>
      </c>
      <c r="H22" s="20">
        <f>Inputs!C94</f>
        <v>-9</v>
      </c>
      <c r="I22" s="1"/>
      <c r="J22" s="1"/>
    </row>
    <row r="23">
      <c r="B23" s="1" t="s">
        <v>219</v>
      </c>
      <c r="C23" s="14">
        <v>62</v>
      </c>
      <c r="D23" s="14">
        <v>29</v>
      </c>
      <c r="E23" s="14">
        <v>0</v>
      </c>
      <c r="F23" s="14">
        <v>39</v>
      </c>
      <c r="G23" s="14">
        <v>0</v>
      </c>
      <c r="H23" s="20">
        <f>Inputs!C95</f>
        <v>10</v>
      </c>
      <c r="I23" s="1"/>
      <c r="J23" s="1"/>
    </row>
    <row r="24">
      <c r="B24" s="1" t="s">
        <v>220</v>
      </c>
      <c r="C24" s="14">
        <v>-42</v>
      </c>
      <c r="D24" s="14">
        <v>-1</v>
      </c>
      <c r="E24" s="14">
        <v>-65</v>
      </c>
      <c r="F24" s="14">
        <v>0</v>
      </c>
      <c r="G24" s="14">
        <v>-1</v>
      </c>
      <c r="H24" s="33">
        <v>0</v>
      </c>
      <c r="I24" s="1"/>
      <c r="J24" s="1"/>
    </row>
    <row r="25">
      <c r="B25" s="1" t="s">
        <v>221</v>
      </c>
      <c r="C25" s="14">
        <v>-46</v>
      </c>
      <c r="D25" s="14">
        <v>-8</v>
      </c>
      <c r="E25" s="14">
        <v>0</v>
      </c>
      <c r="F25" s="14">
        <v>-17</v>
      </c>
      <c r="G25" s="14">
        <v>1</v>
      </c>
      <c r="H25" s="33">
        <v>0</v>
      </c>
      <c r="I25" s="1"/>
      <c r="J25" s="1"/>
    </row>
    <row r="26">
      <c r="B26" s="7" t="s">
        <v>222</v>
      </c>
      <c r="C26" s="19">
        <f>SUM(C19:C25)</f>
        <v>-1204</v>
      </c>
      <c r="D26" s="19">
        <f>SUM(D19:D25)</f>
        <v>-39</v>
      </c>
      <c r="E26" s="19">
        <f>SUM(E19:E25)</f>
        <v>-503</v>
      </c>
      <c r="F26" s="19">
        <f>SUM(F19:F25)</f>
        <v>623</v>
      </c>
      <c r="G26" s="19">
        <f>SUM(G19:G25)</f>
        <v>-821</v>
      </c>
      <c r="H26" s="21">
        <f>SUM(H19:H25)</f>
        <v>-319</v>
      </c>
      <c r="I26" s="1"/>
      <c r="J26" s="1"/>
    </row>
    <row r="27">
      <c r="B27" s="1" t="s">
        <v>223</v>
      </c>
      <c r="C27" s="14">
        <v>10</v>
      </c>
      <c r="D27" s="14">
        <v>-3</v>
      </c>
      <c r="E27" s="14">
        <v>-1</v>
      </c>
      <c r="F27" s="14">
        <v>7</v>
      </c>
      <c r="G27" s="14">
        <v>-1</v>
      </c>
      <c r="H27" s="33">
        <v>0</v>
      </c>
      <c r="I27" s="1"/>
      <c r="J27" s="1"/>
    </row>
    <row r="28">
      <c r="B28" s="7" t="s">
        <v>224</v>
      </c>
      <c r="C28" s="19">
        <f>SUM(C13,C18,C26,C27)</f>
        <v>-268</v>
      </c>
      <c r="D28" s="19">
        <f>SUM(D13,D18,D26,D27)</f>
        <v>410</v>
      </c>
      <c r="E28" s="19">
        <f>SUM(E13,E18,E26,E27)</f>
        <v>-361</v>
      </c>
      <c r="F28" s="19">
        <f>SUM(F13,F18,F26,F27)</f>
        <v>258</v>
      </c>
      <c r="G28" s="19">
        <f>SUM(G13,G18,G26,G27)</f>
        <v>-470</v>
      </c>
      <c r="H28" s="21">
        <f>SUM(H13,H18,H26,H27)</f>
        <v>131</v>
      </c>
      <c r="I28" s="1"/>
      <c r="J28" s="1"/>
    </row>
    <row r="29">
      <c r="B29" s="1" t="s">
        <v>225</v>
      </c>
      <c r="C29" s="14">
        <v>2201</v>
      </c>
      <c r="D29" s="14">
        <v>1523</v>
      </c>
      <c r="E29" s="14">
        <v>1933</v>
      </c>
      <c r="F29" s="14">
        <v>1572</v>
      </c>
      <c r="G29" s="14">
        <v>1830</v>
      </c>
      <c r="H29" s="20">
        <f>'Balance Sheet'!G10</f>
        <v>1360</v>
      </c>
      <c r="I29" s="1"/>
      <c r="J29" s="1"/>
    </row>
    <row r="30">
      <c r="B30" s="7" t="s">
        <v>226</v>
      </c>
      <c r="C30" s="19">
        <f>C29+C28</f>
        <v>1933</v>
      </c>
      <c r="D30" s="19">
        <f>D29+D28</f>
        <v>1933</v>
      </c>
      <c r="E30" s="19">
        <f>E29+E28</f>
        <v>1572</v>
      </c>
      <c r="F30" s="19">
        <f>F29+F28</f>
        <v>1830</v>
      </c>
      <c r="G30" s="19">
        <f>G29+G28</f>
        <v>1360</v>
      </c>
      <c r="H30" s="21">
        <f>H29+H28</f>
        <v>1491</v>
      </c>
      <c r="I30" s="1"/>
      <c r="J30" s="1"/>
    </row>
    <row r="31">
      <c r="B31" s="1" t="s">
        <v>227</v>
      </c>
      <c r="C31" s="3">
        <f>'Balance Sheet'!C10-C29</f>
        <v>-268</v>
      </c>
      <c r="D31" s="3">
        <f>'Balance Sheet'!D10-D29</f>
        <v>410</v>
      </c>
      <c r="E31" s="3">
        <f>'Balance Sheet'!E10-E29</f>
        <v>-361</v>
      </c>
      <c r="F31" s="3">
        <f>'Balance Sheet'!F10-F29</f>
        <v>258</v>
      </c>
      <c r="G31" s="3">
        <f>'Balance Sheet'!G10-G29</f>
        <v>-470</v>
      </c>
      <c r="H31" s="20">
        <f>'Balance Sheet'!H10-H29</f>
        <v>131</v>
      </c>
      <c r="I31" s="1"/>
      <c r="J31" s="1"/>
    </row>
    <row r="32">
      <c r="B32" s="7" t="s">
        <v>228</v>
      </c>
      <c r="C32" s="19">
        <f>C28-C31</f>
        <v>0</v>
      </c>
      <c r="D32" s="19">
        <f>D28-D31</f>
        <v>0</v>
      </c>
      <c r="E32" s="19">
        <f>E28-E31</f>
        <v>0</v>
      </c>
      <c r="F32" s="19">
        <f>F28-F31</f>
        <v>0</v>
      </c>
      <c r="G32" s="19">
        <f>G28-G31</f>
        <v>0</v>
      </c>
      <c r="H32" s="21">
        <f>H28-H31</f>
        <v>0</v>
      </c>
      <c r="I32" s="1"/>
      <c r="J32" s="1"/>
    </row>
    <row r="33">
      <c r="B33" s="7" t="s">
        <v>229</v>
      </c>
      <c r="C33" s="19">
        <f>SUM(C13:C15)</f>
        <v>1318</v>
      </c>
      <c r="D33" s="19">
        <f>SUM(D13:D15)</f>
        <v>505</v>
      </c>
      <c r="E33" s="19">
        <f>SUM(E13:E15)</f>
        <v>272</v>
      </c>
      <c r="F33" s="19">
        <f>SUM(F13:F15)</f>
        <v>360</v>
      </c>
      <c r="G33" s="19">
        <f>SUM(G13:G15)</f>
        <v>359</v>
      </c>
      <c r="H33" s="21">
        <f>SUM(H13:H15)</f>
        <v>450</v>
      </c>
      <c r="I33" s="1"/>
      <c r="J33" s="1"/>
    </row>
    <row r="34">
      <c r="B34" s="1"/>
      <c r="C34" s="6"/>
      <c r="D34" s="6"/>
      <c r="E34" s="6"/>
      <c r="F34" s="6"/>
      <c r="G34" s="6"/>
      <c r="H34" s="22"/>
      <c r="I34" s="1"/>
      <c r="J34" s="1"/>
    </row>
    <row r="35">
      <c r="B35" s="7" t="s">
        <v>230</v>
      </c>
      <c r="C35" s="19">
        <f>C30</f>
        <v>1933</v>
      </c>
      <c r="D35" s="19">
        <f>D30</f>
        <v>1933</v>
      </c>
      <c r="E35" s="19">
        <f>E30</f>
        <v>1572</v>
      </c>
      <c r="F35" s="19">
        <f>F30</f>
        <v>1830</v>
      </c>
      <c r="G35" s="19">
        <f>G30</f>
        <v>1360</v>
      </c>
      <c r="H35" s="21">
        <f>H30</f>
        <v>1491</v>
      </c>
      <c r="I35" s="1"/>
      <c r="J35" s="1"/>
    </row>
  </sheetData>
</worksheet>
</file>

<file path=xl/worksheets/sheet9.xml><?xml version="1.0" encoding="utf-8"?>
<worksheet xmlns="http://schemas.openxmlformats.org/spreadsheetml/2006/main" xmlns:r="http://schemas.openxmlformats.org/officeDocument/2006/relationships">
  <dimension ref="B2:J24"/>
  <sheetViews>
    <sheetView showGridLines="0" workbookViewId="0">
      <pane xSplit="2" ySplit="8" topLeftCell="C9" activePane="bottomRight" state="frozen"/>
    </sheetView>
  </sheetViews>
  <sheetFormatPr defaultColWidth="8.42578125" defaultRowHeight="15"/>
  <cols>
    <col min="2" max="2" width="34" customWidth="1"/>
    <col min="3" max="8" width="13" customWidth="1"/>
  </cols>
  <sheetData>
    <row r="2">
      <c r="B2" s="2" t="s">
        <v>0</v>
      </c>
      <c r="C2" s="2"/>
      <c r="D2" s="2"/>
      <c r="E2" s="2"/>
      <c r="F2" s="2"/>
      <c r="G2" s="2"/>
      <c r="H2" s="2"/>
      <c r="I2" s="1"/>
      <c r="J2" s="1"/>
    </row>
    <row r="3">
      <c r="B3" s="2" t="s">
        <v>231</v>
      </c>
      <c r="C3" s="2"/>
      <c r="D3" s="2"/>
      <c r="E3" s="2"/>
      <c r="F3" s="2"/>
      <c r="G3" s="2"/>
      <c r="H3" s="2"/>
      <c r="I3" s="1"/>
      <c r="J3" s="1"/>
    </row>
    <row r="4">
      <c r="B4" s="1" t="s">
        <v>2</v>
      </c>
      <c r="C4" s="1"/>
      <c r="D4" s="1"/>
      <c r="E4" s="1"/>
      <c r="F4" s="1"/>
      <c r="G4" s="1"/>
      <c r="H4" s="1"/>
      <c r="I4" s="1"/>
      <c r="J4" s="1"/>
    </row>
    <row r="5">
      <c r="B5" s="4" t="s">
        <v>3</v>
      </c>
      <c r="C5" s="4" t="s">
        <v>4</v>
      </c>
      <c r="D5" s="4" t="s">
        <v>5</v>
      </c>
      <c r="E5" s="4" t="s">
        <v>6</v>
      </c>
      <c r="F5" s="4" t="s">
        <v>7</v>
      </c>
      <c r="G5" s="4" t="s">
        <v>8</v>
      </c>
      <c r="H5" s="18" t="s">
        <v>9</v>
      </c>
      <c r="I5" s="1"/>
      <c r="J5" s="1"/>
    </row>
    <row r="6">
      <c r="B6" s="4" t="s">
        <v>10</v>
      </c>
      <c r="C6" s="11">
        <v>45900</v>
      </c>
      <c r="D6" s="11">
        <v>45900</v>
      </c>
      <c r="E6" s="11">
        <v>45991</v>
      </c>
      <c r="F6" s="11">
        <v>46081</v>
      </c>
      <c r="G6" s="11">
        <v>46173</v>
      </c>
      <c r="H6" s="29">
        <v>46265</v>
      </c>
      <c r="I6" s="1"/>
      <c r="J6" s="1"/>
    </row>
    <row r="7">
      <c r="B7" s="4" t="s">
        <v>11</v>
      </c>
      <c r="C7" s="4">
        <v>365</v>
      </c>
      <c r="D7" s="4">
        <v>92</v>
      </c>
      <c r="E7" s="4">
        <v>91</v>
      </c>
      <c r="F7" s="4">
        <v>90</v>
      </c>
      <c r="G7" s="4">
        <v>92</v>
      </c>
      <c r="H7" s="18">
        <v>92</v>
      </c>
      <c r="I7" s="1"/>
      <c r="J7" s="1"/>
    </row>
    <row r="8">
      <c r="B8" s="1"/>
      <c r="C8" s="1"/>
      <c r="D8" s="1"/>
      <c r="E8" s="1"/>
      <c r="F8" s="1"/>
      <c r="G8" s="1"/>
      <c r="H8" s="1"/>
      <c r="I8" s="1"/>
      <c r="J8" s="1"/>
    </row>
    <row r="9">
      <c r="B9" s="7" t="s">
        <v>232</v>
      </c>
      <c r="C9" s="7"/>
      <c r="D9" s="7"/>
      <c r="E9" s="7"/>
      <c r="F9" s="7"/>
      <c r="G9" s="7"/>
      <c r="H9" s="31"/>
      <c r="I9" s="1"/>
      <c r="J9" s="1"/>
    </row>
    <row r="10">
      <c r="B10" s="1" t="s">
        <v>233</v>
      </c>
      <c r="C10" s="14">
        <v>5689</v>
      </c>
      <c r="D10" s="6"/>
      <c r="E10" s="6"/>
      <c r="F10" s="6"/>
      <c r="G10" s="6"/>
      <c r="H10" s="22"/>
      <c r="I10" s="1"/>
      <c r="J10" s="42">
        <v>21550</v>
      </c>
    </row>
    <row r="11">
      <c r="B11" s="1" t="s">
        <v>234</v>
      </c>
      <c r="C11" s="14">
        <v>4196</v>
      </c>
      <c r="D11" s="6"/>
      <c r="E11" s="6"/>
      <c r="F11" s="6"/>
      <c r="G11" s="6"/>
      <c r="H11" s="22"/>
      <c r="I11" s="1"/>
      <c r="J11" s="42">
        <v>0.766</v>
      </c>
    </row>
    <row r="12">
      <c r="B12" s="1" t="s">
        <v>235</v>
      </c>
      <c r="C12" s="14">
        <v>3644</v>
      </c>
      <c r="D12" s="6"/>
      <c r="E12" s="6"/>
      <c r="F12" s="6"/>
      <c r="G12" s="6"/>
      <c r="H12" s="22"/>
      <c r="I12" s="1"/>
      <c r="J12" s="1"/>
    </row>
    <row r="13">
      <c r="B13" s="1" t="s">
        <v>236</v>
      </c>
      <c r="C13" s="14">
        <v>8829</v>
      </c>
      <c r="D13" s="6"/>
      <c r="E13" s="6"/>
      <c r="F13" s="6"/>
      <c r="G13" s="6"/>
      <c r="H13" s="22"/>
      <c r="I13" s="1"/>
      <c r="J13" s="1"/>
    </row>
    <row r="14">
      <c r="B14" s="7" t="s">
        <v>237</v>
      </c>
      <c r="C14" s="19">
        <f>SUM(C10:C13)</f>
        <v>22358</v>
      </c>
      <c r="D14" s="19">
        <f>C14-J10*J11</f>
        <v>5850.700000000001</v>
      </c>
      <c r="E14" s="26">
        <f>'Revenue summary'!E29*E17</f>
        <v>6046.04</v>
      </c>
      <c r="F14" s="26">
        <f>'Revenue summary'!F29*F17</f>
        <v>6012.732</v>
      </c>
      <c r="G14" s="26">
        <f>'Revenue summary'!G29*G17</f>
        <v>6633.258</v>
      </c>
      <c r="H14" s="23">
        <f>'Revenue summary'!H29*H17</f>
        <v>7301</v>
      </c>
      <c r="I14" s="1"/>
      <c r="J14" s="1"/>
    </row>
    <row r="15">
      <c r="B15" s="7" t="s">
        <v>52</v>
      </c>
      <c r="C15" s="19">
        <f>C14+C16</f>
        <v>29802</v>
      </c>
      <c r="D15" s="19">
        <f>D14+D16</f>
        <v>8252</v>
      </c>
      <c r="E15" s="19">
        <f>E14+E16</f>
        <v>8305</v>
      </c>
      <c r="F15" s="19">
        <f>F14+F16</f>
        <v>8282</v>
      </c>
      <c r="G15" s="19">
        <f>G14+G16</f>
        <v>8751</v>
      </c>
      <c r="H15" s="21">
        <f>H14+H16</f>
        <v>9800</v>
      </c>
      <c r="I15" s="1"/>
      <c r="J15" s="1"/>
    </row>
    <row r="16">
      <c r="B16" s="1" t="s">
        <v>238</v>
      </c>
      <c r="C16" s="14">
        <v>7444</v>
      </c>
      <c r="D16" s="3">
        <f>'Revenue summary'!D29-D14</f>
        <v>2401.2999999999993</v>
      </c>
      <c r="E16" s="3">
        <f>'Revenue summary'!E29-E14</f>
        <v>2258.96</v>
      </c>
      <c r="F16" s="3">
        <f>'Revenue summary'!F29-F14</f>
        <v>2269.268</v>
      </c>
      <c r="G16" s="3">
        <f>'Revenue summary'!G29-G14</f>
        <v>2117.742</v>
      </c>
      <c r="H16" s="20">
        <f>'Revenue summary'!H29-H14</f>
        <v>2499</v>
      </c>
      <c r="I16" s="1"/>
      <c r="J16" s="1"/>
    </row>
    <row r="17">
      <c r="B17" s="1" t="s">
        <v>239</v>
      </c>
      <c r="C17" s="25">
        <f>C14/C15</f>
        <v>0.7502181061673713</v>
      </c>
      <c r="D17" s="25">
        <f>D14/D15</f>
        <v>0.7090038778477946</v>
      </c>
      <c r="E17" s="53">
        <v>0.728</v>
      </c>
      <c r="F17" s="53">
        <v>0.726</v>
      </c>
      <c r="G17" s="53">
        <v>0.758</v>
      </c>
      <c r="H17" s="36">
        <f>Inputs!C96</f>
        <v>0.745</v>
      </c>
      <c r="I17" s="1"/>
      <c r="J17" s="1"/>
    </row>
    <row r="18">
      <c r="B18" s="7" t="s">
        <v>240</v>
      </c>
      <c r="C18" s="26">
        <f>C15-'Revenue summary'!C29</f>
        <v>0</v>
      </c>
      <c r="D18" s="26">
        <f>D15-'Revenue summary'!D29</f>
        <v>0</v>
      </c>
      <c r="E18" s="26">
        <f>E15-'Revenue summary'!E29</f>
        <v>0</v>
      </c>
      <c r="F18" s="26">
        <f>F15-'Revenue summary'!F29</f>
        <v>0</v>
      </c>
      <c r="G18" s="26">
        <f>G15-'Revenue summary'!G29</f>
        <v>0</v>
      </c>
      <c r="H18" s="23">
        <f>H15-'Revenue summary'!H29</f>
        <v>0</v>
      </c>
      <c r="I18" s="1"/>
      <c r="J18" s="1"/>
    </row>
    <row r="19">
      <c r="B19" s="1"/>
      <c r="C19" s="1"/>
      <c r="D19" s="1"/>
      <c r="E19" s="1"/>
      <c r="F19" s="1"/>
      <c r="G19" s="1"/>
      <c r="H19" s="1"/>
      <c r="I19" s="1"/>
      <c r="J19" s="1"/>
    </row>
    <row r="20">
      <c r="B20" s="1" t="s">
        <v>241</v>
      </c>
      <c r="C20" s="1"/>
      <c r="D20" s="1"/>
      <c r="E20" s="1"/>
      <c r="F20" s="1"/>
      <c r="G20" s="1"/>
      <c r="H20" s="1"/>
      <c r="I20" s="1"/>
      <c r="J20" s="1"/>
    </row>
    <row r="21">
      <c r="B21" s="1"/>
      <c r="C21" s="1"/>
      <c r="D21" s="1"/>
      <c r="E21" s="1"/>
      <c r="F21" s="1"/>
      <c r="G21" s="1"/>
      <c r="H21" s="1"/>
      <c r="I21" s="1"/>
      <c r="J21" s="1"/>
    </row>
    <row r="22">
      <c r="B22" s="1" t="s">
        <v>242</v>
      </c>
      <c r="C22" s="1"/>
      <c r="D22" s="1"/>
      <c r="E22" s="1"/>
      <c r="F22" s="1"/>
      <c r="G22" s="1"/>
      <c r="H22" s="1"/>
      <c r="I22" s="1"/>
      <c r="J22" s="1"/>
    </row>
    <row r="23">
      <c r="B23" s="1" t="s">
        <v>243</v>
      </c>
      <c r="C23" s="1"/>
      <c r="D23" s="1"/>
      <c r="E23" s="1"/>
      <c r="F23" s="1"/>
      <c r="G23" s="1"/>
      <c r="H23" s="1"/>
      <c r="I23" s="1"/>
      <c r="J23" s="1"/>
    </row>
    <row r="24">
      <c r="B24" s="1" t="s">
        <v>244</v>
      </c>
      <c r="C24" s="1"/>
      <c r="D24" s="1"/>
      <c r="E24" s="1"/>
      <c r="F24" s="1"/>
      <c r="G24" s="1"/>
      <c r="H24" s="1"/>
      <c r="I24" s="1"/>
      <c r="J24" s="1"/>
    </row>
  </sheetData>
</worksheet>
</file>

<file path=xl/worksheets/sheet10.xml><?xml version="1.0" encoding="utf-8"?>
<worksheet xmlns="http://schemas.openxmlformats.org/spreadsheetml/2006/main" xmlns:r="http://schemas.openxmlformats.org/officeDocument/2006/relationships">
  <dimension ref="B2:J25"/>
  <sheetViews>
    <sheetView showGridLines="0" workbookViewId="0">
      <pane xSplit="2" ySplit="8" topLeftCell="C9" activePane="bottomRight" state="frozen"/>
    </sheetView>
  </sheetViews>
  <sheetFormatPr defaultColWidth="8.42578125" defaultRowHeight="15"/>
  <cols>
    <col min="2" max="2" width="34" customWidth="1"/>
    <col min="3" max="8" width="13" customWidth="1"/>
  </cols>
  <sheetData>
    <row r="2">
      <c r="B2" s="2" t="s">
        <v>0</v>
      </c>
      <c r="C2" s="2"/>
      <c r="D2" s="2"/>
      <c r="E2" s="2"/>
      <c r="F2" s="2"/>
      <c r="G2" s="2"/>
      <c r="H2" s="2"/>
      <c r="I2" s="1"/>
      <c r="J2" s="1"/>
    </row>
    <row r="3">
      <c r="B3" s="2" t="s">
        <v>245</v>
      </c>
      <c r="C3" s="2"/>
      <c r="D3" s="2"/>
      <c r="E3" s="2"/>
      <c r="F3" s="2"/>
      <c r="G3" s="2"/>
      <c r="H3" s="2"/>
      <c r="I3" s="1"/>
      <c r="J3" s="1"/>
    </row>
    <row r="4">
      <c r="B4" s="1" t="s">
        <v>2</v>
      </c>
      <c r="C4" s="1"/>
      <c r="D4" s="1"/>
      <c r="E4" s="1"/>
      <c r="F4" s="1"/>
      <c r="G4" s="1"/>
      <c r="H4" s="1"/>
      <c r="I4" s="1"/>
      <c r="J4" s="1"/>
    </row>
    <row r="5">
      <c r="B5" s="4" t="s">
        <v>3</v>
      </c>
      <c r="C5" s="4" t="s">
        <v>4</v>
      </c>
      <c r="D5" s="4" t="s">
        <v>5</v>
      </c>
      <c r="E5" s="4" t="s">
        <v>6</v>
      </c>
      <c r="F5" s="4" t="s">
        <v>7</v>
      </c>
      <c r="G5" s="4" t="s">
        <v>8</v>
      </c>
      <c r="H5" s="18" t="s">
        <v>9</v>
      </c>
      <c r="I5" s="1"/>
      <c r="J5" s="1"/>
    </row>
    <row r="6">
      <c r="B6" s="4" t="s">
        <v>10</v>
      </c>
      <c r="C6" s="11">
        <v>45900</v>
      </c>
      <c r="D6" s="11">
        <v>45900</v>
      </c>
      <c r="E6" s="11">
        <v>45991</v>
      </c>
      <c r="F6" s="11">
        <v>46081</v>
      </c>
      <c r="G6" s="11">
        <v>46173</v>
      </c>
      <c r="H6" s="29">
        <v>46265</v>
      </c>
      <c r="I6" s="1"/>
      <c r="J6" s="1"/>
    </row>
    <row r="7">
      <c r="B7" s="4" t="s">
        <v>11</v>
      </c>
      <c r="C7" s="4">
        <v>365</v>
      </c>
      <c r="D7" s="4">
        <v>92</v>
      </c>
      <c r="E7" s="4">
        <v>91</v>
      </c>
      <c r="F7" s="4">
        <v>90</v>
      </c>
      <c r="G7" s="4">
        <v>92</v>
      </c>
      <c r="H7" s="18">
        <v>92</v>
      </c>
      <c r="I7" s="1"/>
      <c r="J7" s="1"/>
    </row>
    <row r="8">
      <c r="B8" s="1"/>
      <c r="C8" s="1"/>
      <c r="D8" s="1"/>
      <c r="E8" s="1"/>
      <c r="F8" s="1"/>
      <c r="G8" s="1"/>
      <c r="H8" s="1"/>
      <c r="I8" s="1"/>
      <c r="J8" s="1"/>
    </row>
    <row r="9">
      <c r="B9" s="7" t="s">
        <v>246</v>
      </c>
      <c r="C9" s="7"/>
      <c r="D9" s="7"/>
      <c r="E9" s="7"/>
      <c r="F9" s="7"/>
      <c r="G9" s="7"/>
      <c r="H9" s="31"/>
      <c r="I9" s="1"/>
      <c r="J9" s="1"/>
    </row>
    <row r="10">
      <c r="B10" s="1" t="s">
        <v>247</v>
      </c>
      <c r="C10" s="3">
        <f>'Income Statement'!C33</f>
        <v>109.5</v>
      </c>
      <c r="D10" s="3">
        <f>'Income Statement'!D33</f>
        <v>107.5</v>
      </c>
      <c r="E10" s="3">
        <f>'Income Statement'!E33</f>
        <v>107</v>
      </c>
      <c r="F10" s="3">
        <f>'Income Statement'!F33</f>
        <v>106</v>
      </c>
      <c r="G10" s="3">
        <f>'Income Statement'!G33</f>
        <v>105.3</v>
      </c>
      <c r="H10" s="22">
        <f>H17</f>
        <v>104.3575988553864</v>
      </c>
      <c r="I10" s="1"/>
      <c r="J10" s="1"/>
    </row>
    <row r="11">
      <c r="B11" s="1" t="s">
        <v>248</v>
      </c>
      <c r="C11" s="3">
        <f>'Income Statement'!C35</f>
        <v>110.9</v>
      </c>
      <c r="D11" s="3">
        <f>'Income Statement'!D35</f>
        <v>109.2</v>
      </c>
      <c r="E11" s="3">
        <f>'Income Statement'!E35</f>
        <v>108.3</v>
      </c>
      <c r="F11" s="3">
        <f>'Income Statement'!F35</f>
        <v>106.9</v>
      </c>
      <c r="G11" s="3">
        <f>'Income Statement'!G35</f>
        <v>106.5</v>
      </c>
      <c r="H11" s="22">
        <f>H18</f>
        <v>105.0575988553864</v>
      </c>
      <c r="I11" s="1"/>
      <c r="J11" s="1"/>
    </row>
    <row r="12">
      <c r="B12" s="1" t="s">
        <v>249</v>
      </c>
      <c r="C12" s="3">
        <f>'Cash Flow Statement'!C21</f>
        <v>-1000</v>
      </c>
      <c r="D12" s="3">
        <f>'Cash Flow Statement'!D21</f>
        <v>-25</v>
      </c>
      <c r="E12" s="3">
        <f>'Cash Flow Statement'!E21</f>
        <v>-300</v>
      </c>
      <c r="F12" s="3">
        <f>'Cash Flow Statement'!F21</f>
        <v>-300</v>
      </c>
      <c r="G12" s="3">
        <f>'Cash Flow Statement'!G21</f>
        <v>-291</v>
      </c>
      <c r="H12" s="20">
        <f>'Cash Flow Statement'!H21</f>
        <v>-300</v>
      </c>
      <c r="I12" s="1"/>
      <c r="J12" s="1"/>
    </row>
    <row r="13">
      <c r="B13" s="1" t="s">
        <v>250</v>
      </c>
      <c r="C13" s="3">
        <f>'Cash Flow Statement'!C23</f>
        <v>62</v>
      </c>
      <c r="D13" s="3">
        <f>'Cash Flow Statement'!D23</f>
        <v>29</v>
      </c>
      <c r="E13" s="3">
        <f>'Cash Flow Statement'!E23</f>
        <v>0</v>
      </c>
      <c r="F13" s="3">
        <f>'Cash Flow Statement'!F23</f>
        <v>39</v>
      </c>
      <c r="G13" s="3">
        <f>'Cash Flow Statement'!G23</f>
        <v>0</v>
      </c>
      <c r="H13" s="20">
        <f>'Cash Flow Statement'!H23</f>
        <v>10</v>
      </c>
      <c r="I13" s="1"/>
      <c r="J13" s="1"/>
    </row>
    <row r="14">
      <c r="B14" s="1" t="s">
        <v>251</v>
      </c>
      <c r="C14" s="6"/>
      <c r="D14" s="6"/>
      <c r="E14" s="6">
        <f>D19</f>
        <v>107.480895</v>
      </c>
      <c r="F14" s="6">
        <f>E19</f>
        <v>106.82296</v>
      </c>
      <c r="G14" s="6">
        <f>F19</f>
        <v>105.818234</v>
      </c>
      <c r="H14" s="22">
        <f>G19</f>
        <v>104.824302</v>
      </c>
      <c r="I14" s="1"/>
      <c r="J14" s="1"/>
    </row>
    <row r="15">
      <c r="B15" s="1" t="s">
        <v>252</v>
      </c>
      <c r="C15" s="6"/>
      <c r="D15" s="6"/>
      <c r="E15" s="14">
        <v>-1.746604</v>
      </c>
      <c r="F15" s="14">
        <v>-1.228566</v>
      </c>
      <c r="G15" s="14">
        <v>-0.996458</v>
      </c>
      <c r="H15" s="22">
        <f>H12/H22</f>
        <v>-0.9655927129936592</v>
      </c>
      <c r="I15" s="1"/>
      <c r="J15" s="1"/>
    </row>
    <row r="16">
      <c r="B16" s="1" t="s">
        <v>253</v>
      </c>
      <c r="C16" s="6"/>
      <c r="D16" s="6"/>
      <c r="E16" s="6">
        <f>E19-E14-E15</f>
        <v>1.088668999999991</v>
      </c>
      <c r="F16" s="6">
        <f>F19-F14-F15</f>
        <v>0.22384000000000914</v>
      </c>
      <c r="G16" s="6">
        <f>G19-G14-G15</f>
        <v>0.002525999999999029</v>
      </c>
      <c r="H16" s="22">
        <f>H13/H22</f>
        <v>0.03218642376645531</v>
      </c>
      <c r="I16" s="1"/>
      <c r="J16" s="1"/>
    </row>
    <row r="17">
      <c r="B17" s="7" t="s">
        <v>254</v>
      </c>
      <c r="C17" s="19"/>
      <c r="D17" s="19"/>
      <c r="E17" s="19"/>
      <c r="F17" s="19"/>
      <c r="G17" s="19"/>
      <c r="H17" s="21">
        <f>H14+(H15+H16)/2</f>
        <v>104.3575988553864</v>
      </c>
      <c r="I17" s="1"/>
      <c r="J17" s="1"/>
    </row>
    <row r="18">
      <c r="B18" s="7" t="s">
        <v>255</v>
      </c>
      <c r="C18" s="19"/>
      <c r="D18" s="19"/>
      <c r="E18" s="19"/>
      <c r="F18" s="19"/>
      <c r="G18" s="19"/>
      <c r="H18" s="21">
        <f>H17+H20</f>
        <v>105.0575988553864</v>
      </c>
      <c r="I18" s="1"/>
      <c r="J18" s="1"/>
    </row>
    <row r="19">
      <c r="B19" s="7" t="s">
        <v>256</v>
      </c>
      <c r="C19" s="32">
        <v>107.480895</v>
      </c>
      <c r="D19" s="19">
        <f>C19</f>
        <v>107.480895</v>
      </c>
      <c r="E19" s="32">
        <v>106.82296</v>
      </c>
      <c r="F19" s="32">
        <v>105.818234</v>
      </c>
      <c r="G19" s="32">
        <v>104.824302</v>
      </c>
      <c r="H19" s="21">
        <f>H14+H15+H16</f>
        <v>103.89089571077281</v>
      </c>
      <c r="I19" s="1"/>
      <c r="J19" s="1"/>
    </row>
    <row r="20">
      <c r="B20" s="1" t="s">
        <v>257</v>
      </c>
      <c r="C20" s="6"/>
      <c r="D20" s="6"/>
      <c r="E20" s="6"/>
      <c r="F20" s="6"/>
      <c r="G20" s="6"/>
      <c r="H20" s="20">
        <f>Inputs!C87</f>
        <v>0.7</v>
      </c>
      <c r="I20" s="1"/>
      <c r="J20" s="1"/>
    </row>
    <row r="21">
      <c r="B21" s="1"/>
      <c r="C21" s="6"/>
      <c r="D21" s="6"/>
      <c r="E21" s="6"/>
      <c r="F21" s="6"/>
      <c r="G21" s="6"/>
      <c r="H21" s="22"/>
      <c r="I21" s="1"/>
      <c r="J21" s="1"/>
    </row>
    <row r="22">
      <c r="B22" s="1" t="s">
        <v>258</v>
      </c>
      <c r="C22" s="6"/>
      <c r="D22" s="6"/>
      <c r="E22" s="6"/>
      <c r="F22" s="6"/>
      <c r="G22" s="6"/>
      <c r="H22" s="20">
        <f>Inputs!C57</f>
        <v>310.69</v>
      </c>
      <c r="I22" s="1"/>
      <c r="J22" s="1"/>
    </row>
    <row r="23">
      <c r="B23" s="7" t="s">
        <v>259</v>
      </c>
      <c r="C23" s="19"/>
      <c r="D23" s="19"/>
      <c r="E23" s="19"/>
      <c r="F23" s="19"/>
      <c r="G23" s="19"/>
      <c r="H23" s="21">
        <f>H18</f>
        <v>105.0575988553864</v>
      </c>
      <c r="I23" s="1"/>
      <c r="J23" s="1"/>
    </row>
    <row r="24">
      <c r="B24" s="1"/>
      <c r="C24" s="1"/>
      <c r="D24" s="1"/>
      <c r="E24" s="1"/>
      <c r="F24" s="1"/>
      <c r="G24" s="1"/>
      <c r="H24" s="1"/>
      <c r="I24" s="1"/>
      <c r="J24" s="1"/>
    </row>
    <row r="25">
      <c r="B25" s="1"/>
      <c r="C25" s="1"/>
      <c r="D25" s="1"/>
      <c r="E25" s="1"/>
      <c r="F25" s="1"/>
      <c r="G25" s="1"/>
      <c r="H25" s="1"/>
      <c r="I25" s="1"/>
      <c r="J25" s="1"/>
    </row>
  </sheetData>
</worksheet>
</file>

<file path=xl/worksheets/sheet11.xml><?xml version="1.0" encoding="utf-8"?>
<worksheet xmlns="http://schemas.openxmlformats.org/spreadsheetml/2006/main" xmlns:r="http://schemas.openxmlformats.org/officeDocument/2006/relationships">
  <dimension ref="B2:J34"/>
  <sheetViews>
    <sheetView showGridLines="0" workbookViewId="0">
      <pane xSplit="2" ySplit="8" topLeftCell="C9" activePane="bottomRight" state="frozen"/>
    </sheetView>
  </sheetViews>
  <sheetFormatPr defaultColWidth="8.42578125" defaultRowHeight="15"/>
  <cols>
    <col min="2" max="2" width="34" customWidth="1"/>
    <col min="3" max="3" width="13" customWidth="1"/>
    <col min="4" max="4" width="34" customWidth="1"/>
    <col min="5" max="9" width="13" customWidth="1"/>
    <col min="10" max="10" width="18" customWidth="1"/>
  </cols>
  <sheetData>
    <row r="2">
      <c r="B2" s="2" t="s">
        <v>0</v>
      </c>
      <c r="C2" s="2"/>
      <c r="D2" s="2"/>
      <c r="E2" s="2"/>
      <c r="F2" s="2"/>
      <c r="G2" s="2"/>
      <c r="H2" s="2"/>
      <c r="I2" s="1"/>
      <c r="J2" s="1"/>
    </row>
    <row r="3">
      <c r="B3" s="2" t="s">
        <v>260</v>
      </c>
      <c r="C3" s="2"/>
      <c r="D3" s="2"/>
      <c r="E3" s="2"/>
      <c r="F3" s="2"/>
      <c r="G3" s="2"/>
      <c r="H3" s="2"/>
      <c r="I3" s="1"/>
      <c r="J3" s="1"/>
    </row>
    <row r="4">
      <c r="B4" s="1" t="s">
        <v>2</v>
      </c>
      <c r="C4" s="1"/>
      <c r="D4" s="1"/>
      <c r="E4" s="1"/>
      <c r="F4" s="1"/>
      <c r="G4" s="1"/>
      <c r="H4" s="1"/>
      <c r="I4" s="1"/>
      <c r="J4" s="1"/>
    </row>
    <row r="5">
      <c r="B5" s="4" t="s">
        <v>3</v>
      </c>
      <c r="C5" s="4" t="s">
        <v>4</v>
      </c>
      <c r="D5" s="4" t="s">
        <v>5</v>
      </c>
      <c r="E5" s="4" t="s">
        <v>6</v>
      </c>
      <c r="F5" s="4" t="s">
        <v>7</v>
      </c>
      <c r="G5" s="4" t="s">
        <v>8</v>
      </c>
      <c r="H5" s="18" t="s">
        <v>9</v>
      </c>
      <c r="I5" s="1"/>
      <c r="J5" s="1"/>
    </row>
    <row r="6">
      <c r="B6" s="4" t="s">
        <v>10</v>
      </c>
      <c r="C6" s="11">
        <v>45900</v>
      </c>
      <c r="D6" s="11">
        <v>45900</v>
      </c>
      <c r="E6" s="11">
        <v>45991</v>
      </c>
      <c r="F6" s="11">
        <v>46081</v>
      </c>
      <c r="G6" s="11">
        <v>46173</v>
      </c>
      <c r="H6" s="29">
        <v>46265</v>
      </c>
      <c r="I6" s="1"/>
      <c r="J6" s="1"/>
    </row>
    <row r="7">
      <c r="B7" s="4" t="s">
        <v>11</v>
      </c>
      <c r="C7" s="4">
        <v>365</v>
      </c>
      <c r="D7" s="4">
        <v>92</v>
      </c>
      <c r="E7" s="4">
        <v>91</v>
      </c>
      <c r="F7" s="4">
        <v>90</v>
      </c>
      <c r="G7" s="4">
        <v>92</v>
      </c>
      <c r="H7" s="18">
        <v>92</v>
      </c>
      <c r="I7" s="1"/>
      <c r="J7" s="1"/>
    </row>
    <row r="8">
      <c r="B8" s="1"/>
      <c r="C8" s="1"/>
      <c r="D8" s="1"/>
      <c r="E8" s="1"/>
      <c r="F8" s="1"/>
      <c r="G8" s="1"/>
      <c r="H8" s="1"/>
      <c r="I8" s="1"/>
      <c r="J8" s="1"/>
    </row>
    <row r="9">
      <c r="B9" s="4" t="s">
        <v>261</v>
      </c>
      <c r="C9" s="4" t="s">
        <v>3</v>
      </c>
      <c r="D9" s="4" t="s">
        <v>262</v>
      </c>
      <c r="E9" s="4" t="s">
        <v>263</v>
      </c>
      <c r="F9" s="4" t="s">
        <v>264</v>
      </c>
      <c r="G9" s="4" t="s">
        <v>265</v>
      </c>
      <c r="H9" s="4" t="s">
        <v>266</v>
      </c>
      <c r="I9" s="4" t="s">
        <v>267</v>
      </c>
      <c r="J9" s="4" t="s">
        <v>268</v>
      </c>
    </row>
    <row r="10">
      <c r="B10" s="15">
        <v>46190</v>
      </c>
      <c r="C10" s="1" t="s">
        <v>9</v>
      </c>
      <c r="D10" s="1" t="s">
        <v>269</v>
      </c>
      <c r="E10" s="14">
        <v>9200</v>
      </c>
      <c r="F10" s="14">
        <v>10000</v>
      </c>
      <c r="G10" s="6">
        <f>(E10+F10)/2</f>
        <v>9600</v>
      </c>
      <c r="H10" s="6"/>
      <c r="I10" s="6"/>
      <c r="J10" s="3">
        <f>'Revenue summary'!H29-G10</f>
        <v>200</v>
      </c>
    </row>
    <row r="11">
      <c r="B11" s="15">
        <v>46190</v>
      </c>
      <c r="C11" s="1" t="s">
        <v>9</v>
      </c>
      <c r="D11" s="1" t="s">
        <v>270</v>
      </c>
      <c r="E11" s="14">
        <v>526</v>
      </c>
      <c r="F11" s="14">
        <v>586</v>
      </c>
      <c r="G11" s="6">
        <f>(E11+F11)/2</f>
        <v>556</v>
      </c>
      <c r="H11" s="6"/>
      <c r="I11" s="6"/>
      <c r="J11" s="3">
        <f>'Income Statement'!H22-G11</f>
        <v>10.998000000000047</v>
      </c>
    </row>
    <row r="12">
      <c r="B12" s="15">
        <v>46190</v>
      </c>
      <c r="C12" s="1" t="s">
        <v>9</v>
      </c>
      <c r="D12" s="1" t="s">
        <v>271</v>
      </c>
      <c r="E12" s="16">
        <v>3.24</v>
      </c>
      <c r="F12" s="16">
        <v>3.64</v>
      </c>
      <c r="G12" s="5">
        <f>(E12+F12)/2</f>
        <v>3.4400000000000004</v>
      </c>
      <c r="H12" s="5"/>
      <c r="I12" s="5"/>
      <c r="J12" s="9">
        <f>'Income Statement'!H36-G12</f>
        <v>0.09614040343120678</v>
      </c>
    </row>
    <row r="13">
      <c r="B13" s="15">
        <v>46190</v>
      </c>
      <c r="C13" s="1" t="s">
        <v>9</v>
      </c>
      <c r="D13" s="1" t="s">
        <v>272</v>
      </c>
      <c r="E13" s="14">
        <v>24</v>
      </c>
      <c r="F13" s="14">
        <v>24</v>
      </c>
      <c r="G13" s="6">
        <f>(E13+F13)/2</f>
        <v>24</v>
      </c>
      <c r="H13" s="6"/>
      <c r="I13" s="6"/>
      <c r="J13" s="6"/>
    </row>
    <row r="14">
      <c r="B14" s="15">
        <v>46190</v>
      </c>
      <c r="C14" s="1" t="s">
        <v>9</v>
      </c>
      <c r="D14" s="1" t="s">
        <v>273</v>
      </c>
      <c r="E14" s="14">
        <v>14</v>
      </c>
      <c r="F14" s="14">
        <v>14</v>
      </c>
      <c r="G14" s="6">
        <f>(E14+F14)/2</f>
        <v>14</v>
      </c>
      <c r="H14" s="6"/>
      <c r="I14" s="6"/>
      <c r="J14" s="6"/>
    </row>
    <row r="15">
      <c r="B15" s="15">
        <v>46190</v>
      </c>
      <c r="C15" s="1" t="s">
        <v>9</v>
      </c>
      <c r="D15" s="1" t="s">
        <v>274</v>
      </c>
      <c r="E15" s="14">
        <v>25</v>
      </c>
      <c r="F15" s="14">
        <v>25</v>
      </c>
      <c r="G15" s="6">
        <f>(E15+F15)/2</f>
        <v>25</v>
      </c>
      <c r="H15" s="6"/>
      <c r="I15" s="6"/>
      <c r="J15" s="6"/>
    </row>
    <row r="16">
      <c r="B16" s="15">
        <v>46190</v>
      </c>
      <c r="C16" s="1" t="s">
        <v>9</v>
      </c>
      <c r="D16" s="1" t="s">
        <v>275</v>
      </c>
      <c r="E16" s="14">
        <v>589</v>
      </c>
      <c r="F16" s="14">
        <v>649</v>
      </c>
      <c r="G16" s="6">
        <f>(E16+F16)/2</f>
        <v>619</v>
      </c>
      <c r="H16" s="6"/>
      <c r="I16" s="6"/>
      <c r="J16" s="3">
        <f>'Income Statement'!H53-G16</f>
        <v>10.998000000000047</v>
      </c>
    </row>
    <row r="17">
      <c r="B17" s="15">
        <v>46190</v>
      </c>
      <c r="C17" s="1" t="s">
        <v>9</v>
      </c>
      <c r="D17" s="1" t="s">
        <v>276</v>
      </c>
      <c r="E17" s="16">
        <v>3.8</v>
      </c>
      <c r="F17" s="16">
        <v>4.2</v>
      </c>
      <c r="G17" s="5">
        <f>(E17+F17)/2</f>
        <v>4</v>
      </c>
      <c r="H17" s="5"/>
      <c r="I17" s="5"/>
      <c r="J17" s="9">
        <f>'Income Statement'!H50-G17</f>
        <v>0.13581144756691632</v>
      </c>
    </row>
    <row r="18">
      <c r="B18" s="15">
        <v>46190</v>
      </c>
      <c r="C18" s="1" t="s">
        <v>277</v>
      </c>
      <c r="D18" s="1" t="s">
        <v>269</v>
      </c>
      <c r="E18" s="14">
        <v>35000</v>
      </c>
      <c r="F18" s="14">
        <v>35000</v>
      </c>
      <c r="G18" s="6">
        <f>(E18+F18)/2</f>
        <v>35000</v>
      </c>
      <c r="H18" s="6"/>
      <c r="I18" s="6"/>
      <c r="J18" s="6"/>
    </row>
    <row r="19">
      <c r="B19" s="15">
        <v>46190</v>
      </c>
      <c r="C19" s="1" t="s">
        <v>277</v>
      </c>
      <c r="D19" s="1" t="s">
        <v>278</v>
      </c>
      <c r="E19" s="16">
        <v>12.7</v>
      </c>
      <c r="F19" s="16">
        <v>12.7</v>
      </c>
      <c r="G19" s="5">
        <f>(E19+F19)/2</f>
        <v>12.7</v>
      </c>
      <c r="H19" s="6"/>
      <c r="I19" s="6"/>
      <c r="J19" s="6"/>
    </row>
    <row r="20">
      <c r="B20" s="15">
        <v>46190</v>
      </c>
      <c r="C20" s="1" t="s">
        <v>277</v>
      </c>
      <c r="D20" s="1" t="s">
        <v>279</v>
      </c>
      <c r="E20" s="30">
        <v>0.058</v>
      </c>
      <c r="F20" s="30">
        <v>0.058</v>
      </c>
      <c r="G20" s="17">
        <f>(E20+F20)/2</f>
        <v>0.058</v>
      </c>
      <c r="H20" s="6"/>
      <c r="I20" s="6"/>
      <c r="J20" s="6"/>
    </row>
    <row r="21">
      <c r="B21" s="15">
        <v>46190</v>
      </c>
      <c r="C21" s="1" t="s">
        <v>277</v>
      </c>
      <c r="D21" s="1" t="s">
        <v>280</v>
      </c>
      <c r="E21" s="14">
        <v>1400</v>
      </c>
      <c r="F21" s="14"/>
      <c r="G21" s="6"/>
      <c r="H21" s="6"/>
      <c r="I21" s="6"/>
      <c r="J21" s="6"/>
    </row>
    <row r="22">
      <c r="B22" s="15">
        <v>45925</v>
      </c>
      <c r="C22" s="1" t="s">
        <v>6</v>
      </c>
      <c r="D22" s="1" t="s">
        <v>269</v>
      </c>
      <c r="E22" s="14">
        <v>7700</v>
      </c>
      <c r="F22" s="14">
        <v>8300</v>
      </c>
      <c r="G22" s="6">
        <f>(E22+F22)/2</f>
        <v>8000</v>
      </c>
      <c r="H22" s="3">
        <f>'Revenue summary'!E29</f>
        <v>8305</v>
      </c>
      <c r="I22" s="6" t="str">
        <f>IF(H22&gt;G22,"BEAT",IF(H22&lt;G22,"MISS","IN LINE"))</f>
        <v>BEAT</v>
      </c>
      <c r="J22" s="6">
        <f>H22-G22</f>
        <v>305</v>
      </c>
    </row>
    <row r="23">
      <c r="B23" s="15">
        <v>45925</v>
      </c>
      <c r="C23" s="1" t="s">
        <v>6</v>
      </c>
      <c r="D23" s="1" t="s">
        <v>276</v>
      </c>
      <c r="E23" s="16">
        <v>2.47</v>
      </c>
      <c r="F23" s="16">
        <v>2.87</v>
      </c>
      <c r="G23" s="5">
        <f>(E23+F23)/2</f>
        <v>2.67</v>
      </c>
      <c r="H23" s="9">
        <f>Inputs!D63</f>
        <v>2.85</v>
      </c>
      <c r="I23" s="5" t="str">
        <f>IF(H23&gt;G23,"BEAT",IF(H23&lt;G23,"MISS","IN LINE"))</f>
        <v>BEAT</v>
      </c>
      <c r="J23" s="5">
        <f>H23-G23</f>
        <v>0.18000000000000016</v>
      </c>
    </row>
    <row r="24">
      <c r="B24" s="15">
        <v>45925</v>
      </c>
      <c r="C24" s="1" t="s">
        <v>6</v>
      </c>
      <c r="D24" s="1" t="s">
        <v>270</v>
      </c>
      <c r="E24" s="14">
        <v>263</v>
      </c>
      <c r="F24" s="14">
        <v>343</v>
      </c>
      <c r="G24" s="6">
        <f>(E24+F24)/2</f>
        <v>303</v>
      </c>
      <c r="H24" s="3">
        <f>'Income Statement'!E22</f>
        <v>283</v>
      </c>
      <c r="I24" s="6" t="str">
        <f>IF(H24&gt;G24,"BEAT",IF(H24&lt;G24,"MISS","IN LINE"))</f>
        <v>MISS</v>
      </c>
      <c r="J24" s="6">
        <f>H24-G24</f>
        <v>-20</v>
      </c>
    </row>
    <row r="25">
      <c r="B25" s="15">
        <v>46008</v>
      </c>
      <c r="C25" s="1" t="s">
        <v>7</v>
      </c>
      <c r="D25" s="1" t="s">
        <v>269</v>
      </c>
      <c r="E25" s="14">
        <v>7500</v>
      </c>
      <c r="F25" s="14">
        <v>8000</v>
      </c>
      <c r="G25" s="6">
        <f>(E25+F25)/2</f>
        <v>7750</v>
      </c>
      <c r="H25" s="3">
        <f>'Revenue summary'!F29</f>
        <v>8282</v>
      </c>
      <c r="I25" s="6" t="str">
        <f>IF(H25&gt;G25,"BEAT",IF(H25&lt;G25,"MISS","IN LINE"))</f>
        <v>BEAT</v>
      </c>
      <c r="J25" s="6">
        <f>H25-G25</f>
        <v>532</v>
      </c>
    </row>
    <row r="26">
      <c r="B26" s="15">
        <v>46008</v>
      </c>
      <c r="C26" s="1" t="s">
        <v>7</v>
      </c>
      <c r="D26" s="1" t="s">
        <v>276</v>
      </c>
      <c r="E26" s="16">
        <v>2.27</v>
      </c>
      <c r="F26" s="16">
        <v>2.67</v>
      </c>
      <c r="G26" s="5">
        <f>(E26+F26)/2</f>
        <v>2.4699999999999998</v>
      </c>
      <c r="H26" s="9">
        <f>Inputs!D64</f>
        <v>2.69</v>
      </c>
      <c r="I26" s="5" t="str">
        <f>IF(H26&gt;G26,"BEAT",IF(H26&lt;G26,"MISS","IN LINE"))</f>
        <v>BEAT</v>
      </c>
      <c r="J26" s="5">
        <f>H26-G26</f>
        <v>0.2200000000000002</v>
      </c>
    </row>
    <row r="27">
      <c r="B27" s="15">
        <v>46008</v>
      </c>
      <c r="C27" s="1" t="s">
        <v>7</v>
      </c>
      <c r="D27" s="1" t="s">
        <v>270</v>
      </c>
      <c r="E27" s="14">
        <v>312</v>
      </c>
      <c r="F27" s="14">
        <v>382</v>
      </c>
      <c r="G27" s="6">
        <f>(E27+F27)/2</f>
        <v>347</v>
      </c>
      <c r="H27" s="3">
        <f>'Income Statement'!F22</f>
        <v>374</v>
      </c>
      <c r="I27" s="6" t="str">
        <f>IF(H27&gt;G27,"BEAT",IF(H27&lt;G27,"MISS","IN LINE"))</f>
        <v>BEAT</v>
      </c>
      <c r="J27" s="6">
        <f>H27-G27</f>
        <v>27</v>
      </c>
    </row>
    <row r="28">
      <c r="B28" s="15">
        <v>46099</v>
      </c>
      <c r="C28" s="1" t="s">
        <v>8</v>
      </c>
      <c r="D28" s="1" t="s">
        <v>269</v>
      </c>
      <c r="E28" s="14">
        <v>8100</v>
      </c>
      <c r="F28" s="14">
        <v>8900</v>
      </c>
      <c r="G28" s="6">
        <f>(E28+F28)/2</f>
        <v>8500</v>
      </c>
      <c r="H28" s="3">
        <f>'Revenue summary'!G29</f>
        <v>8751</v>
      </c>
      <c r="I28" s="6" t="str">
        <f>IF(H28&gt;G28,"BEAT",IF(H28&lt;G28,"MISS","IN LINE"))</f>
        <v>BEAT</v>
      </c>
      <c r="J28" s="6">
        <f>H28-G28</f>
        <v>251</v>
      </c>
    </row>
    <row r="29">
      <c r="B29" s="15">
        <v>46099</v>
      </c>
      <c r="C29" s="1" t="s">
        <v>8</v>
      </c>
      <c r="D29" s="1" t="s">
        <v>276</v>
      </c>
      <c r="E29" s="16">
        <v>2.83</v>
      </c>
      <c r="F29" s="16">
        <v>3.23</v>
      </c>
      <c r="G29" s="5">
        <f>(E29+F29)/2</f>
        <v>3.0300000000000002</v>
      </c>
      <c r="H29" s="9">
        <f>Inputs!D65</f>
        <v>3.16</v>
      </c>
      <c r="I29" s="5" t="str">
        <f>IF(H29&gt;G29,"BEAT",IF(H29&lt;G29,"MISS","IN LINE"))</f>
        <v>BEAT</v>
      </c>
      <c r="J29" s="5">
        <f>H29-G29</f>
        <v>0.1299999999999999</v>
      </c>
    </row>
    <row r="30">
      <c r="B30" s="15">
        <v>46099</v>
      </c>
      <c r="C30" s="1" t="s">
        <v>8</v>
      </c>
      <c r="D30" s="1" t="s">
        <v>270</v>
      </c>
      <c r="E30" s="14">
        <v>398</v>
      </c>
      <c r="F30" s="14">
        <v>458</v>
      </c>
      <c r="G30" s="6">
        <f>(E30+F30)/2</f>
        <v>428</v>
      </c>
      <c r="H30" s="3">
        <f>'Income Statement'!G22</f>
        <v>445</v>
      </c>
      <c r="I30" s="6" t="str">
        <f>IF(H30&gt;G30,"BEAT",IF(H30&lt;G30,"MISS","IN LINE"))</f>
        <v>BEAT</v>
      </c>
      <c r="J30" s="6">
        <f>H30-G30</f>
        <v>17</v>
      </c>
    </row>
    <row r="31">
      <c r="B31" s="1"/>
      <c r="C31" s="1"/>
      <c r="D31" s="1"/>
      <c r="E31" s="1"/>
      <c r="F31" s="1"/>
      <c r="G31" s="1"/>
      <c r="H31" s="1"/>
      <c r="I31" s="1"/>
      <c r="J31" s="1"/>
    </row>
    <row r="32">
      <c r="B32" s="1"/>
      <c r="C32" s="1"/>
      <c r="D32" s="1"/>
      <c r="E32" s="1"/>
      <c r="F32" s="1"/>
      <c r="G32" s="1"/>
      <c r="H32" s="1"/>
      <c r="I32" s="1"/>
      <c r="J32" s="1"/>
    </row>
    <row r="33">
      <c r="B33" s="1"/>
      <c r="C33" s="1"/>
      <c r="D33" s="1"/>
      <c r="E33" s="1"/>
      <c r="F33" s="1"/>
      <c r="G33" s="1"/>
      <c r="H33" s="1"/>
      <c r="I33" s="1"/>
      <c r="J33" s="1"/>
    </row>
    <row r="34">
      <c r="B34" s="1"/>
      <c r="C34" s="1"/>
      <c r="D34" s="1"/>
      <c r="E34" s="1"/>
      <c r="F34" s="1"/>
      <c r="G34" s="1"/>
      <c r="H34" s="1"/>
      <c r="I34" s="1"/>
      <c r="J34" s="1"/>
    </row>
  </sheetData>
</worksheet>
</file>

<file path=xl/worksheets/sheet12.xml><?xml version="1.0" encoding="utf-8"?>
<worksheet xmlns="http://schemas.openxmlformats.org/spreadsheetml/2006/main" xmlns:r="http://schemas.openxmlformats.org/officeDocument/2006/relationships">
  <dimension ref="B2:H35"/>
  <sheetViews>
    <sheetView showGridLines="0" workbookViewId="0">
      <pane xSplit="2" ySplit="8" topLeftCell="C9" activePane="bottomRight" state="frozen"/>
    </sheetView>
  </sheetViews>
  <sheetFormatPr defaultColWidth="8.42578125" defaultRowHeight="15"/>
  <cols>
    <col min="2" max="2" width="34" customWidth="1"/>
    <col min="3" max="3" width="17" customWidth="1"/>
    <col min="4" max="4" width="27" customWidth="1"/>
    <col min="5" max="5" width="48" customWidth="1"/>
    <col min="6" max="6" width="56" customWidth="1"/>
    <col min="7" max="8" width="13" customWidth="1"/>
  </cols>
  <sheetData>
    <row r="2">
      <c r="B2" s="2" t="s">
        <v>0</v>
      </c>
      <c r="C2" s="2"/>
      <c r="D2" s="2"/>
      <c r="E2" s="2"/>
      <c r="F2" s="2"/>
      <c r="G2" s="2"/>
      <c r="H2" s="2"/>
    </row>
    <row r="3">
      <c r="B3" s="2" t="s">
        <v>281</v>
      </c>
      <c r="C3" s="2"/>
      <c r="D3" s="2"/>
      <c r="E3" s="2"/>
      <c r="F3" s="2"/>
      <c r="G3" s="2"/>
      <c r="H3" s="2"/>
    </row>
    <row r="4">
      <c r="B4" s="1" t="s">
        <v>2</v>
      </c>
      <c r="C4" s="1"/>
      <c r="D4" s="1"/>
      <c r="E4" s="1"/>
      <c r="F4" s="1"/>
    </row>
    <row r="5">
      <c r="B5" s="4" t="s">
        <v>3</v>
      </c>
      <c r="C5" s="4" t="s">
        <v>4</v>
      </c>
      <c r="D5" s="4" t="s">
        <v>5</v>
      </c>
      <c r="E5" s="4" t="s">
        <v>6</v>
      </c>
      <c r="F5" s="4" t="s">
        <v>7</v>
      </c>
      <c r="G5" s="4" t="s">
        <v>8</v>
      </c>
      <c r="H5" s="18" t="s">
        <v>9</v>
      </c>
    </row>
    <row r="6">
      <c r="B6" s="4" t="s">
        <v>10</v>
      </c>
      <c r="C6" s="11">
        <v>45900</v>
      </c>
      <c r="D6" s="11">
        <v>45900</v>
      </c>
      <c r="E6" s="11">
        <v>45991</v>
      </c>
      <c r="F6" s="11">
        <v>46081</v>
      </c>
      <c r="G6" s="11">
        <v>46173</v>
      </c>
      <c r="H6" s="29">
        <v>46265</v>
      </c>
    </row>
    <row r="7">
      <c r="B7" s="4" t="s">
        <v>11</v>
      </c>
      <c r="C7" s="4">
        <v>365</v>
      </c>
      <c r="D7" s="4">
        <v>92</v>
      </c>
      <c r="E7" s="4">
        <v>91</v>
      </c>
      <c r="F7" s="4">
        <v>90</v>
      </c>
      <c r="G7" s="4">
        <v>92</v>
      </c>
      <c r="H7" s="18">
        <v>92</v>
      </c>
    </row>
    <row r="8">
      <c r="B8" s="1" t="s">
        <v>282</v>
      </c>
      <c r="C8" s="1"/>
      <c r="D8" s="1"/>
      <c r="E8" s="1"/>
      <c r="F8" s="1"/>
    </row>
    <row r="9">
      <c r="B9" s="4" t="s">
        <v>283</v>
      </c>
      <c r="C9" s="4" t="s">
        <v>284</v>
      </c>
      <c r="D9" s="4" t="s">
        <v>285</v>
      </c>
      <c r="E9" s="4" t="s">
        <v>286</v>
      </c>
      <c r="F9" s="4" t="s">
        <v>287</v>
      </c>
    </row>
    <row r="10" ht="52.5">
      <c r="B10" s="1" t="s">
        <v>288</v>
      </c>
      <c r="C10" s="15">
        <v>46289</v>
      </c>
      <c r="D10" s="1" t="s">
        <v>289</v>
      </c>
      <c r="E10" s="8" t="s">
        <v>290</v>
      </c>
      <c r="F10" s="8" t="s">
        <v>291</v>
      </c>
    </row>
    <row r="11" ht="52.5">
      <c r="B11" s="1" t="s">
        <v>292</v>
      </c>
      <c r="C11" s="15">
        <v>46289</v>
      </c>
      <c r="D11" s="1" t="s">
        <v>289</v>
      </c>
      <c r="E11" s="8" t="s">
        <v>293</v>
      </c>
      <c r="F11" s="8" t="s">
        <v>294</v>
      </c>
    </row>
    <row r="12" ht="52.5">
      <c r="B12" s="1" t="s">
        <v>295</v>
      </c>
      <c r="C12" s="15">
        <v>45947</v>
      </c>
      <c r="D12" s="1" t="s">
        <v>296</v>
      </c>
      <c r="E12" s="8" t="s">
        <v>297</v>
      </c>
      <c r="F12" s="8" t="s">
        <v>298</v>
      </c>
    </row>
    <row r="13" ht="52.5">
      <c r="B13" s="1" t="s">
        <v>299</v>
      </c>
      <c r="C13" s="15">
        <v>45947</v>
      </c>
      <c r="D13" s="1" t="s">
        <v>296</v>
      </c>
      <c r="E13" s="8" t="s">
        <v>300</v>
      </c>
      <c r="F13" s="8" t="s">
        <v>301</v>
      </c>
    </row>
    <row r="14" ht="52.5">
      <c r="B14" s="1" t="s">
        <v>302</v>
      </c>
      <c r="C14" s="15">
        <v>45925</v>
      </c>
      <c r="D14" s="1" t="s">
        <v>303</v>
      </c>
      <c r="E14" s="8" t="s">
        <v>304</v>
      </c>
      <c r="F14" s="8" t="s">
        <v>305</v>
      </c>
    </row>
    <row r="15" ht="52.5">
      <c r="B15" s="1" t="s">
        <v>306</v>
      </c>
      <c r="C15" s="15">
        <v>46024</v>
      </c>
      <c r="D15" s="1" t="s">
        <v>296</v>
      </c>
      <c r="E15" s="8" t="s">
        <v>307</v>
      </c>
      <c r="F15" s="8" t="s">
        <v>308</v>
      </c>
    </row>
    <row r="16" ht="52.5">
      <c r="B16" s="1" t="s">
        <v>309</v>
      </c>
      <c r="C16" s="15">
        <v>46120</v>
      </c>
      <c r="D16" s="1" t="s">
        <v>296</v>
      </c>
      <c r="E16" s="8" t="s">
        <v>310</v>
      </c>
      <c r="F16" s="8" t="s">
        <v>311</v>
      </c>
    </row>
    <row r="17" ht="52.5">
      <c r="B17" s="1" t="s">
        <v>312</v>
      </c>
      <c r="C17" s="15">
        <v>46211</v>
      </c>
      <c r="D17" s="1" t="s">
        <v>296</v>
      </c>
      <c r="E17" s="8" t="s">
        <v>313</v>
      </c>
      <c r="F17" s="8" t="s">
        <v>314</v>
      </c>
    </row>
    <row r="18" ht="52.5">
      <c r="B18" s="1" t="s">
        <v>315</v>
      </c>
      <c r="C18" s="15">
        <v>46190</v>
      </c>
      <c r="D18" s="1" t="s">
        <v>296</v>
      </c>
      <c r="E18" s="8" t="s">
        <v>316</v>
      </c>
      <c r="F18" s="8" t="s">
        <v>317</v>
      </c>
    </row>
    <row r="19" ht="52.5">
      <c r="B19" s="1" t="s">
        <v>318</v>
      </c>
      <c r="C19" s="15">
        <v>46190</v>
      </c>
      <c r="D19" s="1" t="s">
        <v>319</v>
      </c>
      <c r="E19" s="8" t="s">
        <v>320</v>
      </c>
      <c r="F19" s="8" t="s">
        <v>321</v>
      </c>
    </row>
    <row r="20" ht="52.5">
      <c r="B20" s="1" t="s">
        <v>322</v>
      </c>
      <c r="C20" s="15">
        <v>46008</v>
      </c>
      <c r="D20" s="1" t="s">
        <v>303</v>
      </c>
      <c r="E20" s="8" t="s">
        <v>323</v>
      </c>
      <c r="F20" s="8" t="s">
        <v>324</v>
      </c>
    </row>
    <row r="21" ht="52.5">
      <c r="B21" s="1" t="s">
        <v>325</v>
      </c>
      <c r="C21" s="15">
        <v>46099</v>
      </c>
      <c r="D21" s="1" t="s">
        <v>303</v>
      </c>
      <c r="E21" s="8" t="s">
        <v>326</v>
      </c>
      <c r="F21" s="8" t="s">
        <v>327</v>
      </c>
    </row>
    <row r="22" ht="52.5">
      <c r="B22" s="1" t="s">
        <v>328</v>
      </c>
      <c r="C22" s="15">
        <v>46230</v>
      </c>
      <c r="D22" s="1" t="s">
        <v>329</v>
      </c>
      <c r="E22" s="8" t="s">
        <v>330</v>
      </c>
      <c r="F22" s="8" t="s">
        <v>331</v>
      </c>
    </row>
    <row r="23" ht="52.5">
      <c r="B23" s="1" t="s">
        <v>332</v>
      </c>
      <c r="C23" s="15">
        <v>46290</v>
      </c>
      <c r="D23" s="1" t="s">
        <v>333</v>
      </c>
      <c r="E23" s="8" t="s">
        <v>334</v>
      </c>
      <c r="F23" s="8" t="s">
        <v>335</v>
      </c>
    </row>
    <row r="24">
      <c r="B24" s="1"/>
      <c r="C24" s="1"/>
      <c r="D24" s="1"/>
      <c r="E24" s="1"/>
      <c r="F24" s="1"/>
    </row>
    <row r="25">
      <c r="B25" s="1" t="s">
        <v>336</v>
      </c>
      <c r="C25" s="1" t="s">
        <v>337</v>
      </c>
      <c r="D25" s="1"/>
      <c r="E25" s="1"/>
      <c r="F25" s="1"/>
    </row>
    <row r="26">
      <c r="B26" s="1" t="s">
        <v>338</v>
      </c>
      <c r="C26" s="1" t="s">
        <v>339</v>
      </c>
      <c r="D26" s="1"/>
      <c r="E26" s="1"/>
      <c r="F26" s="1"/>
    </row>
    <row r="27">
      <c r="B27" s="1"/>
      <c r="C27" s="1"/>
      <c r="D27" s="1"/>
      <c r="E27" s="1"/>
      <c r="F27" s="1"/>
    </row>
    <row r="28" ht="39">
      <c r="B28" s="1" t="s">
        <v>340</v>
      </c>
      <c r="C28" s="1"/>
      <c r="D28" s="1"/>
      <c r="E28" s="1"/>
      <c r="F28" s="8" t="s">
        <v>341</v>
      </c>
    </row>
    <row r="29" ht="39">
      <c r="B29" s="1" t="s">
        <v>342</v>
      </c>
      <c r="C29" s="1"/>
      <c r="D29" s="1"/>
      <c r="E29" s="1"/>
      <c r="F29" s="8" t="s">
        <v>343</v>
      </c>
    </row>
    <row r="30" ht="39">
      <c r="B30" s="1" t="s">
        <v>344</v>
      </c>
      <c r="C30" s="1"/>
      <c r="D30" s="1"/>
      <c r="E30" s="1"/>
      <c r="F30" s="8" t="s">
        <v>345</v>
      </c>
    </row>
    <row r="31" ht="39">
      <c r="B31" s="1" t="s">
        <v>346</v>
      </c>
      <c r="C31" s="1"/>
      <c r="D31" s="1"/>
      <c r="E31" s="1"/>
      <c r="F31" s="8" t="s">
        <v>347</v>
      </c>
    </row>
    <row r="32" ht="39">
      <c r="B32" s="1" t="s">
        <v>348</v>
      </c>
      <c r="C32" s="1"/>
      <c r="D32" s="1"/>
      <c r="E32" s="1"/>
      <c r="F32" s="8" t="s">
        <v>349</v>
      </c>
    </row>
    <row r="33" ht="39">
      <c r="B33" s="1" t="s">
        <v>350</v>
      </c>
      <c r="C33" s="1"/>
      <c r="D33" s="1"/>
      <c r="E33" s="1"/>
      <c r="F33" s="8" t="s">
        <v>351</v>
      </c>
    </row>
    <row r="34">
      <c r="B34" s="1"/>
      <c r="C34" s="1"/>
      <c r="D34" s="1"/>
      <c r="E34" s="1"/>
      <c r="F34" s="1"/>
    </row>
    <row r="35">
      <c r="B35" s="1"/>
      <c r="C35" s="1"/>
      <c r="D35" s="1"/>
      <c r="E35" s="1"/>
      <c r="F35" s="1"/>
    </row>
  </sheetData>
</worksheet>
</file>

<file path=xl/worksheets/sheet13.xml><?xml version="1.0" encoding="utf-8"?>
<worksheet xmlns="http://schemas.openxmlformats.org/spreadsheetml/2006/main" xmlns:r="http://schemas.openxmlformats.org/officeDocument/2006/relationships">
  <dimension ref="B2:J106"/>
  <sheetViews>
    <sheetView showGridLines="0" workbookViewId="0">
      <pane xSplit="2" ySplit="8" topLeftCell="C9" activePane="bottomRight" state="frozen"/>
    </sheetView>
  </sheetViews>
  <sheetFormatPr defaultColWidth="8.42578125" defaultRowHeight="15"/>
  <cols>
    <col min="2" max="2" width="39" customWidth="1"/>
    <col min="3" max="3" width="24" customWidth="1"/>
    <col min="4" max="9" width="18" customWidth="1"/>
  </cols>
  <sheetData>
    <row r="2">
      <c r="B2" s="2" t="s">
        <v>0</v>
      </c>
      <c r="C2" s="2"/>
      <c r="D2" s="2"/>
      <c r="E2" s="2"/>
      <c r="F2" s="2"/>
      <c r="G2" s="2"/>
      <c r="H2" s="2"/>
      <c r="I2" s="1"/>
      <c r="J2" s="1"/>
    </row>
    <row r="3">
      <c r="B3" s="2" t="s">
        <v>352</v>
      </c>
      <c r="C3" s="2"/>
      <c r="D3" s="2"/>
      <c r="E3" s="2"/>
      <c r="F3" s="2"/>
      <c r="G3" s="2"/>
      <c r="H3" s="2"/>
      <c r="I3" s="1"/>
      <c r="J3" s="1"/>
    </row>
    <row r="4">
      <c r="B4" s="1" t="s">
        <v>2</v>
      </c>
      <c r="C4" s="1"/>
      <c r="D4" s="1"/>
      <c r="E4" s="1"/>
      <c r="F4" s="1"/>
      <c r="G4" s="1"/>
      <c r="H4" s="1"/>
      <c r="I4" s="1"/>
      <c r="J4" s="1"/>
    </row>
    <row r="5">
      <c r="B5" s="4" t="s">
        <v>3</v>
      </c>
      <c r="C5" s="4" t="s">
        <v>4</v>
      </c>
      <c r="D5" s="4" t="s">
        <v>5</v>
      </c>
      <c r="E5" s="4" t="s">
        <v>6</v>
      </c>
      <c r="F5" s="4" t="s">
        <v>7</v>
      </c>
      <c r="G5" s="4" t="s">
        <v>8</v>
      </c>
      <c r="H5" s="18" t="s">
        <v>9</v>
      </c>
      <c r="I5" s="1"/>
      <c r="J5" s="1"/>
    </row>
    <row r="6">
      <c r="B6" s="4" t="s">
        <v>10</v>
      </c>
      <c r="C6" s="11">
        <v>45900</v>
      </c>
      <c r="D6" s="11">
        <v>45900</v>
      </c>
      <c r="E6" s="11">
        <v>45991</v>
      </c>
      <c r="F6" s="11">
        <v>46081</v>
      </c>
      <c r="G6" s="11">
        <v>46173</v>
      </c>
      <c r="H6" s="29">
        <v>46265</v>
      </c>
      <c r="I6" s="1"/>
      <c r="J6" s="1"/>
    </row>
    <row r="7">
      <c r="B7" s="4" t="s">
        <v>11</v>
      </c>
      <c r="C7" s="4">
        <v>365</v>
      </c>
      <c r="D7" s="4">
        <v>92</v>
      </c>
      <c r="E7" s="4">
        <v>91</v>
      </c>
      <c r="F7" s="4">
        <v>90</v>
      </c>
      <c r="G7" s="4">
        <v>92</v>
      </c>
      <c r="H7" s="18">
        <v>92</v>
      </c>
      <c r="I7" s="1"/>
      <c r="J7" s="1"/>
    </row>
    <row r="8">
      <c r="B8" s="1" t="s">
        <v>353</v>
      </c>
      <c r="C8" s="1"/>
      <c r="D8" s="1"/>
      <c r="E8" s="1"/>
      <c r="F8" s="1"/>
      <c r="G8" s="1"/>
      <c r="H8" s="1"/>
      <c r="I8" s="1"/>
      <c r="J8" s="1"/>
    </row>
    <row r="9">
      <c r="B9" s="1" t="s">
        <v>354</v>
      </c>
      <c r="C9" s="1"/>
      <c r="D9" s="1"/>
      <c r="E9" s="1"/>
      <c r="F9" s="1"/>
      <c r="G9" s="1"/>
      <c r="H9" s="1"/>
      <c r="I9" s="1"/>
      <c r="J9" s="1"/>
    </row>
    <row r="10">
      <c r="B10" s="1" t="s">
        <v>355</v>
      </c>
      <c r="C10" s="1" t="s">
        <v>356</v>
      </c>
      <c r="D10" s="1"/>
      <c r="E10" s="1"/>
      <c r="F10" s="1"/>
      <c r="G10" s="1"/>
      <c r="H10" s="1"/>
      <c r="I10" s="1"/>
      <c r="J10" s="1"/>
    </row>
    <row r="11">
      <c r="B11" s="1" t="s">
        <v>357</v>
      </c>
      <c r="C11" s="1" t="s">
        <v>358</v>
      </c>
      <c r="D11" s="1"/>
      <c r="E11" s="1"/>
      <c r="F11" s="1"/>
      <c r="G11" s="1"/>
      <c r="H11" s="1"/>
      <c r="I11" s="1"/>
      <c r="J11" s="1"/>
    </row>
    <row r="12">
      <c r="B12" s="1" t="s">
        <v>359</v>
      </c>
      <c r="C12" s="1" t="s">
        <v>360</v>
      </c>
      <c r="D12" s="1"/>
      <c r="E12" s="1"/>
      <c r="F12" s="1"/>
      <c r="G12" s="1"/>
      <c r="H12" s="1"/>
      <c r="I12" s="1"/>
      <c r="J12" s="1"/>
    </row>
    <row r="13">
      <c r="B13" s="1" t="s">
        <v>361</v>
      </c>
      <c r="C13" s="1" t="s">
        <v>362</v>
      </c>
      <c r="D13" s="1"/>
      <c r="E13" s="1"/>
      <c r="F13" s="1"/>
      <c r="G13" s="1"/>
      <c r="H13" s="1"/>
      <c r="I13" s="1"/>
      <c r="J13" s="1"/>
    </row>
    <row r="14">
      <c r="B14" s="1" t="s">
        <v>363</v>
      </c>
      <c r="C14" s="42">
        <v>96078</v>
      </c>
      <c r="D14" s="1"/>
      <c r="E14" s="1"/>
      <c r="F14" s="1"/>
      <c r="G14" s="1"/>
      <c r="H14" s="1"/>
      <c r="I14" s="1"/>
      <c r="J14" s="1"/>
    </row>
    <row r="15">
      <c r="B15" s="1" t="s">
        <v>364</v>
      </c>
      <c r="C15" s="42">
        <v>10</v>
      </c>
      <c r="D15" s="1"/>
      <c r="E15" s="1"/>
      <c r="F15" s="1"/>
      <c r="G15" s="1"/>
      <c r="H15" s="1"/>
      <c r="I15" s="1"/>
      <c r="J15" s="1"/>
    </row>
    <row r="16">
      <c r="B16" s="1" t="s">
        <v>365</v>
      </c>
      <c r="C16" s="1" t="s">
        <v>366</v>
      </c>
      <c r="D16" s="1"/>
      <c r="E16" s="1"/>
      <c r="F16" s="1"/>
      <c r="G16" s="1"/>
      <c r="H16" s="1"/>
      <c r="I16" s="1"/>
      <c r="J16" s="1"/>
    </row>
    <row r="17">
      <c r="B17" s="1" t="s">
        <v>367</v>
      </c>
      <c r="C17" s="1" t="s">
        <v>368</v>
      </c>
      <c r="D17" s="1"/>
      <c r="E17" s="1"/>
      <c r="F17" s="1"/>
      <c r="G17" s="1"/>
      <c r="H17" s="1"/>
      <c r="I17" s="1"/>
      <c r="J17" s="1"/>
    </row>
    <row r="18">
      <c r="B18" s="1" t="s">
        <v>369</v>
      </c>
      <c r="C18" s="15">
        <v>46265</v>
      </c>
      <c r="D18" s="1"/>
      <c r="E18" s="1"/>
      <c r="F18" s="1"/>
      <c r="G18" s="1"/>
      <c r="H18" s="1"/>
      <c r="I18" s="1"/>
      <c r="J18" s="1"/>
    </row>
    <row r="19">
      <c r="B19" s="1" t="s">
        <v>370</v>
      </c>
      <c r="C19" s="15">
        <v>46295</v>
      </c>
      <c r="D19" s="1"/>
      <c r="E19" s="1"/>
      <c r="F19" s="1"/>
      <c r="G19" s="1"/>
      <c r="H19" s="1"/>
      <c r="I19" s="1"/>
      <c r="J19" s="1"/>
    </row>
    <row r="20">
      <c r="B20" s="1" t="s">
        <v>371</v>
      </c>
      <c r="C20" s="42">
        <v>4.07</v>
      </c>
      <c r="D20" s="1"/>
      <c r="E20" s="1"/>
      <c r="F20" s="1"/>
      <c r="G20" s="1"/>
      <c r="H20" s="1"/>
      <c r="I20" s="1"/>
      <c r="J20" s="1"/>
    </row>
    <row r="21">
      <c r="B21" s="1" t="s">
        <v>372</v>
      </c>
      <c r="C21" s="42">
        <v>4.07</v>
      </c>
      <c r="D21" s="1"/>
      <c r="E21" s="1"/>
      <c r="F21" s="1"/>
      <c r="G21" s="1"/>
      <c r="H21" s="1"/>
      <c r="I21" s="1"/>
      <c r="J21" s="1"/>
    </row>
    <row r="22">
      <c r="B22" s="1" t="s">
        <v>373</v>
      </c>
      <c r="C22" s="42">
        <v>4.17</v>
      </c>
      <c r="D22" s="1"/>
      <c r="E22" s="1"/>
      <c r="F22" s="1"/>
      <c r="G22" s="1"/>
      <c r="H22" s="1"/>
      <c r="I22" s="1"/>
      <c r="J22" s="1"/>
    </row>
    <row r="23">
      <c r="B23" s="1" t="s">
        <v>374</v>
      </c>
      <c r="C23" s="42">
        <v>4</v>
      </c>
      <c r="D23" s="1"/>
      <c r="E23" s="1"/>
      <c r="F23" s="1"/>
      <c r="G23" s="1"/>
      <c r="H23" s="1"/>
      <c r="I23" s="1"/>
      <c r="J23" s="1"/>
    </row>
    <row r="24">
      <c r="B24" s="1" t="s">
        <v>375</v>
      </c>
      <c r="C24" s="42">
        <v>0.04</v>
      </c>
      <c r="D24" s="1"/>
      <c r="E24" s="1"/>
      <c r="F24" s="1"/>
      <c r="G24" s="1"/>
      <c r="H24" s="1"/>
      <c r="I24" s="1"/>
      <c r="J24" s="1"/>
    </row>
    <row r="25">
      <c r="B25" s="1" t="s">
        <v>376</v>
      </c>
      <c r="C25" s="42">
        <v>8</v>
      </c>
      <c r="D25" s="1"/>
      <c r="E25" s="1"/>
      <c r="F25" s="1"/>
      <c r="G25" s="1"/>
      <c r="H25" s="1"/>
      <c r="I25" s="1"/>
      <c r="J25" s="1"/>
    </row>
    <row r="26">
      <c r="B26" s="1" t="s">
        <v>377</v>
      </c>
      <c r="C26" s="1"/>
      <c r="D26" s="1"/>
      <c r="E26" s="1"/>
      <c r="F26" s="1"/>
      <c r="G26" s="1"/>
      <c r="H26" s="1"/>
      <c r="I26" s="1"/>
      <c r="J26" s="1"/>
    </row>
    <row r="27">
      <c r="B27" s="1" t="s">
        <v>378</v>
      </c>
      <c r="C27" s="42">
        <v>3.8</v>
      </c>
      <c r="D27" s="1"/>
      <c r="E27" s="1"/>
      <c r="F27" s="1"/>
      <c r="G27" s="1"/>
      <c r="H27" s="1"/>
      <c r="I27" s="1"/>
      <c r="J27" s="1"/>
    </row>
    <row r="28">
      <c r="B28" s="1" t="s">
        <v>379</v>
      </c>
      <c r="C28" s="42">
        <v>4.2</v>
      </c>
      <c r="D28" s="1"/>
      <c r="E28" s="1"/>
      <c r="F28" s="1"/>
      <c r="G28" s="1"/>
      <c r="H28" s="1"/>
      <c r="I28" s="1"/>
      <c r="J28" s="1"/>
    </row>
    <row r="29">
      <c r="B29" s="1" t="s">
        <v>380</v>
      </c>
      <c r="C29" s="42">
        <v>3.53</v>
      </c>
      <c r="D29" s="1"/>
      <c r="E29" s="1"/>
      <c r="F29" s="1"/>
      <c r="G29" s="1"/>
      <c r="H29" s="1"/>
      <c r="I29" s="1"/>
      <c r="J29" s="1"/>
    </row>
    <row r="30">
      <c r="B30" s="1" t="s">
        <v>381</v>
      </c>
      <c r="C30" s="42">
        <v>3.53</v>
      </c>
      <c r="D30" s="1"/>
      <c r="E30" s="1"/>
      <c r="F30" s="1"/>
      <c r="G30" s="1"/>
      <c r="H30" s="1"/>
      <c r="I30" s="1"/>
      <c r="J30" s="1"/>
    </row>
    <row r="31">
      <c r="B31" s="1" t="s">
        <v>382</v>
      </c>
      <c r="C31" s="42">
        <v>3.54</v>
      </c>
      <c r="D31" s="1"/>
      <c r="E31" s="1"/>
      <c r="F31" s="1"/>
      <c r="G31" s="1"/>
      <c r="H31" s="1"/>
      <c r="I31" s="1"/>
      <c r="J31" s="1"/>
    </row>
    <row r="32">
      <c r="B32" s="1" t="s">
        <v>383</v>
      </c>
      <c r="C32" s="42">
        <v>3.52</v>
      </c>
      <c r="D32" s="1"/>
      <c r="E32" s="1"/>
      <c r="F32" s="1"/>
      <c r="G32" s="1"/>
      <c r="H32" s="1"/>
      <c r="I32" s="1"/>
      <c r="J32" s="1"/>
    </row>
    <row r="33">
      <c r="B33" s="1" t="s">
        <v>384</v>
      </c>
      <c r="C33" s="42">
        <v>0.01</v>
      </c>
      <c r="D33" s="1"/>
      <c r="E33" s="1"/>
      <c r="F33" s="1"/>
      <c r="G33" s="1"/>
      <c r="H33" s="1"/>
      <c r="I33" s="1"/>
      <c r="J33" s="1"/>
    </row>
    <row r="34">
      <c r="B34" s="1" t="s">
        <v>385</v>
      </c>
      <c r="C34" s="42">
        <v>2</v>
      </c>
      <c r="D34" s="1"/>
      <c r="E34" s="1"/>
      <c r="F34" s="1"/>
      <c r="G34" s="1"/>
      <c r="H34" s="1"/>
      <c r="I34" s="1"/>
      <c r="J34" s="1"/>
    </row>
    <row r="35">
      <c r="B35" s="1" t="s">
        <v>386</v>
      </c>
      <c r="C35" s="42">
        <v>3.24</v>
      </c>
      <c r="D35" s="1"/>
      <c r="E35" s="1"/>
      <c r="F35" s="1"/>
      <c r="G35" s="1"/>
      <c r="H35" s="1"/>
      <c r="I35" s="1"/>
      <c r="J35" s="1"/>
    </row>
    <row r="36">
      <c r="B36" s="1" t="s">
        <v>387</v>
      </c>
      <c r="C36" s="42">
        <v>3.64</v>
      </c>
      <c r="D36" s="1"/>
      <c r="E36" s="1"/>
      <c r="F36" s="1"/>
      <c r="G36" s="1"/>
      <c r="H36" s="1"/>
      <c r="I36" s="1"/>
      <c r="J36" s="1"/>
    </row>
    <row r="37">
      <c r="B37" s="1" t="s">
        <v>388</v>
      </c>
      <c r="C37" s="42">
        <v>9707.71</v>
      </c>
      <c r="D37" s="1"/>
      <c r="E37" s="1"/>
      <c r="F37" s="1"/>
      <c r="G37" s="1"/>
      <c r="H37" s="1"/>
      <c r="I37" s="1"/>
      <c r="J37" s="1"/>
    </row>
    <row r="38">
      <c r="B38" s="1" t="s">
        <v>389</v>
      </c>
      <c r="C38" s="42">
        <v>9700.99</v>
      </c>
      <c r="D38" s="1"/>
      <c r="E38" s="1"/>
      <c r="F38" s="1"/>
      <c r="G38" s="1"/>
      <c r="H38" s="1"/>
      <c r="I38" s="1"/>
      <c r="J38" s="1"/>
    </row>
    <row r="39">
      <c r="B39" s="1" t="s">
        <v>390</v>
      </c>
      <c r="C39" s="42">
        <v>9888</v>
      </c>
      <c r="D39" s="1"/>
      <c r="E39" s="1"/>
      <c r="F39" s="1"/>
      <c r="G39" s="1"/>
      <c r="H39" s="1"/>
      <c r="I39" s="1"/>
      <c r="J39" s="1"/>
    </row>
    <row r="40">
      <c r="B40" s="1" t="s">
        <v>391</v>
      </c>
      <c r="C40" s="42">
        <v>9600</v>
      </c>
      <c r="D40" s="1"/>
      <c r="E40" s="1"/>
      <c r="F40" s="1"/>
      <c r="G40" s="1"/>
      <c r="H40" s="1"/>
      <c r="I40" s="1"/>
      <c r="J40" s="1"/>
    </row>
    <row r="41">
      <c r="B41" s="1" t="s">
        <v>392</v>
      </c>
      <c r="C41" s="42">
        <v>85.78</v>
      </c>
      <c r="D41" s="1"/>
      <c r="E41" s="1"/>
      <c r="F41" s="1"/>
      <c r="G41" s="1"/>
      <c r="H41" s="1"/>
      <c r="I41" s="1"/>
      <c r="J41" s="1"/>
    </row>
    <row r="42">
      <c r="B42" s="1" t="s">
        <v>393</v>
      </c>
      <c r="C42" s="42">
        <v>7</v>
      </c>
      <c r="D42" s="1"/>
      <c r="E42" s="1"/>
      <c r="F42" s="1"/>
      <c r="G42" s="1"/>
      <c r="H42" s="1"/>
      <c r="I42" s="1"/>
      <c r="J42" s="1"/>
    </row>
    <row r="43">
      <c r="B43" s="1" t="s">
        <v>394</v>
      </c>
      <c r="C43" s="42">
        <v>9200</v>
      </c>
      <c r="D43" s="1"/>
      <c r="E43" s="1"/>
      <c r="F43" s="1"/>
      <c r="G43" s="1"/>
      <c r="H43" s="1"/>
      <c r="I43" s="1"/>
      <c r="J43" s="1"/>
    </row>
    <row r="44">
      <c r="B44" s="1" t="s">
        <v>395</v>
      </c>
      <c r="C44" s="42">
        <v>10000</v>
      </c>
      <c r="D44" s="1"/>
      <c r="E44" s="1"/>
      <c r="F44" s="1"/>
      <c r="G44" s="1"/>
      <c r="H44" s="1"/>
      <c r="I44" s="1"/>
      <c r="J44" s="1"/>
    </row>
    <row r="45">
      <c r="B45" s="1" t="s">
        <v>396</v>
      </c>
      <c r="C45" s="42">
        <v>793.23</v>
      </c>
      <c r="D45" s="1"/>
      <c r="E45" s="1"/>
      <c r="F45" s="1"/>
      <c r="G45" s="1"/>
      <c r="H45" s="1"/>
      <c r="I45" s="1"/>
      <c r="J45" s="1"/>
    </row>
    <row r="46">
      <c r="B46" s="1" t="s">
        <v>397</v>
      </c>
      <c r="C46" s="42">
        <v>625.32</v>
      </c>
      <c r="D46" s="1"/>
      <c r="E46" s="1"/>
      <c r="F46" s="1"/>
      <c r="G46" s="1"/>
      <c r="H46" s="1"/>
      <c r="I46" s="1"/>
      <c r="J46" s="1"/>
    </row>
    <row r="47">
      <c r="B47" s="1" t="s">
        <v>398</v>
      </c>
      <c r="C47" s="42">
        <v>430</v>
      </c>
      <c r="D47" s="1"/>
      <c r="E47" s="1"/>
      <c r="F47" s="1"/>
      <c r="G47" s="1"/>
      <c r="H47" s="1"/>
      <c r="I47" s="1"/>
      <c r="J47" s="1"/>
    </row>
    <row r="48">
      <c r="B48" s="1" t="s">
        <v>399</v>
      </c>
      <c r="C48" s="42">
        <v>373.34</v>
      </c>
      <c r="D48" s="1"/>
      <c r="E48" s="1"/>
      <c r="F48" s="1"/>
      <c r="G48" s="1"/>
      <c r="H48" s="1"/>
      <c r="I48" s="1"/>
      <c r="J48" s="1"/>
    </row>
    <row r="49">
      <c r="B49" s="1" t="s">
        <v>400</v>
      </c>
      <c r="C49" s="42">
        <v>9.86</v>
      </c>
      <c r="D49" s="1"/>
      <c r="E49" s="1"/>
      <c r="F49" s="1"/>
      <c r="G49" s="1"/>
      <c r="H49" s="1"/>
      <c r="I49" s="1"/>
      <c r="J49" s="1"/>
    </row>
    <row r="50">
      <c r="B50" s="1" t="s">
        <v>401</v>
      </c>
      <c r="C50" s="42">
        <v>21</v>
      </c>
      <c r="D50" s="1"/>
      <c r="E50" s="1"/>
      <c r="F50" s="1"/>
      <c r="G50" s="1"/>
      <c r="H50" s="1"/>
      <c r="I50" s="1"/>
      <c r="J50" s="1"/>
    </row>
    <row r="51">
      <c r="B51" s="1" t="s">
        <v>402</v>
      </c>
      <c r="C51" s="1"/>
      <c r="D51" s="1"/>
      <c r="E51" s="1"/>
      <c r="F51" s="1"/>
      <c r="G51" s="1"/>
      <c r="H51" s="1"/>
      <c r="I51" s="1"/>
      <c r="J51" s="1"/>
    </row>
    <row r="52">
      <c r="B52" s="1" t="s">
        <v>403</v>
      </c>
      <c r="C52" s="1"/>
      <c r="D52" s="1"/>
      <c r="E52" s="1"/>
      <c r="F52" s="1"/>
      <c r="G52" s="1"/>
      <c r="H52" s="1"/>
      <c r="I52" s="1"/>
      <c r="J52" s="1"/>
    </row>
    <row r="53">
      <c r="B53" s="1" t="s">
        <v>404</v>
      </c>
      <c r="C53" s="1"/>
      <c r="D53" s="1"/>
      <c r="E53" s="1"/>
      <c r="F53" s="1"/>
      <c r="G53" s="1"/>
      <c r="H53" s="1"/>
      <c r="I53" s="1"/>
      <c r="J53" s="1"/>
    </row>
    <row r="54">
      <c r="B54" s="1" t="s">
        <v>405</v>
      </c>
      <c r="C54" s="42">
        <v>173</v>
      </c>
      <c r="D54" s="1"/>
      <c r="E54" s="1"/>
      <c r="F54" s="1"/>
      <c r="G54" s="1"/>
      <c r="H54" s="1"/>
      <c r="I54" s="1"/>
      <c r="J54" s="1"/>
    </row>
    <row r="55">
      <c r="B55" s="1" t="s">
        <v>406</v>
      </c>
      <c r="C55" s="1" t="s">
        <v>407</v>
      </c>
      <c r="D55" s="1"/>
      <c r="E55" s="1"/>
      <c r="F55" s="1"/>
      <c r="G55" s="1"/>
      <c r="H55" s="1"/>
      <c r="I55" s="1"/>
      <c r="J55" s="1"/>
    </row>
    <row r="56">
      <c r="B56" s="1" t="s">
        <v>408</v>
      </c>
      <c r="C56" s="42">
        <v>1.4</v>
      </c>
      <c r="D56" s="1"/>
      <c r="E56" s="1"/>
      <c r="F56" s="1"/>
      <c r="G56" s="1"/>
      <c r="H56" s="1"/>
      <c r="I56" s="1"/>
      <c r="J56" s="1"/>
    </row>
    <row r="57">
      <c r="B57" s="1" t="s">
        <v>409</v>
      </c>
      <c r="C57" s="42">
        <v>310.69</v>
      </c>
      <c r="D57" s="1"/>
      <c r="E57" s="1"/>
      <c r="F57" s="1"/>
      <c r="G57" s="1"/>
      <c r="H57" s="1"/>
      <c r="I57" s="1"/>
      <c r="J57" s="1"/>
    </row>
    <row r="58">
      <c r="B58" s="1" t="s">
        <v>410</v>
      </c>
      <c r="C58" s="1" t="s">
        <v>411</v>
      </c>
      <c r="D58" s="1"/>
      <c r="E58" s="1"/>
      <c r="F58" s="1"/>
      <c r="G58" s="1"/>
      <c r="H58" s="1"/>
      <c r="I58" s="1"/>
      <c r="J58" s="1"/>
    </row>
    <row r="59">
      <c r="B59" s="1" t="s">
        <v>369</v>
      </c>
      <c r="C59" s="1" t="s">
        <v>412</v>
      </c>
      <c r="D59" s="1" t="s">
        <v>413</v>
      </c>
      <c r="E59" s="1" t="s">
        <v>414</v>
      </c>
      <c r="F59" s="1" t="s">
        <v>415</v>
      </c>
      <c r="G59" s="1" t="s">
        <v>416</v>
      </c>
      <c r="H59" s="1" t="s">
        <v>417</v>
      </c>
      <c r="I59" s="1" t="s">
        <v>418</v>
      </c>
      <c r="J59" s="1"/>
    </row>
    <row r="60">
      <c r="B60" s="15">
        <v>45716</v>
      </c>
      <c r="C60" s="42">
        <v>1.83</v>
      </c>
      <c r="D60" s="42">
        <v>1.94</v>
      </c>
      <c r="E60" s="42">
        <v>1.04</v>
      </c>
      <c r="F60" s="42">
        <v>1.06</v>
      </c>
      <c r="G60" s="42">
        <v>6404.77</v>
      </c>
      <c r="H60" s="42">
        <v>6728</v>
      </c>
      <c r="I60" s="15">
        <v>45736</v>
      </c>
      <c r="J60" s="1"/>
    </row>
    <row r="61">
      <c r="B61" s="15">
        <v>45808</v>
      </c>
      <c r="C61" s="42">
        <v>2.32</v>
      </c>
      <c r="D61" s="42">
        <v>2.55</v>
      </c>
      <c r="E61" s="42">
        <v>0.44</v>
      </c>
      <c r="F61" s="42">
        <v>2.03</v>
      </c>
      <c r="G61" s="42">
        <v>7067.99</v>
      </c>
      <c r="H61" s="42">
        <v>7828</v>
      </c>
      <c r="I61" s="15">
        <v>45825</v>
      </c>
      <c r="J61" s="1"/>
    </row>
    <row r="62">
      <c r="B62" s="15">
        <v>45900</v>
      </c>
      <c r="C62" s="42">
        <v>2.95</v>
      </c>
      <c r="D62" s="42">
        <v>3.29</v>
      </c>
      <c r="E62" s="42">
        <v>2.45</v>
      </c>
      <c r="F62" s="42">
        <v>1.99</v>
      </c>
      <c r="G62" s="42">
        <v>7667.89</v>
      </c>
      <c r="H62" s="42">
        <v>8252</v>
      </c>
      <c r="I62" s="15">
        <v>45925</v>
      </c>
      <c r="J62" s="1"/>
    </row>
    <row r="63">
      <c r="B63" s="15">
        <v>45991</v>
      </c>
      <c r="C63" s="42">
        <v>2.73</v>
      </c>
      <c r="D63" s="42">
        <v>2.85</v>
      </c>
      <c r="E63" s="42">
        <v>1.99</v>
      </c>
      <c r="F63" s="42">
        <v>1.35</v>
      </c>
      <c r="G63" s="42">
        <v>8097.1</v>
      </c>
      <c r="H63" s="42">
        <v>8305</v>
      </c>
      <c r="I63" s="15">
        <v>46008</v>
      </c>
      <c r="J63" s="1"/>
    </row>
    <row r="64">
      <c r="B64" s="15">
        <v>46081</v>
      </c>
      <c r="C64" s="42">
        <v>2.51</v>
      </c>
      <c r="D64" s="42">
        <v>2.69</v>
      </c>
      <c r="E64" s="42">
        <v>1.72</v>
      </c>
      <c r="F64" s="42">
        <v>2.08</v>
      </c>
      <c r="G64" s="42">
        <v>7782.18</v>
      </c>
      <c r="H64" s="42">
        <v>8282</v>
      </c>
      <c r="I64" s="15">
        <v>46099</v>
      </c>
      <c r="J64" s="1"/>
    </row>
    <row r="65">
      <c r="B65" s="15">
        <v>46173</v>
      </c>
      <c r="C65" s="42">
        <v>3.12</v>
      </c>
      <c r="D65" s="42">
        <v>3.16</v>
      </c>
      <c r="E65" s="42">
        <v>2.57</v>
      </c>
      <c r="F65" s="42">
        <v>2.59</v>
      </c>
      <c r="G65" s="42">
        <v>8660.88</v>
      </c>
      <c r="H65" s="42">
        <v>8751</v>
      </c>
      <c r="I65" s="15">
        <v>46190</v>
      </c>
      <c r="J65" s="1"/>
    </row>
    <row r="66">
      <c r="B66" s="1"/>
      <c r="C66" s="1"/>
      <c r="D66" s="1"/>
      <c r="E66" s="1"/>
      <c r="F66" s="1"/>
      <c r="G66" s="1"/>
      <c r="H66" s="1"/>
      <c r="I66" s="1"/>
      <c r="J66" s="1"/>
    </row>
    <row r="67">
      <c r="B67" s="1" t="s">
        <v>354</v>
      </c>
      <c r="C67" s="1"/>
      <c r="D67" s="1"/>
      <c r="E67" s="1"/>
      <c r="F67" s="1"/>
      <c r="G67" s="1"/>
      <c r="H67" s="1"/>
      <c r="I67" s="1"/>
      <c r="J67" s="1"/>
    </row>
    <row r="68">
      <c r="B68" s="1" t="s">
        <v>419</v>
      </c>
      <c r="C68" s="1"/>
      <c r="D68" s="1"/>
      <c r="E68" s="1"/>
      <c r="F68" s="1"/>
      <c r="G68" s="1"/>
      <c r="H68" s="1"/>
      <c r="I68" s="1"/>
      <c r="J68" s="1"/>
    </row>
    <row r="69">
      <c r="B69" s="1" t="s">
        <v>420</v>
      </c>
      <c r="C69" s="1"/>
      <c r="D69" s="1"/>
      <c r="E69" s="1"/>
      <c r="F69" s="1"/>
      <c r="G69" s="1"/>
      <c r="H69" s="1"/>
      <c r="I69" s="1"/>
      <c r="J69" s="1"/>
    </row>
    <row r="70">
      <c r="B70" s="1" t="s">
        <v>421</v>
      </c>
      <c r="C70" s="1"/>
      <c r="D70" s="1"/>
      <c r="E70" s="1"/>
      <c r="F70" s="1"/>
      <c r="G70" s="1"/>
      <c r="H70" s="1"/>
      <c r="I70" s="1"/>
      <c r="J70" s="1"/>
    </row>
    <row r="71">
      <c r="B71" s="1"/>
      <c r="C71" s="1"/>
      <c r="D71" s="1"/>
      <c r="E71" s="1"/>
      <c r="F71" s="1"/>
      <c r="G71" s="1"/>
      <c r="H71" s="1"/>
      <c r="I71" s="1"/>
      <c r="J71" s="1"/>
    </row>
    <row r="72">
      <c r="B72" s="1"/>
      <c r="C72" s="1"/>
      <c r="D72" s="1"/>
      <c r="E72" s="1"/>
      <c r="F72" s="1"/>
      <c r="G72" s="1"/>
      <c r="H72" s="1"/>
      <c r="I72" s="1"/>
      <c r="J72" s="1"/>
    </row>
    <row r="73">
      <c r="B73" s="1"/>
      <c r="C73" s="1"/>
      <c r="D73" s="1"/>
      <c r="E73" s="1"/>
      <c r="F73" s="1"/>
      <c r="G73" s="1"/>
      <c r="H73" s="1"/>
      <c r="I73" s="1"/>
      <c r="J73" s="1"/>
    </row>
    <row r="74">
      <c r="B74" s="1" t="s">
        <v>422</v>
      </c>
      <c r="C74" s="1" t="s">
        <v>423</v>
      </c>
      <c r="D74" s="1"/>
      <c r="E74" s="1"/>
      <c r="F74" s="1"/>
      <c r="G74" s="1"/>
      <c r="H74" s="1"/>
      <c r="I74" s="1"/>
      <c r="J74" s="1"/>
    </row>
    <row r="75">
      <c r="B75" s="1" t="s">
        <v>424</v>
      </c>
      <c r="C75" s="30">
        <v>0.21</v>
      </c>
      <c r="D75" s="1"/>
      <c r="E75" s="1"/>
      <c r="F75" s="1"/>
      <c r="G75" s="1"/>
      <c r="H75" s="1"/>
      <c r="I75" s="1"/>
      <c r="J75" s="1"/>
    </row>
    <row r="76">
      <c r="B76" s="1" t="s">
        <v>425</v>
      </c>
      <c r="C76" s="42">
        <v>610</v>
      </c>
      <c r="D76" s="1"/>
      <c r="E76" s="1"/>
      <c r="F76" s="1"/>
      <c r="G76" s="1"/>
      <c r="H76" s="1"/>
      <c r="I76" s="1"/>
      <c r="J76" s="1"/>
    </row>
    <row r="77">
      <c r="B77" s="1" t="s">
        <v>426</v>
      </c>
      <c r="C77" s="42">
        <v>350</v>
      </c>
      <c r="D77" s="1"/>
      <c r="E77" s="1"/>
      <c r="F77" s="1"/>
      <c r="G77" s="1"/>
      <c r="H77" s="1"/>
      <c r="I77" s="1"/>
      <c r="J77" s="1"/>
    </row>
    <row r="78">
      <c r="B78" s="1" t="s">
        <v>427</v>
      </c>
      <c r="C78" s="42">
        <v>50</v>
      </c>
      <c r="D78" s="1"/>
      <c r="E78" s="1"/>
      <c r="F78" s="1"/>
      <c r="G78" s="1"/>
      <c r="H78" s="1"/>
      <c r="I78" s="1"/>
      <c r="J78" s="1"/>
    </row>
    <row r="79">
      <c r="B79" s="1" t="s">
        <v>428</v>
      </c>
      <c r="C79" s="42">
        <v>400</v>
      </c>
      <c r="D79" s="1"/>
      <c r="E79" s="1"/>
      <c r="F79" s="1"/>
      <c r="G79" s="1"/>
      <c r="H79" s="1"/>
      <c r="I79" s="1"/>
      <c r="J79" s="1"/>
    </row>
    <row r="80">
      <c r="B80" s="1" t="s">
        <v>429</v>
      </c>
      <c r="C80" s="42">
        <v>-300</v>
      </c>
      <c r="D80" s="1"/>
      <c r="E80" s="1"/>
      <c r="F80" s="1"/>
      <c r="G80" s="1"/>
      <c r="H80" s="1"/>
      <c r="I80" s="1"/>
      <c r="J80" s="1"/>
    </row>
    <row r="81">
      <c r="B81" s="1" t="s">
        <v>430</v>
      </c>
      <c r="C81" s="42">
        <v>70</v>
      </c>
      <c r="D81" s="1"/>
      <c r="E81" s="1"/>
      <c r="F81" s="1"/>
      <c r="G81" s="1"/>
      <c r="H81" s="1"/>
      <c r="I81" s="1"/>
      <c r="J81" s="1"/>
    </row>
    <row r="82">
      <c r="B82" s="1" t="s">
        <v>431</v>
      </c>
      <c r="C82" s="42">
        <v>400</v>
      </c>
      <c r="D82" s="1"/>
      <c r="E82" s="1"/>
      <c r="F82" s="1"/>
      <c r="G82" s="1"/>
      <c r="H82" s="1"/>
      <c r="I82" s="1"/>
      <c r="J82" s="1"/>
    </row>
    <row r="83">
      <c r="B83" s="1" t="s">
        <v>432</v>
      </c>
      <c r="C83" s="30">
        <v>0.0985</v>
      </c>
      <c r="D83" s="1"/>
      <c r="E83" s="1"/>
      <c r="F83" s="1"/>
      <c r="G83" s="1"/>
      <c r="H83" s="1"/>
      <c r="I83" s="1"/>
      <c r="J83" s="1"/>
    </row>
    <row r="84">
      <c r="B84" s="1" t="s">
        <v>433</v>
      </c>
      <c r="C84" s="42">
        <v>10</v>
      </c>
      <c r="D84" s="1"/>
      <c r="E84" s="1"/>
      <c r="F84" s="1"/>
      <c r="G84" s="1"/>
      <c r="H84" s="1"/>
      <c r="I84" s="1"/>
      <c r="J84" s="1"/>
    </row>
    <row r="85">
      <c r="B85" s="1" t="s">
        <v>434</v>
      </c>
      <c r="C85" s="42">
        <v>27</v>
      </c>
      <c r="D85" s="1"/>
      <c r="E85" s="1"/>
      <c r="F85" s="1"/>
      <c r="G85" s="1"/>
      <c r="H85" s="1"/>
      <c r="I85" s="1"/>
      <c r="J85" s="1"/>
    </row>
    <row r="86">
      <c r="B86" s="1" t="s">
        <v>435</v>
      </c>
      <c r="C86" s="42">
        <v>53</v>
      </c>
      <c r="D86" s="1"/>
      <c r="E86" s="1"/>
      <c r="F86" s="1"/>
      <c r="G86" s="1"/>
      <c r="H86" s="1"/>
      <c r="I86" s="1"/>
      <c r="J86" s="1"/>
    </row>
    <row r="87">
      <c r="B87" s="1" t="s">
        <v>436</v>
      </c>
      <c r="C87" s="42">
        <v>0.7</v>
      </c>
      <c r="D87" s="1"/>
      <c r="E87" s="1"/>
      <c r="F87" s="1"/>
      <c r="G87" s="1"/>
      <c r="H87" s="1"/>
      <c r="I87" s="1"/>
      <c r="J87" s="1"/>
    </row>
    <row r="88">
      <c r="B88" s="1" t="s">
        <v>437</v>
      </c>
      <c r="C88" s="42">
        <v>210</v>
      </c>
      <c r="D88" s="1"/>
      <c r="E88" s="1"/>
      <c r="F88" s="1"/>
      <c r="G88" s="1"/>
      <c r="H88" s="1"/>
      <c r="I88" s="1"/>
      <c r="J88" s="1"/>
    </row>
    <row r="89">
      <c r="B89" s="1" t="s">
        <v>438</v>
      </c>
      <c r="C89" s="42">
        <v>-190</v>
      </c>
      <c r="D89" s="1"/>
      <c r="E89" s="1"/>
      <c r="F89" s="1"/>
      <c r="G89" s="1"/>
      <c r="H89" s="1"/>
      <c r="I89" s="1"/>
      <c r="J89" s="1"/>
    </row>
    <row r="90">
      <c r="B90" s="1" t="s">
        <v>439</v>
      </c>
      <c r="C90" s="42">
        <v>30</v>
      </c>
      <c r="D90" s="1"/>
      <c r="E90" s="1"/>
      <c r="F90" s="1"/>
      <c r="G90" s="1"/>
      <c r="H90" s="1"/>
      <c r="I90" s="1"/>
      <c r="J90" s="1"/>
    </row>
    <row r="91">
      <c r="B91" s="1" t="s">
        <v>440</v>
      </c>
      <c r="C91" s="42">
        <v>100</v>
      </c>
      <c r="D91" s="1"/>
      <c r="E91" s="1"/>
      <c r="F91" s="1"/>
      <c r="G91" s="1"/>
      <c r="H91" s="1"/>
      <c r="I91" s="1"/>
      <c r="J91" s="1"/>
    </row>
    <row r="92">
      <c r="B92" s="1" t="s">
        <v>441</v>
      </c>
      <c r="C92" s="42">
        <v>-120</v>
      </c>
      <c r="D92" s="1"/>
      <c r="E92" s="1"/>
      <c r="F92" s="1"/>
      <c r="G92" s="1"/>
      <c r="H92" s="1"/>
      <c r="I92" s="1"/>
      <c r="J92" s="1"/>
    </row>
    <row r="93">
      <c r="B93" s="1" t="s">
        <v>442</v>
      </c>
      <c r="C93" s="42">
        <v>-300</v>
      </c>
      <c r="D93" s="1"/>
      <c r="E93" s="1"/>
      <c r="F93" s="1"/>
      <c r="G93" s="1"/>
      <c r="H93" s="1"/>
      <c r="I93" s="1"/>
      <c r="J93" s="1"/>
    </row>
    <row r="94">
      <c r="B94" s="1" t="s">
        <v>443</v>
      </c>
      <c r="C94" s="42">
        <v>-9</v>
      </c>
      <c r="D94" s="1"/>
      <c r="E94" s="1"/>
      <c r="F94" s="1"/>
      <c r="G94" s="1"/>
      <c r="H94" s="1"/>
      <c r="I94" s="1"/>
      <c r="J94" s="1"/>
    </row>
    <row r="95">
      <c r="B95" s="1" t="s">
        <v>444</v>
      </c>
      <c r="C95" s="42">
        <v>10</v>
      </c>
      <c r="D95" s="1"/>
      <c r="E95" s="1"/>
      <c r="F95" s="1"/>
      <c r="G95" s="1"/>
      <c r="H95" s="1"/>
      <c r="I95" s="1"/>
      <c r="J95" s="1"/>
    </row>
    <row r="96">
      <c r="B96" s="1" t="s">
        <v>445</v>
      </c>
      <c r="C96" s="30">
        <v>0.745</v>
      </c>
      <c r="D96" s="1"/>
      <c r="E96" s="1"/>
      <c r="F96" s="1"/>
      <c r="G96" s="1"/>
      <c r="H96" s="1"/>
      <c r="I96" s="1"/>
      <c r="J96" s="1"/>
    </row>
    <row r="97">
      <c r="B97" s="1" t="s">
        <v>446</v>
      </c>
      <c r="C97" s="42">
        <v>0</v>
      </c>
      <c r="D97" s="1"/>
      <c r="E97" s="1"/>
      <c r="F97" s="1"/>
      <c r="G97" s="1"/>
      <c r="H97" s="1"/>
      <c r="I97" s="1"/>
      <c r="J97" s="1"/>
    </row>
    <row r="98">
      <c r="B98" s="1"/>
      <c r="C98" s="1"/>
      <c r="D98" s="1"/>
      <c r="E98" s="1"/>
      <c r="F98" s="1"/>
      <c r="G98" s="1"/>
      <c r="H98" s="1"/>
      <c r="I98" s="1"/>
      <c r="J98" s="1"/>
    </row>
    <row r="99">
      <c r="B99" s="1" t="s">
        <v>447</v>
      </c>
      <c r="C99" s="1"/>
      <c r="D99" s="1"/>
      <c r="E99" s="1"/>
      <c r="F99" s="1"/>
      <c r="G99" s="1"/>
      <c r="H99" s="1"/>
      <c r="I99" s="1"/>
      <c r="J99" s="1"/>
    </row>
    <row r="100">
      <c r="B100" s="1" t="s">
        <v>448</v>
      </c>
      <c r="C100" s="42">
        <v>430.11</v>
      </c>
      <c r="D100" s="1"/>
      <c r="E100" s="1"/>
      <c r="F100" s="1"/>
      <c r="G100" s="1"/>
      <c r="H100" s="1"/>
      <c r="I100" s="1"/>
      <c r="J100" s="1"/>
    </row>
    <row r="101">
      <c r="B101" s="1" t="s">
        <v>449</v>
      </c>
      <c r="C101" s="42">
        <v>440</v>
      </c>
      <c r="D101" s="1"/>
      <c r="E101" s="1"/>
      <c r="F101" s="1"/>
      <c r="G101" s="1"/>
      <c r="H101" s="1"/>
      <c r="I101" s="1"/>
      <c r="J101" s="1"/>
    </row>
    <row r="102">
      <c r="B102" s="1" t="s">
        <v>450</v>
      </c>
      <c r="C102" s="42">
        <v>475</v>
      </c>
      <c r="D102" s="1"/>
      <c r="E102" s="1"/>
      <c r="F102" s="1"/>
      <c r="G102" s="1"/>
      <c r="H102" s="1"/>
      <c r="I102" s="1"/>
      <c r="J102" s="1"/>
    </row>
    <row r="103">
      <c r="B103" s="1" t="s">
        <v>451</v>
      </c>
      <c r="C103" s="42">
        <v>365</v>
      </c>
      <c r="D103" s="1"/>
      <c r="E103" s="1"/>
      <c r="F103" s="1"/>
      <c r="G103" s="1"/>
      <c r="H103" s="1"/>
      <c r="I103" s="1"/>
      <c r="J103" s="1"/>
    </row>
    <row r="104">
      <c r="B104" s="1" t="s">
        <v>452</v>
      </c>
      <c r="C104" s="42">
        <v>35.1</v>
      </c>
      <c r="D104" s="1"/>
      <c r="E104" s="1"/>
      <c r="F104" s="1"/>
      <c r="G104" s="1"/>
      <c r="H104" s="1"/>
      <c r="I104" s="1"/>
      <c r="J104" s="1"/>
    </row>
    <row r="105">
      <c r="B105" s="1" t="s">
        <v>453</v>
      </c>
      <c r="C105" s="42">
        <v>9</v>
      </c>
      <c r="D105" s="1"/>
      <c r="E105" s="1"/>
      <c r="F105" s="1"/>
      <c r="G105" s="1"/>
      <c r="H105" s="1"/>
      <c r="I105" s="1"/>
      <c r="J105" s="1"/>
    </row>
    <row r="106">
      <c r="B106" s="1"/>
      <c r="C106" s="1"/>
      <c r="D106" s="1"/>
      <c r="E106" s="1"/>
      <c r="F106" s="1"/>
      <c r="G106" s="1"/>
      <c r="H106" s="1"/>
      <c r="I106" s="1"/>
      <c r="J106" s="1"/>
    </row>
  </sheetData>
</worksheet>
</file>