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Segment - Sales Operations" sheetId="3" r:id="rId4"/>
    <sheet name="Segment - Auto Finance" sheetId="4" r:id="rId5"/>
    <sheet name="Income Statement" sheetId="5" r:id="rId6"/>
    <sheet name="Balance Sheet" sheetId="6" r:id="rId7"/>
    <sheet name="Cash Flow Statement" sheetId="7" r:id="rId8"/>
    <sheet name="Share Count" sheetId="8" r:id="rId9"/>
    <sheet name="Guidance" sheetId="9" r:id="rId10"/>
    <sheet name="Sources" sheetId="10" r:id="rId11"/>
    <sheet name="Inputs" sheetId="11" r:id="rId12"/>
  </sheets>
  <calcPr calcId="0"/>
</workbook>
</file>

<file path=xl/sharedStrings.xml><?xml version="1.0" encoding="utf-8"?>
<sst xmlns="http://schemas.openxmlformats.org/spreadsheetml/2006/main" count="943" uniqueCount="720">
  <si>
    <t>CarMax, Inc.</t>
  </si>
  <si>
    <t>Cover</t>
  </si>
  <si>
    <t>$ millions, except per share</t>
  </si>
  <si>
    <t>2Q26A</t>
  </si>
  <si>
    <t>3Q26A</t>
  </si>
  <si>
    <t>4Q26A</t>
  </si>
  <si>
    <t>FY26A</t>
  </si>
  <si>
    <t>1Q27A</t>
  </si>
  <si>
    <t>2Q27E</t>
  </si>
  <si>
    <t>Company Model — built by Shortcut</t>
  </si>
  <si>
    <t>Company</t>
  </si>
  <si>
    <t>Ticker / exchange</t>
  </si>
  <si>
    <t>KMX / NYSE</t>
  </si>
  <si>
    <t>Fiscal year end</t>
  </si>
  <si>
    <t>Feb fiscal year-end</t>
  </si>
  <si>
    <t>Reporting currency / share</t>
  </si>
  <si>
    <t>USD / common share</t>
  </si>
  <si>
    <t>EPS basis</t>
  </si>
  <si>
    <t>Issuer-adjusted / CapIQ normalized diluted EPS</t>
  </si>
  <si>
    <t>Information cutoff</t>
  </si>
  <si>
    <t>2026-09-26T18:44:22.240587+00:00</t>
  </si>
  <si>
    <t>Expected report date</t>
  </si>
  <si>
    <t>Consensus captured</t>
  </si>
  <si>
    <t>Forecast vs as-of consensus</t>
  </si>
  <si>
    <t>Metric</t>
  </si>
  <si>
    <t>Our estimate</t>
  </si>
  <si>
    <t>CapIQ consensus</t>
  </si>
  <si>
    <t>Variance</t>
  </si>
  <si>
    <t>Guidance midpoint</t>
  </si>
  <si>
    <t>Net sales and operating revenue ($m)</t>
  </si>
  <si>
    <t>Normalized net earnings ($m)</t>
  </si>
  <si>
    <t>unavailable</t>
  </si>
  <si>
    <t>Normalized diluted EPS ($)</t>
  </si>
  <si>
    <t>GAAP diluted EPS ($)</t>
  </si>
  <si>
    <t>P(beat consensus EPS)</t>
  </si>
  <si>
    <t>Confidence</t>
  </si>
  <si>
    <t>low</t>
  </si>
  <si>
    <t>GAAP net earnings ($m)</t>
  </si>
  <si>
    <t>Overall model check</t>
  </si>
  <si>
    <t>Forecast basis note</t>
  </si>
  <si>
    <t>see J30</t>
  </si>
  <si>
    <t>Normalized estimate excludes forecast exceptional charges (zero); GAAP and adjusted EPS coincide.</t>
  </si>
  <si>
    <t>Revenue summary</t>
  </si>
  <si>
    <t>REPORTED SEGMENTS</t>
  </si>
  <si>
    <t>CarMax Sales Operations net sales</t>
  </si>
  <si>
    <t xml:space="preserve">  Y/Y</t>
  </si>
  <si>
    <t xml:space="preserve">  Q/Q</t>
  </si>
  <si>
    <t xml:space="preserve">  % of total revenue</t>
  </si>
  <si>
    <t>CarMax Auto Finance interest revenue¹</t>
  </si>
  <si>
    <t xml:space="preserve">  % of total net sales</t>
  </si>
  <si>
    <t>Less: CAF finance revenue excluded from consolidated net sales</t>
  </si>
  <si>
    <t>Total net sales and operating revenue</t>
  </si>
  <si>
    <t xml:space="preserve">  Retail vehicle mix of sales</t>
  </si>
  <si>
    <t>Retail used vehicle revenue</t>
  </si>
  <si>
    <t>Wholesale vehicle revenue</t>
  </si>
  <si>
    <t>Other sales and operating revenues</t>
  </si>
  <si>
    <t xml:space="preserve">  EPP revenue</t>
  </si>
  <si>
    <t xml:space="preserve">  Third-party financing fees</t>
  </si>
  <si>
    <t xml:space="preserve">  Advertising / subscription</t>
  </si>
  <si>
    <t xml:space="preserve">  Other service and repair</t>
  </si>
  <si>
    <t xml:space="preserve">  Component rounding / SEC reconciliation</t>
  </si>
  <si>
    <t>Segments / consolidated net sales check</t>
  </si>
  <si>
    <t>U.S. operating focus — no geographic revenue split disclosed</t>
  </si>
  <si>
    <t>¹ CAF interest and fees are finance income, NOT part of net sales</t>
  </si>
  <si>
    <t>Retail vehicles sold (units)</t>
  </si>
  <si>
    <t>Wholesale vehicles sold (units)</t>
  </si>
  <si>
    <t>US used vehicle industry Aug 2026 sales Y/Y</t>
  </si>
  <si>
    <t>US used vehicle average listing price Aug 2026 Y/Y</t>
  </si>
  <si>
    <t>Y/Y REVENUE BRIDGES (no M&amp;A or FX disclosed)</t>
  </si>
  <si>
    <t xml:space="preserve">  Sales Operations — organic growth</t>
  </si>
  <si>
    <t xml:space="preserve">    M&amp;A / scope impact</t>
  </si>
  <si>
    <t xml:space="preserve">    FX effect</t>
  </si>
  <si>
    <t xml:space="preserve">    Total Y/Y growth</t>
  </si>
  <si>
    <t xml:space="preserve">  CAF interest and fee revenue — organic growth</t>
  </si>
  <si>
    <t xml:space="preserve">  Consolidated net sales — organic growth</t>
  </si>
  <si>
    <t xml:space="preserve">  Retail used vehicle revenue — organic growth</t>
  </si>
  <si>
    <t xml:space="preserve">  Wholesale vehicle revenue — organic growth</t>
  </si>
  <si>
    <t xml:space="preserve">  Other sales and operating revenue — organic growth</t>
  </si>
  <si>
    <t xml:space="preserve">  EPP revenue — organic growth</t>
  </si>
  <si>
    <t xml:space="preserve">  Third-party finance fees — organic growth</t>
  </si>
  <si>
    <t xml:space="preserve">  Advertising and subscription — organic growth</t>
  </si>
  <si>
    <t xml:space="preserve">  Other repair/service revenue — organic growth</t>
  </si>
  <si>
    <t>Segment - Sales Operations</t>
  </si>
  <si>
    <t>RETAIL VEHICLES</t>
  </si>
  <si>
    <t>Retail used vehicles sold (units)</t>
  </si>
  <si>
    <t xml:space="preserve">  Y/Y units change</t>
  </si>
  <si>
    <t xml:space="preserve">  Sequential units change</t>
  </si>
  <si>
    <t>Average retail price ($/vehicle)</t>
  </si>
  <si>
    <t xml:space="preserve">  Y/Y ASP change</t>
  </si>
  <si>
    <t xml:space="preserve">  Sequential ASP change</t>
  </si>
  <si>
    <t>Retail used-vehicle sales</t>
  </si>
  <si>
    <t xml:space="preserve">  Organic growth</t>
  </si>
  <si>
    <t xml:space="preserve">  M&amp;A / scope</t>
  </si>
  <si>
    <t xml:space="preserve">  FX impact</t>
  </si>
  <si>
    <t xml:space="preserve">  Total Y/Y growth</t>
  </si>
  <si>
    <t>WHOLESALE VEHICLES</t>
  </si>
  <si>
    <t>Average wholesale price ($/vehicle)</t>
  </si>
  <si>
    <t>Wholesale vehicle sales</t>
  </si>
  <si>
    <t>Extended protection plan revenues</t>
  </si>
  <si>
    <t>Third-party finance fees, net</t>
  </si>
  <si>
    <t>Vehicle financing fee modeled on disclosed retail units and a forecast fee per unit; source has no separate transaction count.</t>
  </si>
  <si>
    <t>Advertising and subscription revenue</t>
  </si>
  <si>
    <t>Advertising/subscription revenue per total sold vehicles is an analyst assumption, not company guidance.</t>
  </si>
  <si>
    <t>Other service and repair revenue</t>
  </si>
  <si>
    <t>Other repair/services per retail vehicle is an analyst assumption; issuer does not disclose distinct transaction volumes.</t>
  </si>
  <si>
    <t>Other sales and revenues subtotal</t>
  </si>
  <si>
    <t>Disclosed component rounding</t>
  </si>
  <si>
    <t>Sales Operations segment revenue</t>
  </si>
  <si>
    <t>Retail used gross profit</t>
  </si>
  <si>
    <t>Wholesale vehicle gross profit</t>
  </si>
  <si>
    <t>Other gross profit</t>
  </si>
  <si>
    <t>Sales Operations gross profit</t>
  </si>
  <si>
    <t>Retail gross profit per vehicle ($)</t>
  </si>
  <si>
    <t xml:space="preserve">  Retail GPU Y/Y change ($)</t>
  </si>
  <si>
    <t xml:space="preserve">  Retail GPU sequential change ($)</t>
  </si>
  <si>
    <t>Wholesale gross profit per vehicle ($)</t>
  </si>
  <si>
    <t xml:space="preserve">  Wholesale GPU Y/Y change ($)</t>
  </si>
  <si>
    <t xml:space="preserve">  Wholesale GPU sequential change ($)</t>
  </si>
  <si>
    <t>EPP revenue per retail vehicle ($)</t>
  </si>
  <si>
    <t xml:space="preserve">  EPP revenue/unit Y/Y change ($)</t>
  </si>
  <si>
    <t xml:space="preserve">  EPP revenue/unit sequential change ($)</t>
  </si>
  <si>
    <t>Comparable-store retail units change (%)</t>
  </si>
  <si>
    <t xml:space="preserve">  Comparable-store unit growth Y/Y (bp)</t>
  </si>
  <si>
    <t xml:space="preserve">  Comparable-store unit growth sequential (bp)</t>
  </si>
  <si>
    <t>CAF penetration of financed retail vehicles</t>
  </si>
  <si>
    <t xml:space="preserve">  CAF financed penetration Y/Y (bp)</t>
  </si>
  <si>
    <t xml:space="preserve">  CAF financed penetration sequential (bp)</t>
  </si>
  <si>
    <t>Digital-enabled share of retail units</t>
  </si>
  <si>
    <t xml:space="preserve">  Digitally enabled retail share Y/Y (bp)</t>
  </si>
  <si>
    <t xml:space="preserve">  Digitally enabled retail share sequential (bp)</t>
  </si>
  <si>
    <t>Fully online retail units share</t>
  </si>
  <si>
    <t xml:space="preserve">  Fully online retail share Y/Y (bp)</t>
  </si>
  <si>
    <t xml:space="preserve">  Fully online retail share sequential (bp)</t>
  </si>
  <si>
    <t>Vehicles acquired from consumers (000s)</t>
  </si>
  <si>
    <t xml:space="preserve">  Consumers acquired (000s) Y/Y change</t>
  </si>
  <si>
    <t xml:space="preserve">  Consumers acquired (000s) sequential change</t>
  </si>
  <si>
    <t>Vehicles acquired from dealers (000s)</t>
  </si>
  <si>
    <t xml:space="preserve">  Dealer-acquired (000s) Y/Y change</t>
  </si>
  <si>
    <t xml:space="preserve">  Dealer-acquired (000s) sequential change</t>
  </si>
  <si>
    <t>Gross profit margin</t>
  </si>
  <si>
    <t xml:space="preserve">  Y/Y gross margin change (bp)</t>
  </si>
  <si>
    <t xml:space="preserve">  Q/Q gross margin change (bp)</t>
  </si>
  <si>
    <t>Total vehicle units</t>
  </si>
  <si>
    <t xml:space="preserve">  Y/Y unit change</t>
  </si>
  <si>
    <t xml:space="preserve">  Sequential unit change</t>
  </si>
  <si>
    <t>US business / primary market</t>
  </si>
  <si>
    <t>Segment revenue reconciliation check</t>
  </si>
  <si>
    <t>Omni-channel share of retail units</t>
  </si>
  <si>
    <t xml:space="preserve">  Omnichannel retail share Y/Y (bp)</t>
  </si>
  <si>
    <t xml:space="preserve">  Omnichannel retail share sequential (bp)</t>
  </si>
  <si>
    <t>Total purchased vehicles (000s)</t>
  </si>
  <si>
    <t>ADDITIONAL PRODUCT GROWTH BRIDGES</t>
  </si>
  <si>
    <t xml:space="preserve">  Third-party finance fees: organic Y/Y</t>
  </si>
  <si>
    <t xml:space="preserve">    M&amp;A / scope</t>
  </si>
  <si>
    <t xml:space="preserve">    FX impact</t>
  </si>
  <si>
    <t xml:space="preserve">    Total Y/Y</t>
  </si>
  <si>
    <t xml:space="preserve">  Advertising/subscription: organic Y/Y</t>
  </si>
  <si>
    <t xml:space="preserve">  Other service/repair: organic Y/Y</t>
  </si>
  <si>
    <t>Third-party finance fee per retail unit ($)</t>
  </si>
  <si>
    <t xml:space="preserve">  Financing fee/retail unit Y/Y change ($)</t>
  </si>
  <si>
    <t xml:space="preserve">  Financing fee/retail unit sequential change ($)</t>
  </si>
  <si>
    <t>Advertising/subscription revenue per total vehicle ($)</t>
  </si>
  <si>
    <t xml:space="preserve">  Ads / total vehicle Y/Y change ($)</t>
  </si>
  <si>
    <t xml:space="preserve">  Ads / total vehicle sequential change ($)</t>
  </si>
  <si>
    <t>Other service/repair revenue per retail unit ($)</t>
  </si>
  <si>
    <t xml:space="preserve">  Other service / retail unit Y/Y change ($)</t>
  </si>
  <si>
    <t xml:space="preserve">  Other service / retail unit sequential change ($)</t>
  </si>
  <si>
    <t>Segment - Auto Finance</t>
  </si>
  <si>
    <t>CAF REVENUE AND INTEREST MARGIN</t>
  </si>
  <si>
    <t>Interest and fee income (CAF revenue)</t>
  </si>
  <si>
    <t xml:space="preserve">  Y/Y change</t>
  </si>
  <si>
    <t xml:space="preserve">  Sequential change</t>
  </si>
  <si>
    <t xml:space="preserve">  FX effect</t>
  </si>
  <si>
    <t>Interest expense on securitized funding</t>
  </si>
  <si>
    <t>Net interest margin</t>
  </si>
  <si>
    <t>Provision for loan losses</t>
  </si>
  <si>
    <t>Net interest margin after provision</t>
  </si>
  <si>
    <t>Servicing income</t>
  </si>
  <si>
    <t>Direct operating expense</t>
  </si>
  <si>
    <t>Gain (loss) on loan sales</t>
  </si>
  <si>
    <t>Fair-value adjustments</t>
  </si>
  <si>
    <t>CarMax Auto Finance segment income</t>
  </si>
  <si>
    <t xml:space="preserve">  Segment income Y/Y growth</t>
  </si>
  <si>
    <t>Average auto loans outstanding</t>
  </si>
  <si>
    <t>Opening net loans (incl. held for sale)</t>
  </si>
  <si>
    <t>Gross loan originations</t>
  </si>
  <si>
    <t xml:space="preserve">  Gross originations Y/Y change ($m)</t>
  </si>
  <si>
    <t xml:space="preserve">  Gross originations sequential change ($m)</t>
  </si>
  <si>
    <t>Loan repayments, sales and writeoffs</t>
  </si>
  <si>
    <t>Gross originations follow units and penetration; $2,076.7m expected paydowns/sales are an analyst assumption in Inputs!H231. Net portfolio changes by approximately ($6m), with separately forecast cash-flow and credit reclassification on the balance sheet.</t>
  </si>
  <si>
    <t xml:space="preserve">  Paydowns Y/Y change ($m)</t>
  </si>
  <si>
    <t xml:space="preserve">  Paydowns sequential change ($m)</t>
  </si>
  <si>
    <t>Closing net loans (incl. held for sale)</t>
  </si>
  <si>
    <t xml:space="preserve">  Closing loan portfolio Y/Y ($m)</t>
  </si>
  <si>
    <t xml:space="preserve">  Closing loan portfolio sequential ($m)</t>
  </si>
  <si>
    <t>Average period balance as disclosed</t>
  </si>
  <si>
    <t>Loss provision / average loans</t>
  </si>
  <si>
    <t xml:space="preserve">  Y/Y change (bp)</t>
  </si>
  <si>
    <t xml:space="preserve">  Q/Q change in provision rate (bp)</t>
  </si>
  <si>
    <t>Net CAF retail penetration</t>
  </si>
  <si>
    <t xml:space="preserve">  Q/Q change (bp)</t>
  </si>
  <si>
    <t>Weighted average contract rate</t>
  </si>
  <si>
    <t xml:space="preserve">  Sequential contract rate (bp)</t>
  </si>
  <si>
    <t>Ending allowance for losses</t>
  </si>
  <si>
    <t xml:space="preserve">  Allowance Y/Y change ($m)</t>
  </si>
  <si>
    <t xml:space="preserve">  Allowance sequential change ($m)</t>
  </si>
  <si>
    <t>CAF customer accounts — opening (000s)</t>
  </si>
  <si>
    <t>Opening and gross/closed serviced accounts not disclosed in issuer May 2026 Form 10-Q; reported closing 1.1 million only. Do not infer churn.</t>
  </si>
  <si>
    <t>New accounts, gross additions (000s)</t>
  </si>
  <si>
    <t>Closed/churned accounts (000s)</t>
  </si>
  <si>
    <t>Net account additions (000s)</t>
  </si>
  <si>
    <t>CAF customer accounts — closing (000s)</t>
  </si>
  <si>
    <t>Average accounts / churn rate disclosure</t>
  </si>
  <si>
    <t>CAF ending loans vs balance sheet CHECK</t>
  </si>
  <si>
    <t xml:space="preserve">  Funding cost Y/Y change</t>
  </si>
  <si>
    <t xml:space="preserve">  Funding cost sequential change</t>
  </si>
  <si>
    <t xml:space="preserve">  Loss provision Y/Y change</t>
  </si>
  <si>
    <t xml:space="preserve">  Loss provision sequential change</t>
  </si>
  <si>
    <t xml:space="preserve">  Fee income Y/Y absolute change</t>
  </si>
  <si>
    <t xml:space="preserve">  Fee income sequential change</t>
  </si>
  <si>
    <t xml:space="preserve">  CAF segment income sequential change</t>
  </si>
  <si>
    <t xml:space="preserve">  CAF average loans sequential change</t>
  </si>
  <si>
    <t xml:space="preserve">  CAF interest-margin yield annualized</t>
  </si>
  <si>
    <t xml:space="preserve">    Y/Y interest-margin yield change (bp)</t>
  </si>
  <si>
    <t xml:space="preserve">    Q/Q interest-margin yield change (bp)</t>
  </si>
  <si>
    <t xml:space="preserve">  Provision / retail vehicle ($)</t>
  </si>
  <si>
    <t xml:space="preserve">    Y/Y provision per unit ($)</t>
  </si>
  <si>
    <t xml:space="preserve">    Q/Q provision per unit ($)</t>
  </si>
  <si>
    <t>Income Statement</t>
  </si>
  <si>
    <t>GAAP CONSOLIDATED RESULTS</t>
  </si>
  <si>
    <t>Net sales and operating revenues</t>
  </si>
  <si>
    <t xml:space="preserve">  Y/Y growth</t>
  </si>
  <si>
    <t>Retail used vehicle cost of sales</t>
  </si>
  <si>
    <t>Wholesale vehicle cost of sales</t>
  </si>
  <si>
    <t>Other services / EPP cost of sales</t>
  </si>
  <si>
    <t>Total cost of sales</t>
  </si>
  <si>
    <t>Gross profit</t>
  </si>
  <si>
    <t xml:space="preserve">  Gross profit / revenue</t>
  </si>
  <si>
    <t xml:space="preserve">  Y/Y change in margin (bp)</t>
  </si>
  <si>
    <t>CarMax Auto Finance income</t>
  </si>
  <si>
    <t>Compensation and benefits, excluding stock compensation</t>
  </si>
  <si>
    <t>Share-based compensation</t>
  </si>
  <si>
    <t>Total compensation and benefits</t>
  </si>
  <si>
    <t>Occupancy costs</t>
  </si>
  <si>
    <t>Advertising spend</t>
  </si>
  <si>
    <t>Other SG&amp;A overhead</t>
  </si>
  <si>
    <t>Total selling, general and administrative expense</t>
  </si>
  <si>
    <t>Depreciation and amortization</t>
  </si>
  <si>
    <t>Noncash goodwill impairment</t>
  </si>
  <si>
    <t>Corporate interest expense</t>
  </si>
  <si>
    <t>Other income (expense)</t>
  </si>
  <si>
    <t>Reported precision / rounding</t>
  </si>
  <si>
    <t>Earnings before income taxes</t>
  </si>
  <si>
    <t>Income tax provision</t>
  </si>
  <si>
    <t>GAAP net earnings (loss)</t>
  </si>
  <si>
    <t xml:space="preserve">  Net margin</t>
  </si>
  <si>
    <t xml:space="preserve">  Y/Y growth in net earnings</t>
  </si>
  <si>
    <t>Basic weighted average common shares (m)</t>
  </si>
  <si>
    <t>Diluted weighted average common shares (m)</t>
  </si>
  <si>
    <t>GAAP basic earnings per share</t>
  </si>
  <si>
    <t>GAAP diluted earnings per share</t>
  </si>
  <si>
    <t>GAAP → NORMALIZED (issuer-reconciled)</t>
  </si>
  <si>
    <t>Add: impairment charges per diluted share</t>
  </si>
  <si>
    <t>Add: restructuring charges per diluted share</t>
  </si>
  <si>
    <t>Income tax impact of adjustments per diluted share</t>
  </si>
  <si>
    <t>Normalized earnings per diluted share</t>
  </si>
  <si>
    <t>Normalized net earnings attributable ($m)</t>
  </si>
  <si>
    <t>EPS = normalized net earnings / diluted shares check</t>
  </si>
  <si>
    <t>GAAP EPS = net earnings / diluted shares check</t>
  </si>
  <si>
    <t>Balance Sheet</t>
  </si>
  <si>
    <t>ASSETS</t>
  </si>
  <si>
    <t>Cash and cash equivalents</t>
  </si>
  <si>
    <t>Restricted cash: loan collections</t>
  </si>
  <si>
    <t>Other restricted cash — memorandum, not in total assets</t>
  </si>
  <si>
    <t>Auto loans held for sale</t>
  </si>
  <si>
    <t>Accounts receivable, net</t>
  </si>
  <si>
    <t>Vehicle inventory</t>
  </si>
  <si>
    <t>Other current assets</t>
  </si>
  <si>
    <t>Total current assets</t>
  </si>
  <si>
    <t>Auto loans held for investment, net</t>
  </si>
  <si>
    <t>Property and equipment, net</t>
  </si>
  <si>
    <t>Deferred income-tax assets</t>
  </si>
  <si>
    <t>Operating lease assets</t>
  </si>
  <si>
    <t>Goodwill</t>
  </si>
  <si>
    <t>Other noncurrent assets</t>
  </si>
  <si>
    <t>Total assets</t>
  </si>
  <si>
    <t>LIABILITIES AND SHAREHOLDERS’ EQUITY</t>
  </si>
  <si>
    <t>Accounts payable</t>
  </si>
  <si>
    <t>Accrued expenses and other current liabilities</t>
  </si>
  <si>
    <t>Income taxes payable</t>
  </si>
  <si>
    <t>Current operating lease liabilities</t>
  </si>
  <si>
    <t>Current long-term debt</t>
  </si>
  <si>
    <t>Current non-recourse notes payable</t>
  </si>
  <si>
    <t>Total current liabilities</t>
  </si>
  <si>
    <t>Long-term debt (excluding current)</t>
  </si>
  <si>
    <t>Non-recourse notes payable (excluding current)</t>
  </si>
  <si>
    <t>Noncurrent operating lease liabilities</t>
  </si>
  <si>
    <t>Other noncurrent liabilities</t>
  </si>
  <si>
    <t>Total liabilities</t>
  </si>
  <si>
    <t>Common stock</t>
  </si>
  <si>
    <t>Additional paid-in capital</t>
  </si>
  <si>
    <t>Other comprehensive income / (loss)</t>
  </si>
  <si>
    <t>Retained earnings</t>
  </si>
  <si>
    <t>Total shareholders’ equity</t>
  </si>
  <si>
    <t>Assets − liabilities − equity CHECK</t>
  </si>
  <si>
    <t>Finance-loan portfolio (investment and sale)</t>
  </si>
  <si>
    <t>Cash Flow Statement</t>
  </si>
  <si>
    <t>OPERATING CASH FLOW</t>
  </si>
  <si>
    <t>GAAP net earnings</t>
  </si>
  <si>
    <t>Depreciation and amortization (income-statement basis)</t>
  </si>
  <si>
    <t>Noncash and WC subtotal less IS D&amp;A (details rows 32–47)</t>
  </si>
  <si>
    <t>Cash provided by operating activities</t>
  </si>
  <si>
    <t>INVESTING CASH FLOW</t>
  </si>
  <si>
    <t>Capital spending and investments, net</t>
  </si>
  <si>
    <t>Cash used in investing activities</t>
  </si>
  <si>
    <t>FINANCING CASH FLOW</t>
  </si>
  <si>
    <t>Financing, debt funding and share repurchases, net</t>
  </si>
  <si>
    <t>Cash from (used in) financing</t>
  </si>
  <si>
    <t>Net change in cash including restricted cash</t>
  </si>
  <si>
    <t>Beginning cash including restricted cash</t>
  </si>
  <si>
    <t>Ending cash including restricted cash</t>
  </si>
  <si>
    <t>Balance sheet cash / cash equivalents</t>
  </si>
  <si>
    <t>Restricted collections on auto loans</t>
  </si>
  <si>
    <t>Other cash restricted in securitization vehicles</t>
  </si>
  <si>
    <t>Cash flow to balance sheet check</t>
  </si>
  <si>
    <t>Operating cash flow source check</t>
  </si>
  <si>
    <t>Change in cash check</t>
  </si>
  <si>
    <t>Capital expenditures only (not all investing cash)</t>
  </si>
  <si>
    <t>DETAIL — OPERATING ACTIVITIES</t>
  </si>
  <si>
    <t>Operating depreciation and loan amortization</t>
  </si>
  <si>
    <t>Cancellation-reserve provision</t>
  </si>
  <si>
    <t>Deferred income tax provision / benefit</t>
  </si>
  <si>
    <t>Proceeds from loan sale</t>
  </si>
  <si>
    <t>Goodwill impairment noncash addback</t>
  </si>
  <si>
    <t>Other noncash operating items</t>
  </si>
  <si>
    <t>Change in receivables</t>
  </si>
  <si>
    <t>Change in loans held for sale</t>
  </si>
  <si>
    <t>Change in inventory</t>
  </si>
  <si>
    <t>Change in other current assets</t>
  </si>
  <si>
    <t>Change in loans held for investment</t>
  </si>
  <si>
    <t>Change in other assets</t>
  </si>
  <si>
    <t>Change in accounts payable / accruals</t>
  </si>
  <si>
    <t>Change in other liabilities</t>
  </si>
  <si>
    <t>Subtotal: noncash and working capital</t>
  </si>
  <si>
    <t>Operating subtotal ties CFO check</t>
  </si>
  <si>
    <t>DETAIL — INVESTING ACTIVITIES</t>
  </si>
  <si>
    <t>Capital expenditure</t>
  </si>
  <si>
    <t>Proceeds from asset sales</t>
  </si>
  <si>
    <t>Investment purchases</t>
  </si>
  <si>
    <t>Investment sales / returns</t>
  </si>
  <si>
    <t>Beneficial-interest receipts</t>
  </si>
  <si>
    <t>Subtotal: investing cash flows</t>
  </si>
  <si>
    <t>Investing subtotal ties CFI check</t>
  </si>
  <si>
    <t>DETAIL — FINANCING ACTIVITIES</t>
  </si>
  <si>
    <t>Proceeds from long-term borrowing</t>
  </si>
  <si>
    <t>Payments on long-term borrowing</t>
  </si>
  <si>
    <t>Debt issuance fees paid</t>
  </si>
  <si>
    <t>Finance lease obligations paid</t>
  </si>
  <si>
    <t>Non-recourse note issuances</t>
  </si>
  <si>
    <t>Non-recourse notes repaid</t>
  </si>
  <si>
    <t>Shares repurchased / retired</t>
  </si>
  <si>
    <t>Equity issued / employee shares</t>
  </si>
  <si>
    <t>Subtotal: financing cash flows</t>
  </si>
  <si>
    <t>Financing subtotal ties CFF check</t>
  </si>
  <si>
    <t>Share Count</t>
  </si>
  <si>
    <t>SHARES / CAPITAL RETURN</t>
  </si>
  <si>
    <t>Dilution from outstanding awards (m)</t>
  </si>
  <si>
    <t>Diluted weighted average shares (m)</t>
  </si>
  <si>
    <t>Shares used in normalized EPS (m)</t>
  </si>
  <si>
    <t>Repurchases under announced program ($m)</t>
  </si>
  <si>
    <t>Shares repurchased under program (m)</t>
  </si>
  <si>
    <t>Equity issuances / shares from vesting (m)</t>
  </si>
  <si>
    <t>Shares outstanding at quarter end (m)</t>
  </si>
  <si>
    <t>Buyback program status</t>
  </si>
  <si>
    <t>Active</t>
  </si>
  <si>
    <t>Paused</t>
  </si>
  <si>
    <t>Q1 FY27 program repurchases were paused; no program buyback assumed for Q2.</t>
  </si>
  <si>
    <t>Fully diluted share count check</t>
  </si>
  <si>
    <t>Guidance</t>
  </si>
  <si>
    <t>Publication date</t>
  </si>
  <si>
    <t>Guidance period</t>
  </si>
  <si>
    <t>Low</t>
  </si>
  <si>
    <t>High</t>
  </si>
  <si>
    <t>Midpoint</t>
  </si>
  <si>
    <t>Reported actual</t>
  </si>
  <si>
    <t>Beat / miss</t>
  </si>
  <si>
    <t>Source ID</t>
  </si>
  <si>
    <t>FY2027</t>
  </si>
  <si>
    <t>Capital expenditures ($m)</t>
  </si>
  <si>
    <t>S04</t>
  </si>
  <si>
    <t>New retail stores</t>
  </si>
  <si>
    <t>New recon / auction centers</t>
  </si>
  <si>
    <t>New stand-alone auction sites</t>
  </si>
  <si>
    <t>FY2027 exit</t>
  </si>
  <si>
    <t>SG&amp;A savings exit run-rate ($m)</t>
  </si>
  <si>
    <t>S05</t>
  </si>
  <si>
    <t>1Q27</t>
  </si>
  <si>
    <t>Retail gross profit/unit decline (maximum $)</t>
  </si>
  <si>
    <t>2Q27</t>
  </si>
  <si>
    <t>Revenue guidance midpoint</t>
  </si>
  <si>
    <t>not guided</t>
  </si>
  <si>
    <t>Net income / EPS guidance midpoint</t>
  </si>
  <si>
    <t>Sources</t>
  </si>
  <si>
    <t>ID</t>
  </si>
  <si>
    <t>Published</t>
  </si>
  <si>
    <t>Publisher</t>
  </si>
  <si>
    <t>Source → J</t>
  </si>
  <si>
    <t>Notes → K</t>
  </si>
  <si>
    <t>URL / input file</t>
  </si>
  <si>
    <t>What the source feeds / method notes</t>
  </si>
  <si>
    <t>S01</t>
  </si>
  <si>
    <t>SEC / CarMax</t>
  </si>
  <si>
    <t>see J10</t>
  </si>
  <si>
    <t>see K10</t>
  </si>
  <si>
    <t>https://www.sec.gov/Archives/edgar/data/1170010/000117001025000115/q2fy26earningsrelease.htm</t>
  </si>
  <si>
    <t>2Q26 revenue, units, income, loan operations</t>
  </si>
  <si>
    <t>S02</t>
  </si>
  <si>
    <t>see J11</t>
  </si>
  <si>
    <t>see K11</t>
  </si>
  <si>
    <t>https://www.sec.gov/Archives/edgar/data/1170010/000117001025000129/q3fy26earningsrelease.htm</t>
  </si>
  <si>
    <t>3Q26 operating and GAAP/non-GAAP history</t>
  </si>
  <si>
    <t>S03</t>
  </si>
  <si>
    <t>see J12</t>
  </si>
  <si>
    <t>see K12</t>
  </si>
  <si>
    <t>https://www.sec.gov/Archives/edgar/data/1170010/000117001026000021/kmx-20260228.htm</t>
  </si>
  <si>
    <t>FY26 statements; reportable segments and geography</t>
  </si>
  <si>
    <t>see J13</t>
  </si>
  <si>
    <t>see K13</t>
  </si>
  <si>
    <t>https://www.sec.gov/Archives/edgar/data/1170010/000117001026000017/q4fy26earningsrelease.htm</t>
  </si>
  <si>
    <t>4Q26/FY26 operations, impairment/adjusted EPS, guidance</t>
  </si>
  <si>
    <t>see J14</t>
  </si>
  <si>
    <t>see K14</t>
  </si>
  <si>
    <t>https://www.sec.gov/Archives/edgar/data/1170010/000117001026000053/q1fy27earningsrelease.htm</t>
  </si>
  <si>
    <t>1Q27 results, costs and September 29 date</t>
  </si>
  <si>
    <t>S06</t>
  </si>
  <si>
    <t>see J15</t>
  </si>
  <si>
    <t>see K15</t>
  </si>
  <si>
    <t>https://www.sec.gov/Archives/edgar/data/1170010/000117001026000055/kmx-20260531.htm</t>
  </si>
  <si>
    <t>CAF segment, servicing account balance, US reporting</t>
  </si>
  <si>
    <t>S07</t>
  </si>
  <si>
    <t>see J16</t>
  </si>
  <si>
    <t>see K16</t>
  </si>
  <si>
    <t>https://www.sec.gov/Archives/edgar/data/1170010/000117001025000118/kmx-20250831.htm</t>
  </si>
  <si>
    <t>2Q26 formal financial statements</t>
  </si>
  <si>
    <t>S08</t>
  </si>
  <si>
    <t>Stock Analysis / conference call</t>
  </si>
  <si>
    <t>see J17</t>
  </si>
  <si>
    <t>see K17</t>
  </si>
  <si>
    <t>https://stockanalysis.com/stocks/kmx/transcripts/649232-q1-2027/</t>
  </si>
  <si>
    <t>Management pricing strategy and $200m savings</t>
  </si>
  <si>
    <t>S09</t>
  </si>
  <si>
    <t>Cox Automotive</t>
  </si>
  <si>
    <t>see J18</t>
  </si>
  <si>
    <t>see K18</t>
  </si>
  <si>
    <t>https://www.coxautoinc.com/insights/used-vehicle-inventory-august-2026/</t>
  </si>
  <si>
    <t>Aug used sales -3.2% YoY; list price +7%</t>
  </si>
  <si>
    <t>S10</t>
  </si>
  <si>
    <t>MarketBeat / Zacks Research</t>
  </si>
  <si>
    <t>see J19</t>
  </si>
  <si>
    <t>see K19</t>
  </si>
  <si>
    <t>https://www.marketbeat.com/instant-alerts/estimates-zacks-research-issues-negative-forecast-for-carmax-earnings-2026-09-18/</t>
  </si>
  <si>
    <t>Q2 analyst EPS revision $0.60 → $0.57</t>
  </si>
  <si>
    <t>S11</t>
  </si>
  <si>
    <t>S&amp;P Capital IQ</t>
  </si>
  <si>
    <t>see J20</t>
  </si>
  <si>
    <t>see K20</t>
  </si>
  <si>
    <t>KMX_consensus.json</t>
  </si>
  <si>
    <t>Sep 24 normalized EPS 0.72; revenue 6,984.29m</t>
  </si>
  <si>
    <t>S12</t>
  </si>
  <si>
    <t>see J21</t>
  </si>
  <si>
    <t>see K21</t>
  </si>
  <si>
    <t>KMX_history.csv</t>
  </si>
  <si>
    <t>Six reported quarterly normalized and GAAP comparisons</t>
  </si>
  <si>
    <t>Geo omitted</t>
  </si>
  <si>
    <t>Geo tab omitted — checked CarMax FY2026 Form 10-K (S03); no material multi-country revenue disclosure.</t>
  </si>
  <si>
    <t>CAF account detail</t>
  </si>
  <si>
    <t>CAF accounts opening/adds/churn omitted as unavailable in 10-Q (S06); closing accounts disclosed (~1.1m).</t>
  </si>
  <si>
    <t>2Q27 guidance</t>
  </si>
  <si>
    <t>No numerical guidance for 2Q27 revenue, earnings or EPS (S05); guidance midpoint unavailable.</t>
  </si>
  <si>
    <t>Historical precision</t>
  </si>
  <si>
    <t>Historical periods source exact statement totals; component rounding explicitly reconciled on segment.</t>
  </si>
  <si>
    <t>Consensus as-of date</t>
  </si>
  <si>
    <t>Capital IQ consensus capture date is September 24, 2026 (day only, no timestamp).</t>
  </si>
  <si>
    <t>KMX_history.csv SHA256</t>
  </si>
  <si>
    <t>see J28</t>
  </si>
  <si>
    <t>93a210cab0650669d3ad322710e17442fe3f9c1722ff425a98cf87ae6c6634be</t>
  </si>
  <si>
    <t>KMX_consensus.json SHA256</t>
  </si>
  <si>
    <t>see J29</t>
  </si>
  <si>
    <t>32a99021143fc82190fad85a22e72d1fc3ecc6fefbd005e6bce2de6780a20609</t>
  </si>
  <si>
    <t>Information cutoff UTC</t>
  </si>
  <si>
    <t>S13</t>
  </si>
  <si>
    <t>see J32</t>
  </si>
  <si>
    <t>see K32</t>
  </si>
  <si>
    <t>https://www.coxautoinc.com/insights/used-vehicle-inventory-july-2026/</t>
  </si>
  <si>
    <t>July retail used units -2.2% Y/Y and list ASP +6%</t>
  </si>
  <si>
    <t>S14</t>
  </si>
  <si>
    <t>Carvana</t>
  </si>
  <si>
    <t>see J33</t>
  </si>
  <si>
    <t>see K33</t>
  </si>
  <si>
    <t>https://investors.carvana.com/news-releases/2026/07-29-2026-210525685</t>
  </si>
  <si>
    <t>Competitor Q2 2026 used retail units +38% Y/Y</t>
  </si>
  <si>
    <t>S15</t>
  </si>
  <si>
    <t>Auto Remarketing / Lithia</t>
  </si>
  <si>
    <t>see J34</t>
  </si>
  <si>
    <t>see K34</t>
  </si>
  <si>
    <t>https://www.autoremarketing.com/ar/retail/lithia-drives-used-car-gross-profit-per-unit-20-higher-from-q1/</t>
  </si>
  <si>
    <t>Lithia used units -2.7%, GPU +5.4% Y/Y</t>
  </si>
  <si>
    <t>Inputs</t>
  </si>
  <si>
    <t>used rev</t>
  </si>
  <si>
    <t>wh rev</t>
  </si>
  <si>
    <t>epp</t>
  </si>
  <si>
    <t>finance fees</t>
  </si>
  <si>
    <t>ads rev</t>
  </si>
  <si>
    <t>other rev</t>
  </si>
  <si>
    <t>units used</t>
  </si>
  <si>
    <t>units wh</t>
  </si>
  <si>
    <t>asp used</t>
  </si>
  <si>
    <t>asp wh</t>
  </si>
  <si>
    <t>Used vehicle gross profit, historical ($m)</t>
  </si>
  <si>
    <t>Wholesale gross profit, historical ($m)</t>
  </si>
  <si>
    <t>other gp</t>
  </si>
  <si>
    <t>sga wages</t>
  </si>
  <si>
    <t>sga stock</t>
  </si>
  <si>
    <t>sga occupancy</t>
  </si>
  <si>
    <t>sga advert</t>
  </si>
  <si>
    <t>sga other</t>
  </si>
  <si>
    <t>caf interest</t>
  </si>
  <si>
    <t>caf funding</t>
  </si>
  <si>
    <t>caf provision</t>
  </si>
  <si>
    <t>caf servicing</t>
  </si>
  <si>
    <t>caf direct</t>
  </si>
  <si>
    <t>caf gain</t>
  </si>
  <si>
    <t>caf fv</t>
  </si>
  <si>
    <t>caf avg loans</t>
  </si>
  <si>
    <t>caf originations</t>
  </si>
  <si>
    <t>caf penetration</t>
  </si>
  <si>
    <t>caf contract</t>
  </si>
  <si>
    <t>caf allowance</t>
  </si>
  <si>
    <t>comp units</t>
  </si>
  <si>
    <t>net income</t>
  </si>
  <si>
    <t>basic shares</t>
  </si>
  <si>
    <t>diluted shares</t>
  </si>
  <si>
    <t>sga</t>
  </si>
  <si>
    <t>da</t>
  </si>
  <si>
    <t>interest</t>
  </si>
  <si>
    <t>tax</t>
  </si>
  <si>
    <t>bs cash</t>
  </si>
  <si>
    <t>bs restricted</t>
  </si>
  <si>
    <t>bs receivable</t>
  </si>
  <si>
    <t>bs loans sale</t>
  </si>
  <si>
    <t>bs inventory</t>
  </si>
  <si>
    <t>bs other ca</t>
  </si>
  <si>
    <t>bs loans</t>
  </si>
  <si>
    <t>bs ppe</t>
  </si>
  <si>
    <t>bs deferred</t>
  </si>
  <si>
    <t>bs lease</t>
  </si>
  <si>
    <t>bs goodwill</t>
  </si>
  <si>
    <t>bs other assets</t>
  </si>
  <si>
    <t>bs liabilities</t>
  </si>
  <si>
    <t>bs equity</t>
  </si>
  <si>
    <t>bs other restricted</t>
  </si>
  <si>
    <t>cf cfo</t>
  </si>
  <si>
    <t>cf cfi</t>
  </si>
  <si>
    <t>cf cff</t>
  </si>
  <si>
    <t>cf begin</t>
  </si>
  <si>
    <t>cf end</t>
  </si>
  <si>
    <t>reported revenue</t>
  </si>
  <si>
    <t>bridge impairment</t>
  </si>
  <si>
    <t>bridge restructuring</t>
  </si>
  <si>
    <t>bridge tax</t>
  </si>
  <si>
    <t>cf working capital</t>
  </si>
  <si>
    <t>cf capex</t>
  </si>
  <si>
    <t>cf financing</t>
  </si>
  <si>
    <t>other income</t>
  </si>
  <si>
    <t>tax rate</t>
  </si>
  <si>
    <t>Scope/M&amp;A growth assumption</t>
  </si>
  <si>
    <t>FX growth assumption</t>
  </si>
  <si>
    <t>Comparable used units assumption</t>
  </si>
  <si>
    <t>Other operating income (expense), signed</t>
  </si>
  <si>
    <t>Goodwill impairment charge</t>
  </si>
  <si>
    <t>Reported pretax earnings (exact)</t>
  </si>
  <si>
    <t>bs ap</t>
  </si>
  <si>
    <t>bs accrued</t>
  </si>
  <si>
    <t>bs incometax</t>
  </si>
  <si>
    <t>bs currentlease</t>
  </si>
  <si>
    <t>bs currentdebt</t>
  </si>
  <si>
    <t>bs currentnotes</t>
  </si>
  <si>
    <t>bs longdebt</t>
  </si>
  <si>
    <t>bs notes</t>
  </si>
  <si>
    <t>bs longlease</t>
  </si>
  <si>
    <t>bs otherliab</t>
  </si>
  <si>
    <t>bs common</t>
  </si>
  <si>
    <t>bs apic</t>
  </si>
  <si>
    <t>bs aoci</t>
  </si>
  <si>
    <t>bs retained</t>
  </si>
  <si>
    <t>Serviced CAF customer accounts FY27 Q1 (000s)</t>
  </si>
  <si>
    <t>Implied CAF loan portfolio net growth ($m)</t>
  </si>
  <si>
    <t>Historical margin / industry note</t>
  </si>
  <si>
    <t>Digitally enabled retail unit sales (%)</t>
  </si>
  <si>
    <t>Omni retail unit sales (%)</t>
  </si>
  <si>
    <t>Online retail unit sales (%)</t>
  </si>
  <si>
    <t>Vehicle purchases from consumers (000s)</t>
  </si>
  <si>
    <t>Vehicle purchases from dealers (000s)</t>
  </si>
  <si>
    <t>Forecast unit-price driver memo</t>
  </si>
  <si>
    <t>Forecast EPP revenue / retail vehicle ($)</t>
  </si>
  <si>
    <t>Forecast CAF realized interest yield (annualized)</t>
  </si>
  <si>
    <t>Cox August used sales Y/Y</t>
  </si>
  <si>
    <t>Cox August listing price Y/Y</t>
  </si>
  <si>
    <t>period_end_date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</si>
  <si>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</si>
  <si>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</si>
  <si>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</si>
  <si>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</si>
  <si>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</si>
  <si>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</si>
  <si>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 xml:space="preserve">report_date_x000D_</t>
  </si>
  <si>
    <t>Capital IQ snapshot — September 24, 2026</t>
  </si>
  <si>
    <t>Primary normalized estimates</t>
  </si>
  <si>
    <t>ticker</t>
  </si>
  <si>
    <t>KMX</t>
  </si>
  <si>
    <t>company</t>
  </si>
  <si>
    <t>exchange_ticker</t>
  </si>
  <si>
    <t>NYSE:KMX</t>
  </si>
  <si>
    <t>capiq_company_id</t>
  </si>
  <si>
    <t>analyst_count</t>
  </si>
  <si>
    <t>fiscal_year_end</t>
  </si>
  <si>
    <t>Feb-28</t>
  </si>
  <si>
    <t>forward_quarter_label</t>
  </si>
  <si>
    <t>FQ2 2027 - Aug 2026</t>
  </si>
  <si>
    <t>expected_report_date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</si>
  <si>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</si>
  <si>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</si>
  <si>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</si>
  <si>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</si>
  <si>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</si>
  <si>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</si>
  <si>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</si>
  <si>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</si>
  <si>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</si>
  <si>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</si>
  <si>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</si>
  <si>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</si>
  <si>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</si>
  <si>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</si>
  <si>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</si>
  <si>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eps_gaap_guidance_low</t>
  </si>
  <si>
    <t>eps_gaap_guidance_high</t>
  </si>
  <si>
    <t>revenue_m_mean</t>
  </si>
  <si>
    <t>revenue_m_median</t>
  </si>
  <si>
    <t>revenue_m_high</t>
  </si>
  <si>
    <t>revenue_m_low</t>
  </si>
  <si>
    <t>revenue_m_std_dev</t>
  </si>
  <si>
    <t>revenue_m_n_est</t>
  </si>
  <si>
    <t>revenue_m_guidance_low</t>
  </si>
  <si>
    <t>revenue_m_guidance_high</t>
  </si>
  <si>
    <t>ebitda_m_mean</t>
  </si>
  <si>
    <t>ebit_m_mean</t>
  </si>
  <si>
    <t>net_income_excl_excep_m_mean</t>
  </si>
  <si>
    <t>net_income_gaap_m_mean</t>
  </si>
  <si>
    <t>gross_margin_pct_mean</t>
  </si>
  <si>
    <t>effective_tax_rate_pct_mean</t>
  </si>
  <si>
    <t>capex_m_mean</t>
  </si>
  <si>
    <t>fcf_m_mean</t>
  </si>
  <si>
    <t>cfo_m_mean</t>
  </si>
  <si>
    <t>d_and_a_m_mean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</si>
  <si>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</si>
  <si>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</si>
  <si>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</si>
  <si>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</si>
  <si>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</si>
  <si>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</si>
  <si>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</si>
  <si>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Hold</t>
  </si>
  <si>
    <t>recommendation_score</t>
  </si>
  <si>
    <t>last_close_price</t>
  </si>
  <si>
    <t>notes</t>
  </si>
  <si>
    <t>February fiscal year end. The Feb-2026 quarter carried a GAAP loss of (0.85) against a normalized 0.34, and CapIQ marks that GAAP surprise NM.</t>
  </si>
  <si>
    <t>Forecast third-party finance fee per used vehicle ($)</t>
  </si>
  <si>
    <t>Forecast advertising/subscription per total vehicle ($)</t>
  </si>
  <si>
    <t>Forecast other services per used vehicle ($)</t>
  </si>
  <si>
    <t>ISSUER FILED CASH FLOWS — C six months, D nine months, E prior Q1, F fiscal year, G current Q1</t>
  </si>
  <si>
    <t>stock</t>
  </si>
  <si>
    <t>provision</t>
  </si>
  <si>
    <t>cancel</t>
  </si>
  <si>
    <t>deferred</t>
  </si>
  <si>
    <t>sale proceeds</t>
  </si>
  <si>
    <t>impairment</t>
  </si>
  <si>
    <t>other</t>
  </si>
  <si>
    <t>ar</t>
  </si>
  <si>
    <t>hfs</t>
  </si>
  <si>
    <t>inventory</t>
  </si>
  <si>
    <t>othercurrent</t>
  </si>
  <si>
    <t>hfi</t>
  </si>
  <si>
    <t>otherassets</t>
  </si>
  <si>
    <t>ap</t>
  </si>
  <si>
    <t>otherliab</t>
  </si>
  <si>
    <t>capex</t>
  </si>
  <si>
    <t>disposal</t>
  </si>
  <si>
    <t>invest purchases</t>
  </si>
  <si>
    <t>invest sales</t>
  </si>
  <si>
    <t>beneficial</t>
  </si>
  <si>
    <t>debt proceeds</t>
  </si>
  <si>
    <t>debt paid</t>
  </si>
  <si>
    <t>debt fees</t>
  </si>
  <si>
    <t>lease paid</t>
  </si>
  <si>
    <t>notes proceeds</t>
  </si>
  <si>
    <t>notes paid</t>
  </si>
  <si>
    <t>repurchases</t>
  </si>
  <si>
    <t>issuances</t>
  </si>
  <si>
    <t>Forecast zero-movement default</t>
  </si>
  <si>
    <t>Forecast accounts receivable cash change</t>
  </si>
  <si>
    <t>Forecast loans held for sale cash change</t>
  </si>
  <si>
    <t>Forecast vehicle inventory cash change</t>
  </si>
  <si>
    <t>Forecast loans held investment cash change</t>
  </si>
  <si>
    <t>Forecast payables cash change</t>
  </si>
  <si>
    <t>Forecast other liabilities cash change</t>
  </si>
  <si>
    <t>Forecast portfolio accrual / reclassification movement</t>
  </si>
  <si>
    <t>Forecast retail gross profit per unit ($)</t>
  </si>
  <si>
    <t>Forecast wholesale gross profit per unit ($)</t>
  </si>
  <si>
    <t>Expected loan paydowns / sales ($m; analyst assumption)</t>
  </si>
</sst>
</file>

<file path=xl/styles.xml><?xml version="1.0" encoding="utf-8"?>
<styleSheet xmlns="http://schemas.openxmlformats.org/spreadsheetml/2006/main">
  <numFmts count="5">
    <numFmt numFmtId="164" formatCode="$0.00"/>
    <numFmt numFmtId="165" formatCode="yyyy-mm-dd"/>
    <numFmt numFmtId="166" formatCode="d-mmm-yyyy"/>
    <numFmt numFmtId="167" formatCode="0.0%_);(0.0%);–_)"/>
    <numFmt numFmtId="168" formatCode="#,##0.0_);(#,##0.0);–_)"/>
  </numFmts>
  <fonts count="11">
    <font>
      <sz val="11"/>
      <name val="Calibri"/>
    </font>
    <font>
      <b val="0"/>
      <i val="0"/>
      <strike val="0"/>
      <sz val="11"/>
      <color rgb="FF000000"/>
      <name val="Calibri"/>
    </font>
    <font>
      <b val="0"/>
      <i val="0"/>
      <strike val="0"/>
      <sz val="10"/>
      <color rgb="FF000000"/>
      <name val="Aptos Narrow"/>
    </font>
    <font>
      <b/>
      <i val="0"/>
      <strike val="0"/>
      <sz val="10"/>
      <color rgb="FF000000"/>
      <name val="Aptos Narrow"/>
    </font>
    <font>
      <b val="0"/>
      <i val="0"/>
      <strike val="0"/>
      <sz val="10"/>
      <color rgb="FF006100"/>
      <name val="Aptos Narrow"/>
    </font>
    <font>
      <b val="0"/>
      <i/>
      <strike val="0"/>
      <sz val="10"/>
      <color rgb="FF000000"/>
      <name val="Aptos Narrow"/>
    </font>
    <font>
      <b/>
      <i val="0"/>
      <strike val="0"/>
      <sz val="10"/>
      <color rgb="FF006100"/>
      <name val="Aptos Narrow"/>
    </font>
    <font>
      <b val="0"/>
      <i/>
      <strike val="0"/>
      <sz val="10"/>
      <color rgb="FF006100"/>
      <name val="Aptos Narrow"/>
    </font>
    <font>
      <b val="0"/>
      <i val="0"/>
      <strike val="0"/>
      <sz val="10"/>
      <color rgb="FF0000FF"/>
      <name val="Aptos Narrow"/>
    </font>
    <font>
      <b/>
      <i val="0"/>
      <strike val="0"/>
      <sz val="10"/>
      <color rgb="FF0000FF"/>
      <name val="Aptos Narrow"/>
    </font>
    <font>
      <b val="0"/>
      <i/>
      <strike val="0"/>
      <sz val="10"/>
      <color rgb="FF0000FF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F2F6FC"/>
      </patternFill>
    </fill>
    <fill>
      <patternFill patternType="solid">
        <fgColor rgb="FFE9ECF0"/>
      </patternFill>
    </fill>
  </fills>
  <borders count="3">
    <border>
      <left/>
      <right/>
      <top/>
      <bottom/>
      <diagonal/>
    </border>
    <border>
      <top style="thin">
        <color rgb="FFADB5BD"/>
      </top>
      <bottom style="thin">
        <color rgb="FFADB5BD"/>
      </bottom>
    </border>
    <border>
      <top style="thin">
        <color rgb="FFAAB2BD"/>
      </top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 applyProtection="1">
      <alignment horizontal="general" vertical="bottom"/>
      <protection locked="1" hidden="0"/>
    </xf>
    <xf numFmtId="0" fontId="2" fillId="0" borderId="0" xfId="0" applyFont="1" applyFill="1" applyAlignment="1" applyProtection="1">
      <alignment horizontal="general" vertical="bottom"/>
      <protection locked="1" hidden="0"/>
    </xf>
    <xf numFmtId="0" fontId="2" fillId="0" borderId="0" xfId="0" applyFont="1" applyFill="1" applyAlignment="1" applyProtection="1">
      <alignment horizontal="general" vertical="bottom" wrapText="1"/>
      <protection locked="1" hidden="0"/>
    </xf>
    <xf numFmtId="0" fontId="2" fillId="2" borderId="0" xfId="0" applyFont="1" applyFill="1" applyAlignment="1" applyProtection="1">
      <alignment horizontal="general" vertical="bottom"/>
      <protection locked="1" hidden="0"/>
    </xf>
    <xf numFmtId="164" fontId="2" fillId="0" borderId="0" xfId="0" applyNumberFormat="1" applyFont="1" applyFill="1" applyAlignment="1" applyProtection="1">
      <alignment horizontal="general" vertical="bottom"/>
      <protection locked="1" hidden="0"/>
    </xf>
    <xf numFmtId="165" fontId="2" fillId="3" borderId="1" xfId="0" applyNumberFormat="1" applyFont="1" applyFill="1" applyBorder="1" applyAlignment="1" applyProtection="1">
      <alignment horizontal="general" vertical="bottom"/>
      <protection locked="1" hidden="0"/>
    </xf>
    <xf numFmtId="0" fontId="3" fillId="3" borderId="1" xfId="0" applyFont="1" applyFill="1" applyBorder="1" applyAlignment="1" applyProtection="1">
      <alignment horizontal="general" vertical="bottom"/>
      <protection locked="1" hidden="0"/>
    </xf>
    <xf numFmtId="164" fontId="4" fillId="0" borderId="0" xfId="0" applyNumberFormat="1" applyFont="1" applyFill="1" applyAlignment="1" applyProtection="1">
      <alignment horizontal="general" vertical="bottom"/>
      <protection locked="1" hidden="0"/>
    </xf>
    <xf numFmtId="166" fontId="2" fillId="0" borderId="0" xfId="0" applyNumberFormat="1" applyFont="1" applyFill="1" applyAlignment="1" applyProtection="1">
      <alignment horizontal="general" vertical="bottom"/>
      <protection locked="1" hidden="0"/>
    </xf>
    <xf numFmtId="0" fontId="4" fillId="0" borderId="0" xfId="0" applyFont="1" applyFill="1" applyAlignment="1" applyProtection="1">
      <alignment horizontal="general" vertical="bottom"/>
      <protection locked="1" hidden="0"/>
    </xf>
    <xf numFmtId="0" fontId="2" fillId="3" borderId="1" xfId="0" applyFont="1" applyFill="1" applyBorder="1" applyAlignment="1" applyProtection="1">
      <alignment horizontal="general" vertical="bottom"/>
      <protection locked="1" hidden="0"/>
    </xf>
    <xf numFmtId="167" fontId="5" fillId="0" borderId="0" xfId="0" applyNumberFormat="1" applyFont="1" applyFill="1" applyAlignment="1" applyProtection="1">
      <alignment horizontal="general" vertical="bottom"/>
      <protection locked="1" hidden="0"/>
    </xf>
    <xf numFmtId="168" fontId="2" fillId="0" borderId="0" xfId="0" applyNumberFormat="1" applyFont="1" applyFill="1" applyAlignment="1" applyProtection="1">
      <alignment horizontal="general" vertical="bottom"/>
      <protection locked="1" hidden="0"/>
    </xf>
    <xf numFmtId="168" fontId="2" fillId="2" borderId="0" xfId="0" applyNumberFormat="1" applyFont="1" applyFill="1" applyAlignment="1" applyProtection="1">
      <alignment horizontal="general" vertical="bottom"/>
      <protection locked="1" hidden="0"/>
    </xf>
    <xf numFmtId="0" fontId="3" fillId="0" borderId="2" xfId="0" applyFont="1" applyFill="1" applyBorder="1" applyAlignment="1" applyProtection="1">
      <alignment horizontal="general" vertical="bottom" wrapText="1"/>
      <protection locked="1" hidden="0"/>
    </xf>
    <xf numFmtId="167" fontId="5" fillId="0" borderId="0" xfId="0" applyNumberFormat="1" applyFont="1" applyFill="1" applyAlignment="1" applyProtection="1">
      <alignment horizontal="general" vertical="bottom" wrapText="1"/>
      <protection locked="1" hidden="0"/>
    </xf>
    <xf numFmtId="168" fontId="4" fillId="0" borderId="0" xfId="0" applyNumberFormat="1" applyFont="1" applyFill="1" applyAlignment="1" applyProtection="1">
      <alignment horizontal="general" vertical="bottom"/>
      <protection locked="1" hidden="0"/>
    </xf>
    <xf numFmtId="168" fontId="3" fillId="2" borderId="2" xfId="0" applyNumberFormat="1" applyFont="1" applyFill="1" applyBorder="1" applyAlignment="1" applyProtection="1">
      <alignment horizontal="general" vertical="bottom"/>
      <protection locked="1" hidden="0"/>
    </xf>
    <xf numFmtId="167" fontId="5" fillId="2" borderId="0" xfId="0" applyNumberFormat="1" applyFont="1" applyFill="1" applyAlignment="1" applyProtection="1">
      <alignment horizontal="general" vertical="bottom"/>
      <protection locked="1" hidden="0"/>
    </xf>
    <xf numFmtId="168" fontId="6" fillId="0" borderId="2" xfId="0" applyNumberFormat="1" applyFont="1" applyFill="1" applyBorder="1" applyAlignment="1" applyProtection="1">
      <alignment horizontal="general" vertical="bottom"/>
      <protection locked="1" hidden="0"/>
    </xf>
    <xf numFmtId="167" fontId="7" fillId="2" borderId="0" xfId="0" applyNumberFormat="1" applyFont="1" applyFill="1" applyAlignment="1" applyProtection="1">
      <alignment horizontal="general" vertical="bottom"/>
      <protection locked="1" hidden="0"/>
    </xf>
    <xf numFmtId="0" fontId="5" fillId="0" borderId="0" xfId="0" applyFont="1" applyFill="1" applyAlignment="1" applyProtection="1">
      <alignment horizontal="general" vertical="bottom" wrapText="1"/>
      <protection locked="1" hidden="0"/>
    </xf>
    <xf numFmtId="168" fontId="3" fillId="0" borderId="2" xfId="0" applyNumberFormat="1" applyFont="1" applyFill="1" applyBorder="1" applyAlignment="1" applyProtection="1">
      <alignment horizontal="general" vertical="bottom"/>
      <protection locked="1" hidden="0"/>
    </xf>
    <xf numFmtId="168" fontId="4" fillId="2" borderId="0" xfId="0" applyNumberFormat="1" applyFont="1" applyFill="1" applyAlignment="1" applyProtection="1">
      <alignment horizontal="general" vertical="bottom"/>
      <protection locked="1" hidden="0"/>
    </xf>
    <xf numFmtId="168" fontId="6" fillId="2" borderId="2" xfId="0" applyNumberFormat="1" applyFont="1" applyFill="1" applyBorder="1" applyAlignment="1" applyProtection="1">
      <alignment horizontal="general" vertical="bottom"/>
      <protection locked="1" hidden="0"/>
    </xf>
    <xf numFmtId="165" fontId="8" fillId="0" borderId="0" xfId="0" applyNumberFormat="1" applyFont="1" applyFill="1" applyAlignment="1" applyProtection="1">
      <alignment horizontal="general" vertical="bottom"/>
      <protection locked="1" hidden="0"/>
    </xf>
    <xf numFmtId="0" fontId="3" fillId="0" borderId="0" xfId="0" applyFont="1" applyFill="1" applyAlignment="1" applyProtection="1">
      <alignment horizontal="general" vertical="bottom" wrapText="1"/>
      <protection locked="1" hidden="0"/>
    </xf>
    <xf numFmtId="168" fontId="8" fillId="0" borderId="0" xfId="0" applyNumberFormat="1" applyFont="1" applyFill="1" applyAlignment="1" applyProtection="1">
      <alignment horizontal="general" vertical="bottom"/>
      <protection locked="1" hidden="0"/>
    </xf>
    <xf numFmtId="0" fontId="3" fillId="3" borderId="1" xfId="0" applyFont="1" applyFill="1" applyBorder="1" applyAlignment="1" applyProtection="1">
      <alignment horizontal="general" vertical="bottom" wrapText="1"/>
      <protection locked="1" hidden="0"/>
    </xf>
    <xf numFmtId="167" fontId="8" fillId="0" borderId="0" xfId="0" applyNumberFormat="1" applyFont="1" applyFill="1" applyAlignment="1" applyProtection="1">
      <alignment horizontal="general" vertical="bottom"/>
      <protection locked="1" hidden="0"/>
    </xf>
    <xf numFmtId="168" fontId="9" fillId="0" borderId="2" xfId="0" applyNumberFormat="1" applyFont="1" applyFill="1" applyBorder="1" applyAlignment="1" applyProtection="1">
      <alignment horizontal="general" vertical="bottom"/>
      <protection locked="1" hidden="0"/>
    </xf>
    <xf numFmtId="168" fontId="5" fillId="0" borderId="0" xfId="0" applyNumberFormat="1" applyFont="1" applyFill="1" applyAlignment="1" applyProtection="1">
      <alignment horizontal="general" vertical="bottom"/>
      <protection locked="1" hidden="0"/>
    </xf>
    <xf numFmtId="167" fontId="7" fillId="0" borderId="0" xfId="0" applyNumberFormat="1" applyFont="1" applyFill="1" applyAlignment="1" applyProtection="1">
      <alignment horizontal="general" vertical="bottom"/>
      <protection locked="1" hidden="0"/>
    </xf>
    <xf numFmtId="168" fontId="8" fillId="2" borderId="0" xfId="0" applyNumberFormat="1" applyFont="1" applyFill="1" applyAlignment="1" applyProtection="1">
      <alignment horizontal="general" vertical="bottom"/>
      <protection locked="1" hidden="0"/>
    </xf>
    <xf numFmtId="165" fontId="4" fillId="0" borderId="0" xfId="0" applyNumberFormat="1" applyFont="1" applyFill="1" applyAlignment="1" applyProtection="1">
      <alignment horizontal="general" vertical="bottom"/>
      <protection locked="1" hidden="0"/>
    </xf>
    <xf numFmtId="168" fontId="5" fillId="2" borderId="0" xfId="0" applyNumberFormat="1" applyFont="1" applyFill="1" applyAlignment="1" applyProtection="1">
      <alignment horizontal="general" vertical="bottom"/>
      <protection locked="1" hidden="0"/>
    </xf>
    <xf numFmtId="168" fontId="5" fillId="0" borderId="0" xfId="0" applyNumberFormat="1" applyFont="1" applyFill="1" applyAlignment="1" applyProtection="1">
      <alignment horizontal="general" vertical="bottom" wrapText="1"/>
      <protection locked="1" hidden="0"/>
    </xf>
    <xf numFmtId="164" fontId="3" fillId="0" borderId="2" xfId="0" applyNumberFormat="1" applyFont="1" applyFill="1" applyBorder="1" applyAlignment="1" applyProtection="1">
      <alignment horizontal="general" vertical="bottom"/>
      <protection locked="1" hidden="0"/>
    </xf>
    <xf numFmtId="164" fontId="2" fillId="2" borderId="0" xfId="0" applyNumberFormat="1" applyFont="1" applyFill="1" applyAlignment="1" applyProtection="1">
      <alignment horizontal="general" vertical="bottom"/>
      <protection locked="1" hidden="0"/>
    </xf>
    <xf numFmtId="164" fontId="4" fillId="2" borderId="0" xfId="0" applyNumberFormat="1" applyFont="1" applyFill="1" applyAlignment="1" applyProtection="1">
      <alignment horizontal="general" vertical="bottom"/>
      <protection locked="1" hidden="0"/>
    </xf>
    <xf numFmtId="164" fontId="3" fillId="2" borderId="2" xfId="0" applyNumberFormat="1" applyFont="1" applyFill="1" applyBorder="1" applyAlignment="1" applyProtection="1">
      <alignment horizontal="general" vertical="bottom"/>
      <protection locked="1" hidden="0"/>
    </xf>
    <xf numFmtId="167" fontId="10" fillId="2" borderId="0" xfId="0" applyNumberFormat="1" applyFont="1" applyFill="1" applyAlignment="1" applyProtection="1">
      <alignment horizontal="general" vertical="bottom"/>
      <protection locked="1" hidden="0"/>
    </xf>
    <xf numFmtId="0" fontId="8" fillId="0" borderId="0" xfId="0" applyFont="1" applyFill="1" applyAlignment="1" applyProtection="1">
      <alignment horizontal="general" vertical="bottom"/>
      <protection locked="1" hidden="0"/>
    </xf>
    <xf numFmtId="165" fontId="8" fillId="0" borderId="0" xfId="0" applyNumberFormat="1" applyFont="1" applyFill="1" applyAlignment="1" applyProtection="1">
      <alignment horizontal="general" vertical="bottom" wrapText="1"/>
      <protection locked="1" hidden="0"/>
    </xf>
    <xf numFmtId="0" fontId="8" fillId="2" borderId="0" xfId="0" applyFont="1" applyFill="1" applyAlignment="1" applyProtection="1">
      <alignment horizontal="general" vertical="bottom"/>
      <protection locked="1" hidden="0"/>
    </xf>
    <xf numFmtId="0" fontId="5" fillId="0" borderId="0" xfId="0" applyFont="1" applyFill="1" applyAlignment="1" applyProtection="1">
      <alignment horizontal="general" vertical="bottom"/>
      <protection locked="1" hidden="0"/>
    </xf>
    <xf numFmtId="168" fontId="8" fillId="2" borderId="0" xfId="0" applyNumberFormat="1" applyFont="1" applyFill="1" applyAlignment="1" applyProtection="1">
      <alignment horizontal="general" vertical="bottom" wrapText="1"/>
      <protection locked="1" hidden="0"/>
    </xf>
    <xf numFmtId="168" fontId="2" fillId="0" borderId="0" xfId="0" applyNumberFormat="1" applyFont="1" applyFill="1" applyAlignment="1" applyProtection="1">
      <alignment horizontal="general" vertical="bottom" wrapText="1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theme" Target="theme/theme1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66675</xdr:colOff>
      <xdr:row>0</xdr:row>
      <xdr:rowOff>66675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140"/>
  <sheetViews>
    <sheetView showGridLines="0" workbookViewId="0">
      <pane xSplit="2" ySplit="7" topLeftCell="C8" activePane="bottomRight" state="frozen"/>
    </sheetView>
  </sheetViews>
  <sheetFormatPr defaultRowHeight="15"/>
  <cols>
    <col min="1" max="1" width="3" customWidth="1"/>
    <col min="2" max="2" width="34" customWidth="1"/>
    <col min="3" max="8" width="14" customWidth="1"/>
    <col min="10" max="10" width="90" customWidth="1"/>
  </cols>
  <sheetData>
    <row r="2">
      <c r="B2" s="2" t="s">
        <v>0</v>
      </c>
      <c r="C2" s="2"/>
      <c r="D2" s="2"/>
      <c r="E2" s="2"/>
      <c r="F2" s="2"/>
      <c r="G2" s="2"/>
      <c r="H2" s="2"/>
    </row>
    <row r="3">
      <c r="B3" s="2" t="s">
        <v>1</v>
      </c>
      <c r="C3" s="2"/>
      <c r="D3" s="2"/>
      <c r="E3" s="2"/>
      <c r="F3" s="2"/>
      <c r="G3" s="2"/>
      <c r="H3" s="2"/>
    </row>
    <row r="4">
      <c r="B4" s="2" t="s">
        <v>2</v>
      </c>
      <c r="C4" s="2"/>
      <c r="D4" s="2"/>
      <c r="E4" s="2"/>
      <c r="F4" s="2"/>
      <c r="G4" s="2"/>
      <c r="H4" s="2"/>
    </row>
    <row r="5">
      <c r="B5" s="11"/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</row>
    <row r="6">
      <c r="B6" s="11"/>
      <c r="C6" s="6">
        <v>45900</v>
      </c>
      <c r="D6" s="6">
        <v>45991</v>
      </c>
      <c r="E6" s="6">
        <v>46081</v>
      </c>
      <c r="F6" s="6">
        <v>46081</v>
      </c>
      <c r="G6" s="6">
        <v>46173</v>
      </c>
      <c r="H6" s="6">
        <v>46265</v>
      </c>
    </row>
    <row r="7">
      <c r="B7" s="11"/>
      <c r="C7" s="11">
        <v>92</v>
      </c>
      <c r="D7" s="11">
        <v>91</v>
      </c>
      <c r="E7" s="11">
        <v>90</v>
      </c>
      <c r="F7" s="11">
        <v>365</v>
      </c>
      <c r="G7" s="11">
        <v>92</v>
      </c>
      <c r="H7" s="11">
        <v>92</v>
      </c>
    </row>
    <row r="8">
      <c r="B8" s="2"/>
      <c r="C8" s="2"/>
      <c r="D8" s="2"/>
      <c r="E8" s="2"/>
      <c r="F8" s="2"/>
      <c r="G8" s="2"/>
      <c r="H8" s="4"/>
    </row>
    <row r="9">
      <c r="B9" s="27" t="s">
        <v>9</v>
      </c>
      <c r="C9" s="2"/>
      <c r="D9" s="2"/>
      <c r="E9" s="2"/>
      <c r="F9" s="2"/>
      <c r="G9" s="2"/>
      <c r="H9" s="4"/>
    </row>
    <row r="10">
      <c r="B10" s="3" t="s">
        <v>10</v>
      </c>
      <c r="C10" s="2" t="s">
        <v>0</v>
      </c>
      <c r="D10" s="2"/>
      <c r="E10" s="2"/>
      <c r="F10" s="2"/>
      <c r="G10" s="2"/>
      <c r="H10" s="4"/>
    </row>
    <row r="11">
      <c r="B11" s="3" t="s">
        <v>11</v>
      </c>
      <c r="C11" s="2" t="s">
        <v>12</v>
      </c>
      <c r="D11" s="2"/>
      <c r="E11" s="2"/>
      <c r="F11" s="2"/>
      <c r="G11" s="2"/>
      <c r="H11" s="4"/>
    </row>
    <row r="12">
      <c r="B12" s="3" t="s">
        <v>13</v>
      </c>
      <c r="C12" s="9" t="s">
        <v>14</v>
      </c>
      <c r="D12" s="2"/>
      <c r="E12" s="2"/>
      <c r="F12" s="2"/>
      <c r="G12" s="2"/>
      <c r="H12" s="4"/>
    </row>
    <row r="13">
      <c r="B13" s="3" t="s">
        <v>15</v>
      </c>
      <c r="C13" s="2" t="s">
        <v>16</v>
      </c>
      <c r="D13" s="2"/>
      <c r="E13" s="2"/>
      <c r="F13" s="2"/>
      <c r="G13" s="2"/>
      <c r="H13" s="4"/>
    </row>
    <row r="14">
      <c r="B14" s="3" t="s">
        <v>17</v>
      </c>
      <c r="C14" s="2" t="s">
        <v>18</v>
      </c>
      <c r="D14" s="2"/>
      <c r="E14" s="2"/>
      <c r="F14" s="2"/>
      <c r="G14" s="2"/>
      <c r="H14" s="4"/>
    </row>
    <row r="15">
      <c r="B15" s="3" t="s">
        <v>19</v>
      </c>
      <c r="C15" s="2" t="s">
        <v>20</v>
      </c>
      <c r="D15" s="2"/>
      <c r="E15" s="2"/>
      <c r="F15" s="2"/>
      <c r="G15" s="2"/>
      <c r="H15" s="4"/>
    </row>
    <row r="16">
      <c r="B16" s="3" t="s">
        <v>21</v>
      </c>
      <c r="C16" s="35">
        <f>Inputs!C132</f>
        <v>46294</v>
      </c>
      <c r="D16" s="2"/>
      <c r="E16" s="2"/>
      <c r="F16" s="2"/>
      <c r="G16" s="2"/>
      <c r="H16" s="4"/>
    </row>
    <row r="17">
      <c r="B17" s="3" t="s">
        <v>22</v>
      </c>
      <c r="C17" s="35">
        <f>Sources!C20</f>
        <v>46289</v>
      </c>
      <c r="D17" s="2"/>
      <c r="E17" s="2"/>
      <c r="F17" s="2"/>
      <c r="G17" s="2"/>
      <c r="H17" s="4"/>
    </row>
    <row r="18">
      <c r="B18" s="3"/>
      <c r="C18" s="2"/>
      <c r="D18" s="2"/>
      <c r="E18" s="2"/>
      <c r="F18" s="2"/>
      <c r="G18" s="2"/>
      <c r="H18" s="4"/>
    </row>
    <row r="19">
      <c r="B19" s="3" t="s">
        <v>23</v>
      </c>
      <c r="C19" s="2"/>
      <c r="D19" s="2"/>
      <c r="E19" s="2"/>
      <c r="F19" s="2"/>
      <c r="G19" s="2"/>
      <c r="H19" s="4"/>
    </row>
    <row r="20">
      <c r="B20" s="29" t="s">
        <v>24</v>
      </c>
      <c r="C20" s="7" t="s">
        <v>25</v>
      </c>
      <c r="D20" s="7" t="s">
        <v>26</v>
      </c>
      <c r="E20" s="7" t="s">
        <v>27</v>
      </c>
      <c r="F20" s="7" t="s">
        <v>28</v>
      </c>
      <c r="G20" s="2"/>
      <c r="H20" s="4"/>
    </row>
    <row r="21" ht="26.25">
      <c r="B21" s="3" t="s">
        <v>29</v>
      </c>
      <c r="C21" s="17">
        <f>'Income Statement'!H10</f>
        <v>6807.764200879322</v>
      </c>
      <c r="D21" s="17">
        <f>Inputs!C150</f>
        <v>6984.29</v>
      </c>
      <c r="E21" s="13">
        <f>C21-D21</f>
        <v>-176.52579912067813</v>
      </c>
      <c r="F21" s="10" t="str">
        <f>Guidance!G16</f>
        <v>unavailable</v>
      </c>
      <c r="G21" s="2"/>
      <c r="H21" s="4"/>
    </row>
    <row r="22">
      <c r="B22" s="3" t="s">
        <v>30</v>
      </c>
      <c r="C22" s="17">
        <f>'Income Statement'!H46</f>
        <v>87.78750000000014</v>
      </c>
      <c r="D22" s="13" t="s">
        <v>31</v>
      </c>
      <c r="E22" s="13" t="s">
        <v>31</v>
      </c>
      <c r="F22" s="10" t="str">
        <f>Guidance!G17</f>
        <v>unavailable</v>
      </c>
      <c r="G22" s="2"/>
      <c r="H22" s="4"/>
    </row>
    <row r="23">
      <c r="B23" s="3" t="s">
        <v>32</v>
      </c>
      <c r="C23" s="8">
        <f>'Income Statement'!H45</f>
        <v>0.617786769880367</v>
      </c>
      <c r="D23" s="8">
        <f>Inputs!C133</f>
        <v>0.72</v>
      </c>
      <c r="E23" s="5">
        <f>C23-D23</f>
        <v>-0.10221323011963301</v>
      </c>
      <c r="F23" s="10" t="str">
        <f>Guidance!G17</f>
        <v>unavailable</v>
      </c>
      <c r="G23" s="2"/>
      <c r="H23" s="4"/>
    </row>
    <row r="24">
      <c r="B24" s="3" t="s">
        <v>33</v>
      </c>
      <c r="C24" s="8">
        <f>'Income Statement'!H40</f>
        <v>0.617786769880367</v>
      </c>
      <c r="D24" s="8">
        <f>Inputs!C142</f>
        <v>0.7</v>
      </c>
      <c r="E24" s="5">
        <f>C24-D24</f>
        <v>-0.082213230119633</v>
      </c>
      <c r="F24" s="10" t="str">
        <f>Guidance!G17</f>
        <v>unavailable</v>
      </c>
      <c r="G24" s="2"/>
      <c r="H24" s="4"/>
    </row>
    <row r="25">
      <c r="B25" s="3" t="s">
        <v>34</v>
      </c>
      <c r="C25" s="30">
        <v>0.36</v>
      </c>
      <c r="D25" s="2"/>
      <c r="E25" s="2"/>
      <c r="F25" s="2"/>
      <c r="G25" s="2"/>
      <c r="H25" s="4"/>
    </row>
    <row r="26">
      <c r="B26" s="3" t="s">
        <v>35</v>
      </c>
      <c r="C26" s="2" t="s">
        <v>36</v>
      </c>
      <c r="D26" s="2"/>
      <c r="E26" s="2"/>
      <c r="F26" s="2"/>
      <c r="G26" s="2"/>
      <c r="H26" s="4"/>
    </row>
    <row r="27">
      <c r="B27" s="3"/>
      <c r="C27" s="2"/>
      <c r="D27" s="2"/>
      <c r="E27" s="2"/>
      <c r="F27" s="2"/>
      <c r="G27" s="2"/>
      <c r="H27" s="4"/>
    </row>
    <row r="28">
      <c r="B28" s="3" t="s">
        <v>37</v>
      </c>
      <c r="C28" s="17">
        <f>'Income Statement'!H34</f>
        <v>87.78750000000014</v>
      </c>
      <c r="D28" s="17">
        <f>Inputs!C161</f>
        <v>105.31</v>
      </c>
      <c r="E28" s="13">
        <f>C28-D28</f>
        <v>-17.522499999999866</v>
      </c>
      <c r="F28" s="10" t="str">
        <f>Guidance!G17</f>
        <v>unavailable</v>
      </c>
      <c r="G28" s="2"/>
      <c r="H28" s="4"/>
    </row>
    <row r="29">
      <c r="B29" s="3" t="s">
        <v>38</v>
      </c>
      <c r="C29" s="10" t="str">
        <f>IF(AND(ABS('Revenue summary'!H40)&lt;0.000001,ABS('Segment - Sales Operations'!H82)&lt;0.000001,ABS('Segment - Auto Finance'!H59)&lt;0.000001,ABS('Balance Sheet'!H44)&lt;0.000001,ABS('Cash Flow Statement'!H27)&lt;0.000001,ABS('Cash Flow Statement'!H29)&lt;0.000001,ABS('Cash Flow Statement'!H49)&lt;0.000001,ABS('Cash Flow Statement'!H57)&lt;0.000001,ABS('Cash Flow Statement'!H68)&lt;0.000001,ABS('Income Statement'!H47)&lt;0.000001,ABS('Income Statement'!H48)&lt;0.000001,ABS(C21-'Income Statement'!H10)&lt;0.000001,ABS(C23-'Income Statement'!H45)&lt;0.000001),"PASS","FAIL")</f>
        <v>PASS</v>
      </c>
      <c r="D29" s="2"/>
      <c r="E29" s="2"/>
      <c r="F29" s="2"/>
      <c r="G29" s="2"/>
      <c r="H29" s="4"/>
      <c r="J29" s="2"/>
    </row>
    <row r="30">
      <c r="B30" s="3" t="s">
        <v>39</v>
      </c>
      <c r="C30" s="2" t="s">
        <v>40</v>
      </c>
      <c r="D30" s="2"/>
      <c r="E30" s="2"/>
      <c r="F30" s="2"/>
      <c r="G30" s="2"/>
      <c r="H30" s="4"/>
      <c r="J30" s="2" t="s">
        <v>41</v>
      </c>
    </row>
    <row r="31">
      <c r="B31" s="3"/>
      <c r="C31" s="2"/>
      <c r="D31" s="2"/>
      <c r="E31" s="2"/>
      <c r="F31" s="2"/>
      <c r="G31" s="2"/>
      <c r="H31" s="4"/>
    </row>
    <row r="32">
      <c r="H32" s="1"/>
    </row>
    <row r="33">
      <c r="H33" s="1"/>
    </row>
    <row r="34">
      <c r="H34" s="1"/>
    </row>
    <row r="35">
      <c r="H35" s="1"/>
    </row>
    <row r="36">
      <c r="H36" s="1"/>
    </row>
    <row r="37">
      <c r="H37" s="1"/>
    </row>
    <row r="38">
      <c r="H38" s="1"/>
    </row>
    <row r="39">
      <c r="H39" s="1"/>
    </row>
    <row r="40">
      <c r="H40" s="1"/>
    </row>
    <row r="41">
      <c r="H41" s="1"/>
    </row>
    <row r="42">
      <c r="H42" s="1"/>
    </row>
    <row r="43">
      <c r="H43" s="1"/>
    </row>
    <row r="44">
      <c r="H44" s="1"/>
    </row>
    <row r="45">
      <c r="H45" s="1"/>
    </row>
    <row r="46">
      <c r="H46" s="1"/>
    </row>
    <row r="47">
      <c r="H47" s="1"/>
    </row>
    <row r="48">
      <c r="H48" s="1"/>
    </row>
    <row r="49">
      <c r="H49" s="1"/>
    </row>
    <row r="50">
      <c r="H50" s="1"/>
    </row>
    <row r="51">
      <c r="H51" s="1"/>
    </row>
    <row r="52">
      <c r="H52" s="1"/>
    </row>
    <row r="53">
      <c r="H53" s="1"/>
    </row>
    <row r="54">
      <c r="H54" s="1"/>
    </row>
    <row r="55">
      <c r="H55" s="1"/>
    </row>
    <row r="56">
      <c r="H56" s="1"/>
    </row>
    <row r="57">
      <c r="H57" s="1"/>
    </row>
    <row r="58">
      <c r="H58" s="1"/>
    </row>
    <row r="59">
      <c r="H59" s="1"/>
    </row>
    <row r="60">
      <c r="H60" s="1"/>
    </row>
    <row r="61">
      <c r="H61" s="1"/>
    </row>
    <row r="62">
      <c r="H62" s="1"/>
    </row>
    <row r="63">
      <c r="H63" s="1"/>
    </row>
    <row r="64">
      <c r="H64" s="1"/>
    </row>
    <row r="65">
      <c r="H65" s="1"/>
    </row>
    <row r="66">
      <c r="H66" s="1"/>
    </row>
    <row r="67">
      <c r="H67" s="1"/>
    </row>
    <row r="68">
      <c r="H68" s="1"/>
    </row>
    <row r="69">
      <c r="H69" s="1"/>
    </row>
    <row r="70">
      <c r="H70" s="1"/>
    </row>
    <row r="71">
      <c r="H71" s="1"/>
    </row>
    <row r="72">
      <c r="H72" s="1"/>
    </row>
    <row r="73">
      <c r="H73" s="1"/>
    </row>
    <row r="74">
      <c r="H74" s="1"/>
    </row>
    <row r="75">
      <c r="H75" s="1"/>
    </row>
    <row r="76">
      <c r="H76" s="1"/>
    </row>
    <row r="77">
      <c r="H77" s="1"/>
    </row>
    <row r="78">
      <c r="H78" s="1"/>
    </row>
    <row r="79">
      <c r="H79" s="1"/>
    </row>
    <row r="80">
      <c r="H80" s="1"/>
    </row>
    <row r="81">
      <c r="H81" s="1"/>
    </row>
    <row r="82">
      <c r="H82" s="1"/>
    </row>
    <row r="83">
      <c r="H83" s="1"/>
    </row>
    <row r="84">
      <c r="H84" s="1"/>
    </row>
    <row r="85">
      <c r="H85" s="1"/>
    </row>
    <row r="86">
      <c r="H86" s="1"/>
    </row>
    <row r="87">
      <c r="H87" s="1"/>
    </row>
    <row r="88">
      <c r="H88" s="1"/>
    </row>
    <row r="89">
      <c r="H89" s="1"/>
    </row>
    <row r="90">
      <c r="H90" s="1"/>
    </row>
    <row r="91">
      <c r="H91" s="1"/>
    </row>
    <row r="92">
      <c r="H92" s="1"/>
    </row>
    <row r="93">
      <c r="H93" s="1"/>
    </row>
    <row r="94">
      <c r="H94" s="1"/>
    </row>
    <row r="95">
      <c r="H95" s="1"/>
    </row>
    <row r="96">
      <c r="H96" s="1"/>
    </row>
    <row r="97">
      <c r="H97" s="1"/>
    </row>
    <row r="98">
      <c r="H98" s="1"/>
    </row>
    <row r="99">
      <c r="H99" s="1"/>
    </row>
    <row r="100">
      <c r="H100" s="1"/>
    </row>
    <row r="101">
      <c r="H101" s="1"/>
    </row>
    <row r="102">
      <c r="H102" s="1"/>
    </row>
    <row r="103">
      <c r="H103" s="1"/>
    </row>
    <row r="104">
      <c r="H104" s="1"/>
    </row>
    <row r="105">
      <c r="H105" s="1"/>
    </row>
    <row r="106">
      <c r="H106" s="1"/>
    </row>
    <row r="107">
      <c r="H107" s="1"/>
    </row>
    <row r="108">
      <c r="H108" s="1"/>
    </row>
    <row r="109">
      <c r="H109" s="1"/>
    </row>
    <row r="110">
      <c r="H110" s="1"/>
    </row>
    <row r="111">
      <c r="H111" s="1"/>
    </row>
    <row r="112">
      <c r="H112" s="1"/>
    </row>
    <row r="113">
      <c r="H113" s="1"/>
    </row>
    <row r="114">
      <c r="H114" s="1"/>
    </row>
    <row r="115">
      <c r="H115" s="1"/>
    </row>
    <row r="116">
      <c r="H116" s="1"/>
    </row>
    <row r="117">
      <c r="H117" s="1"/>
    </row>
    <row r="118">
      <c r="H118" s="1"/>
    </row>
    <row r="119">
      <c r="H119" s="1"/>
    </row>
    <row r="120">
      <c r="H120" s="1"/>
    </row>
    <row r="121">
      <c r="H121" s="1"/>
    </row>
    <row r="122">
      <c r="H122" s="1"/>
    </row>
    <row r="123">
      <c r="H123" s="1"/>
    </row>
    <row r="124">
      <c r="H124" s="1"/>
    </row>
    <row r="125">
      <c r="H125" s="1"/>
    </row>
    <row r="126">
      <c r="H126" s="1"/>
    </row>
    <row r="127">
      <c r="H127" s="1"/>
    </row>
    <row r="128">
      <c r="H128" s="1"/>
    </row>
    <row r="129">
      <c r="H129" s="1"/>
    </row>
    <row r="130">
      <c r="H130" s="1"/>
    </row>
    <row r="131">
      <c r="H131" s="1"/>
    </row>
    <row r="132">
      <c r="H132" s="1"/>
    </row>
    <row r="133">
      <c r="H133" s="1"/>
    </row>
    <row r="134">
      <c r="H134" s="1"/>
    </row>
    <row r="135">
      <c r="H135" s="1"/>
    </row>
    <row r="136">
      <c r="H136" s="1"/>
    </row>
    <row r="137">
      <c r="H137" s="1"/>
    </row>
    <row r="138">
      <c r="H138" s="1"/>
    </row>
    <row r="139">
      <c r="H139" s="1"/>
    </row>
    <row r="140">
      <c r="H140" s="1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H140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4" customWidth="1"/>
    <col min="3" max="8" width="14" customWidth="1"/>
  </cols>
  <sheetData>
    <row r="2">
      <c r="B2" s="2" t="s">
        <v>0</v>
      </c>
      <c r="C2" s="2"/>
      <c r="D2" s="2"/>
      <c r="E2" s="2"/>
      <c r="F2" s="2"/>
      <c r="G2" s="2"/>
      <c r="H2" s="2"/>
    </row>
    <row r="3">
      <c r="B3" s="2" t="s">
        <v>42</v>
      </c>
      <c r="C3" s="2"/>
      <c r="D3" s="2"/>
      <c r="E3" s="2"/>
      <c r="F3" s="2"/>
      <c r="G3" s="2"/>
      <c r="H3" s="2"/>
    </row>
    <row r="4">
      <c r="B4" s="2" t="s">
        <v>2</v>
      </c>
      <c r="C4" s="2"/>
      <c r="D4" s="2"/>
      <c r="E4" s="2"/>
      <c r="F4" s="2"/>
      <c r="G4" s="2"/>
      <c r="H4" s="2"/>
    </row>
    <row r="5">
      <c r="B5" s="11"/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</row>
    <row r="6">
      <c r="B6" s="11"/>
      <c r="C6" s="6">
        <v>45900</v>
      </c>
      <c r="D6" s="6">
        <v>45991</v>
      </c>
      <c r="E6" s="6">
        <v>46081</v>
      </c>
      <c r="F6" s="6">
        <v>46081</v>
      </c>
      <c r="G6" s="6">
        <v>46173</v>
      </c>
      <c r="H6" s="6">
        <v>46265</v>
      </c>
    </row>
    <row r="7">
      <c r="B7" s="11"/>
      <c r="C7" s="11">
        <v>92</v>
      </c>
      <c r="D7" s="11">
        <v>91</v>
      </c>
      <c r="E7" s="11">
        <v>90</v>
      </c>
      <c r="F7" s="11">
        <v>365</v>
      </c>
      <c r="G7" s="11">
        <v>92</v>
      </c>
      <c r="H7" s="11">
        <v>92</v>
      </c>
    </row>
    <row r="8">
      <c r="B8" s="2"/>
      <c r="C8" s="2"/>
      <c r="D8" s="2"/>
      <c r="E8" s="2"/>
      <c r="F8" s="2"/>
      <c r="G8" s="2"/>
      <c r="H8" s="4"/>
    </row>
    <row r="9">
      <c r="B9" s="3" t="s">
        <v>43</v>
      </c>
      <c r="C9" s="13"/>
      <c r="D9" s="13"/>
      <c r="E9" s="13"/>
      <c r="F9" s="13"/>
      <c r="G9" s="13"/>
      <c r="H9" s="14"/>
    </row>
    <row r="10">
      <c r="B10" s="15" t="s">
        <v>44</v>
      </c>
      <c r="C10" s="20">
        <f>'Segment - Sales Operations'!C43</f>
        <v>6594.68</v>
      </c>
      <c r="D10" s="20">
        <f>'Segment - Sales Operations'!D43</f>
        <v>5793.95</v>
      </c>
      <c r="E10" s="20">
        <f>'Segment - Sales Operations'!E43</f>
        <v>5945.96</v>
      </c>
      <c r="F10" s="20">
        <f>'Segment - Sales Operations'!F43</f>
        <v>25881.131</v>
      </c>
      <c r="G10" s="20">
        <f>'Segment - Sales Operations'!G43</f>
        <v>8013.52</v>
      </c>
      <c r="H10" s="25">
        <f>'Segment - Sales Operations'!H43</f>
        <v>6807.764200879322</v>
      </c>
    </row>
    <row r="11">
      <c r="B11" s="22" t="s">
        <v>45</v>
      </c>
      <c r="C11" s="12"/>
      <c r="D11" s="12"/>
      <c r="E11" s="12"/>
      <c r="F11" s="12"/>
      <c r="G11" s="12"/>
      <c r="H11" s="19">
        <f>IFERROR(H10/C10-1,0)</f>
        <v>0.032311530033196645</v>
      </c>
    </row>
    <row r="12">
      <c r="B12" s="22" t="s">
        <v>46</v>
      </c>
      <c r="C12" s="12"/>
      <c r="D12" s="12">
        <f>IFERROR(D10/C10-1,0)</f>
        <v>-0.1214205996348573</v>
      </c>
      <c r="E12" s="12">
        <f>IFERROR(E10/D10-1,0)</f>
        <v>0.02623598753872569</v>
      </c>
      <c r="F12" s="12"/>
      <c r="G12" s="12">
        <f>IFERROR(G10/E10-1,0)</f>
        <v>0.3477251781041246</v>
      </c>
      <c r="H12" s="19">
        <f>IFERROR(H10/G10-1,0)</f>
        <v>-0.15046518872114611</v>
      </c>
    </row>
    <row r="13">
      <c r="B13" s="22" t="s">
        <v>47</v>
      </c>
      <c r="C13" s="12">
        <f>IFERROR(C10/C22,0)</f>
        <v>1</v>
      </c>
      <c r="D13" s="12">
        <f>IFERROR(D10/D22,0)</f>
        <v>1</v>
      </c>
      <c r="E13" s="12">
        <f>IFERROR(E10/E22,0)</f>
        <v>1</v>
      </c>
      <c r="F13" s="12">
        <f>IFERROR(F10/F22,0)</f>
        <v>1</v>
      </c>
      <c r="G13" s="12">
        <f>IFERROR(G10/G22,0)</f>
        <v>1</v>
      </c>
      <c r="H13" s="19">
        <f>IFERROR(H10/H22,0)</f>
        <v>1</v>
      </c>
    </row>
    <row r="14" ht="26.25">
      <c r="B14" s="15" t="s">
        <v>48</v>
      </c>
      <c r="C14" s="20">
        <f>'Segment - Auto Finance'!C10</f>
        <v>489.8</v>
      </c>
      <c r="D14" s="20">
        <f>'Segment - Auto Finance'!D10</f>
        <v>448</v>
      </c>
      <c r="E14" s="20">
        <f>'Segment - Auto Finance'!E10</f>
        <v>441</v>
      </c>
      <c r="F14" s="20">
        <f>'Segment - Auto Finance'!F10</f>
        <v>1864.2</v>
      </c>
      <c r="G14" s="20">
        <f>'Segment - Auto Finance'!G10</f>
        <v>460.9</v>
      </c>
      <c r="H14" s="25">
        <f>'Segment - Auto Finance'!H10</f>
        <v>456.99999999999994</v>
      </c>
    </row>
    <row r="15">
      <c r="B15" s="22" t="s">
        <v>45</v>
      </c>
      <c r="C15" s="12"/>
      <c r="D15" s="12"/>
      <c r="E15" s="12"/>
      <c r="F15" s="12"/>
      <c r="G15" s="12"/>
      <c r="H15" s="19">
        <f>IFERROR(H14/C14-1,0)</f>
        <v>-0.06696610861576169</v>
      </c>
    </row>
    <row r="16">
      <c r="B16" s="22" t="s">
        <v>46</v>
      </c>
      <c r="C16" s="12"/>
      <c r="D16" s="12">
        <f>IFERROR(D14/C14-1,0)</f>
        <v>-0.08534095549203757</v>
      </c>
      <c r="E16" s="12">
        <f>IFERROR(E14/D14-1,0)</f>
        <v>-0.015625</v>
      </c>
      <c r="F16" s="12"/>
      <c r="G16" s="12">
        <f>IFERROR(G14/E14-1,0)</f>
        <v>0.04512471655328798</v>
      </c>
      <c r="H16" s="19">
        <f>IFERROR(H14/G14-1,0)</f>
        <v>-0.008461705359080085</v>
      </c>
    </row>
    <row r="17">
      <c r="B17" s="22" t="s">
        <v>49</v>
      </c>
      <c r="C17" s="12">
        <f>IFERROR(C14/C22,0)</f>
        <v>0.07427198893653672</v>
      </c>
      <c r="D17" s="12">
        <f>IFERROR(D14/D22,0)</f>
        <v>0.077322034190837</v>
      </c>
      <c r="E17" s="12">
        <f>IFERROR(E14/E22,0)</f>
        <v>0.0741680065119846</v>
      </c>
      <c r="F17" s="12">
        <f>IFERROR(F14/F22,0)</f>
        <v>0.07202930969284148</v>
      </c>
      <c r="G17" s="12">
        <f>IFERROR(G14/G22,0)</f>
        <v>0.05751529914444588</v>
      </c>
      <c r="H17" s="19">
        <f>IFERROR(H14/H22,0)</f>
        <v>0.06712923457909599</v>
      </c>
    </row>
    <row r="18" ht="36.75">
      <c r="B18" s="15" t="s">
        <v>50</v>
      </c>
      <c r="C18" s="23">
        <f>-C14</f>
        <v>-489.8</v>
      </c>
      <c r="D18" s="23">
        <f>-D14</f>
        <v>-448</v>
      </c>
      <c r="E18" s="23">
        <f>-E14</f>
        <v>-441</v>
      </c>
      <c r="F18" s="23">
        <f>-F14</f>
        <v>-1864.2</v>
      </c>
      <c r="G18" s="23">
        <f>-G14</f>
        <v>-460.9</v>
      </c>
      <c r="H18" s="18">
        <f>-H14</f>
        <v>-456.99999999999994</v>
      </c>
    </row>
    <row r="19">
      <c r="B19" s="22" t="s">
        <v>45</v>
      </c>
      <c r="C19" s="12"/>
      <c r="D19" s="12"/>
      <c r="E19" s="12"/>
      <c r="F19" s="12"/>
      <c r="G19" s="12"/>
      <c r="H19" s="19">
        <f>IFERROR(H18/C18-1,0)</f>
        <v>-0.06696610861576169</v>
      </c>
    </row>
    <row r="20">
      <c r="B20" s="22" t="s">
        <v>46</v>
      </c>
      <c r="C20" s="12"/>
      <c r="D20" s="12">
        <f>IFERROR(D18/C18-1,0)</f>
        <v>-0.08534095549203757</v>
      </c>
      <c r="E20" s="12">
        <f>IFERROR(E18/D18-1,0)</f>
        <v>-0.015625</v>
      </c>
      <c r="F20" s="12"/>
      <c r="G20" s="12">
        <f>IFERROR(G18/E18-1,0)</f>
        <v>0.04512471655328798</v>
      </c>
      <c r="H20" s="19">
        <f>IFERROR(H18/G18-1,0)</f>
        <v>-0.008461705359080085</v>
      </c>
    </row>
    <row r="21">
      <c r="B21" s="22" t="s">
        <v>49</v>
      </c>
      <c r="C21" s="12">
        <f>IFERROR(C18/C22,0)</f>
        <v>-0.07427198893653672</v>
      </c>
      <c r="D21" s="12">
        <f>IFERROR(D18/D22,0)</f>
        <v>-0.077322034190837</v>
      </c>
      <c r="E21" s="12">
        <f>IFERROR(E18/E22,0)</f>
        <v>-0.0741680065119846</v>
      </c>
      <c r="F21" s="12">
        <f>IFERROR(F18/F22,0)</f>
        <v>-0.07202930969284148</v>
      </c>
      <c r="G21" s="12">
        <f>IFERROR(G18/G22,0)</f>
        <v>-0.05751529914444588</v>
      </c>
      <c r="H21" s="19">
        <f>IFERROR(H18/H22,0)</f>
        <v>-0.06712923457909599</v>
      </c>
    </row>
    <row r="22" ht="26.25">
      <c r="B22" s="15" t="s">
        <v>51</v>
      </c>
      <c r="C22" s="23">
        <f>SUM(C10,C14,C18)</f>
        <v>6594.68</v>
      </c>
      <c r="D22" s="23">
        <f>SUM(D10,D14,D18)</f>
        <v>5793.95</v>
      </c>
      <c r="E22" s="23">
        <f>SUM(E10,E14,E18)</f>
        <v>5945.96</v>
      </c>
      <c r="F22" s="23">
        <f>SUM(F10,F14,F18)</f>
        <v>25881.131</v>
      </c>
      <c r="G22" s="23">
        <f>SUM(G10,G14,G18)</f>
        <v>8013.52</v>
      </c>
      <c r="H22" s="18">
        <f>SUM(H10,H14,H18)</f>
        <v>6807.764200879322</v>
      </c>
    </row>
    <row r="23">
      <c r="B23" s="22" t="s">
        <v>45</v>
      </c>
      <c r="C23" s="12"/>
      <c r="D23" s="12"/>
      <c r="E23" s="12"/>
      <c r="F23" s="12"/>
      <c r="G23" s="12"/>
      <c r="H23" s="19">
        <f>IFERROR(H22/C22-1,0)</f>
        <v>0.032311530033196645</v>
      </c>
    </row>
    <row r="24">
      <c r="B24" s="22" t="s">
        <v>46</v>
      </c>
      <c r="C24" s="12"/>
      <c r="D24" s="12">
        <f>IFERROR(D22/C22-1,0)</f>
        <v>-0.1214205996348573</v>
      </c>
      <c r="E24" s="12">
        <f>IFERROR(E22/D22-1,0)</f>
        <v>0.02623598753872569</v>
      </c>
      <c r="F24" s="12"/>
      <c r="G24" s="12">
        <f>IFERROR(G22/E22-1,0)</f>
        <v>0.3477251781041246</v>
      </c>
      <c r="H24" s="19">
        <f>IFERROR(H22/G22-1,0)</f>
        <v>-0.15046518872114611</v>
      </c>
    </row>
    <row r="25">
      <c r="B25" s="22" t="s">
        <v>52</v>
      </c>
      <c r="C25" s="12">
        <f>C26/C22</f>
        <v>0.7992351410530912</v>
      </c>
      <c r="D25" s="12">
        <f>D26/D22</f>
        <v>0.7849912408633143</v>
      </c>
      <c r="E25" s="12">
        <f>E26/E22</f>
        <v>0.8039071907648219</v>
      </c>
      <c r="F25" s="12">
        <f>F26/F22</f>
        <v>0.7999032190672039</v>
      </c>
      <c r="G25" s="12">
        <f>G26/G22</f>
        <v>0.7975646157992992</v>
      </c>
      <c r="H25" s="19">
        <f>H26/H22</f>
        <v>0.8032910395656653</v>
      </c>
    </row>
    <row r="26">
      <c r="B26" s="15" t="s">
        <v>53</v>
      </c>
      <c r="C26" s="20">
        <f>'Segment - Sales Operations'!C16</f>
        <v>5270.7</v>
      </c>
      <c r="D26" s="20">
        <f>'Segment - Sales Operations'!D16</f>
        <v>4548.2</v>
      </c>
      <c r="E26" s="20">
        <f>'Segment - Sales Operations'!E16</f>
        <v>4780</v>
      </c>
      <c r="F26" s="20">
        <f>'Segment - Sales Operations'!F16</f>
        <v>20702.4</v>
      </c>
      <c r="G26" s="20">
        <f>'Segment - Sales Operations'!G16</f>
        <v>6391.3</v>
      </c>
      <c r="H26" s="25">
        <f>'Segment - Sales Operations'!H16</f>
        <v>5468.615982042271</v>
      </c>
    </row>
    <row r="27">
      <c r="B27" s="22" t="s">
        <v>45</v>
      </c>
      <c r="C27" s="12"/>
      <c r="D27" s="12"/>
      <c r="E27" s="12"/>
      <c r="F27" s="12"/>
      <c r="G27" s="12"/>
      <c r="H27" s="19">
        <f>IFERROR(H26/C26-1,0)</f>
        <v>0.03755022711257916</v>
      </c>
    </row>
    <row r="28">
      <c r="B28" s="22" t="s">
        <v>46</v>
      </c>
      <c r="C28" s="12"/>
      <c r="D28" s="12">
        <f>IFERROR(D26/C26-1,0)</f>
        <v>-0.13707856641432825</v>
      </c>
      <c r="E28" s="12">
        <f>IFERROR(E26/D26-1,0)</f>
        <v>0.050965217008926755</v>
      </c>
      <c r="F28" s="12"/>
      <c r="G28" s="12">
        <f>IFERROR(G26/E26-1,0)</f>
        <v>0.33709205020920496</v>
      </c>
      <c r="H28" s="19">
        <f>IFERROR(H26/G26-1,0)</f>
        <v>-0.14436562482714466</v>
      </c>
    </row>
    <row r="29">
      <c r="B29" s="15" t="s">
        <v>54</v>
      </c>
      <c r="C29" s="20">
        <f>'Segment - Sales Operations'!C28</f>
        <v>1149.6</v>
      </c>
      <c r="D29" s="20">
        <f>'Segment - Sales Operations'!D28</f>
        <v>1095.1</v>
      </c>
      <c r="E29" s="20">
        <f>'Segment - Sales Operations'!E28</f>
        <v>1007.1</v>
      </c>
      <c r="F29" s="20">
        <f>'Segment - Sales Operations'!F28</f>
        <v>4504.6</v>
      </c>
      <c r="G29" s="20">
        <f>'Segment - Sales Operations'!G28</f>
        <v>1427.6</v>
      </c>
      <c r="H29" s="25">
        <f>'Segment - Sales Operations'!H28</f>
        <v>1167.1482188370508</v>
      </c>
    </row>
    <row r="30">
      <c r="B30" s="22" t="s">
        <v>45</v>
      </c>
      <c r="C30" s="12"/>
      <c r="D30" s="12"/>
      <c r="E30" s="12"/>
      <c r="F30" s="12"/>
      <c r="G30" s="12"/>
      <c r="H30" s="19">
        <f>IFERROR(H29/C29-1,0)</f>
        <v>0.015264630164449233</v>
      </c>
    </row>
    <row r="31">
      <c r="B31" s="22" t="s">
        <v>46</v>
      </c>
      <c r="C31" s="12"/>
      <c r="D31" s="12">
        <f>IFERROR(D29/C29-1,0)</f>
        <v>-0.0474077940153097</v>
      </c>
      <c r="E31" s="12">
        <f>IFERROR(E29/D29-1,0)</f>
        <v>-0.08035795817733526</v>
      </c>
      <c r="F31" s="12"/>
      <c r="G31" s="12">
        <f>IFERROR(G29/E29-1,0)</f>
        <v>0.41753549796445233</v>
      </c>
      <c r="H31" s="19">
        <f>IFERROR(H29/G29-1,0)</f>
        <v>-0.18244030622229557</v>
      </c>
    </row>
    <row r="32">
      <c r="B32" s="15" t="s">
        <v>55</v>
      </c>
      <c r="C32" s="23">
        <f>SUM(C35:C39)</f>
        <v>174.38000000000048</v>
      </c>
      <c r="D32" s="23">
        <f>SUM(D35:D39)</f>
        <v>150.65000000000018</v>
      </c>
      <c r="E32" s="23">
        <f>SUM(E35:E39)</f>
        <v>158.86000000000038</v>
      </c>
      <c r="F32" s="23">
        <f>SUM(F35:F39)</f>
        <v>674.1310000000005</v>
      </c>
      <c r="G32" s="23">
        <f>SUM(G35:G39)</f>
        <v>194.62000000000043</v>
      </c>
      <c r="H32" s="18">
        <f>SUM(H35:H39)</f>
        <v>172</v>
      </c>
    </row>
    <row r="33">
      <c r="B33" s="22" t="s">
        <v>45</v>
      </c>
      <c r="C33" s="12"/>
      <c r="D33" s="12"/>
      <c r="E33" s="12"/>
      <c r="F33" s="12"/>
      <c r="G33" s="12"/>
      <c r="H33" s="19">
        <f>IFERROR(H32/C32-1,0)</f>
        <v>-0.01364835416905874</v>
      </c>
    </row>
    <row r="34">
      <c r="B34" s="22" t="s">
        <v>46</v>
      </c>
      <c r="C34" s="12"/>
      <c r="D34" s="12">
        <f>IFERROR(D32/C32-1,0)</f>
        <v>-0.13608211950911941</v>
      </c>
      <c r="E34" s="12">
        <f>IFERROR(E32/D32-1,0)</f>
        <v>0.054497178891471654</v>
      </c>
      <c r="F34" s="12"/>
      <c r="G34" s="12">
        <f>IFERROR(G32/E32-1,0)</f>
        <v>0.2251038650383983</v>
      </c>
      <c r="H34" s="19">
        <f>IFERROR(H32/G32-1,0)</f>
        <v>-0.11622649265235008</v>
      </c>
    </row>
    <row r="35">
      <c r="B35" s="3" t="s">
        <v>56</v>
      </c>
      <c r="C35" s="17">
        <f>'Segment - Sales Operations'!C33</f>
        <v>115.1</v>
      </c>
      <c r="D35" s="17">
        <f>'Segment - Sales Operations'!D33</f>
        <v>96.6</v>
      </c>
      <c r="E35" s="17">
        <f>'Segment - Sales Operations'!E33</f>
        <v>105.3</v>
      </c>
      <c r="F35" s="17">
        <f>'Segment - Sales Operations'!F33</f>
        <v>448.7</v>
      </c>
      <c r="G35" s="17">
        <f>'Segment - Sales Operations'!G33</f>
        <v>133.5</v>
      </c>
      <c r="H35" s="24">
        <f>'Segment - Sales Operations'!H33</f>
        <v>114.99999999999999</v>
      </c>
    </row>
    <row r="36">
      <c r="B36" s="3" t="s">
        <v>57</v>
      </c>
      <c r="C36" s="17">
        <f>'Segment - Sales Operations'!C38</f>
        <v>-0.8</v>
      </c>
      <c r="D36" s="17">
        <f>'Segment - Sales Operations'!D38</f>
        <v>-3</v>
      </c>
      <c r="E36" s="17">
        <f>'Segment - Sales Operations'!E38</f>
        <v>-4.1</v>
      </c>
      <c r="F36" s="17">
        <f>'Segment - Sales Operations'!F38</f>
        <v>-8.7</v>
      </c>
      <c r="G36" s="17">
        <f>'Segment - Sales Operations'!G38</f>
        <v>-4.5</v>
      </c>
      <c r="H36" s="24">
        <f>'Segment - Sales Operations'!H38</f>
        <v>-2</v>
      </c>
    </row>
    <row r="37">
      <c r="B37" s="3" t="s">
        <v>58</v>
      </c>
      <c r="C37" s="17">
        <f>'Segment - Sales Operations'!C39</f>
        <v>37.9</v>
      </c>
      <c r="D37" s="17">
        <f>'Segment - Sales Operations'!D39</f>
        <v>35.1</v>
      </c>
      <c r="E37" s="17">
        <f>'Segment - Sales Operations'!E39</f>
        <v>34.9</v>
      </c>
      <c r="F37" s="17">
        <f>'Segment - Sales Operations'!F39</f>
        <v>144.5</v>
      </c>
      <c r="G37" s="17">
        <f>'Segment - Sales Operations'!G39</f>
        <v>36.7</v>
      </c>
      <c r="H37" s="24">
        <f>'Segment - Sales Operations'!H39</f>
        <v>36</v>
      </c>
    </row>
    <row r="38">
      <c r="B38" s="3" t="s">
        <v>59</v>
      </c>
      <c r="C38" s="17">
        <f>'Segment - Sales Operations'!C40</f>
        <v>22.2</v>
      </c>
      <c r="D38" s="17">
        <f>'Segment - Sales Operations'!D40</f>
        <v>21.9</v>
      </c>
      <c r="E38" s="17">
        <f>'Segment - Sales Operations'!E40</f>
        <v>22.7</v>
      </c>
      <c r="F38" s="17">
        <f>'Segment - Sales Operations'!F40</f>
        <v>89.7</v>
      </c>
      <c r="G38" s="17">
        <f>'Segment - Sales Operations'!G40</f>
        <v>28.9</v>
      </c>
      <c r="H38" s="24">
        <f>'Segment - Sales Operations'!H40</f>
        <v>23</v>
      </c>
    </row>
    <row r="39" ht="26.25">
      <c r="B39" s="3" t="s">
        <v>60</v>
      </c>
      <c r="C39" s="17">
        <f>'Segment - Sales Operations'!C42</f>
        <v>-0.019999999999527063</v>
      </c>
      <c r="D39" s="17">
        <f>'Segment - Sales Operations'!D42</f>
        <v>0.0500000000001819</v>
      </c>
      <c r="E39" s="17">
        <f>'Segment - Sales Operations'!E42</f>
        <v>0.06000000000040018</v>
      </c>
      <c r="F39" s="17">
        <f>'Segment - Sales Operations'!F42</f>
        <v>-0.06899999999950523</v>
      </c>
      <c r="G39" s="17">
        <f>'Segment - Sales Operations'!G42</f>
        <v>0.020000000000436557</v>
      </c>
      <c r="H39" s="24">
        <f>'Segment - Sales Operations'!H42</f>
        <v>0</v>
      </c>
    </row>
    <row r="40" ht="26.25">
      <c r="B40" s="15" t="s">
        <v>61</v>
      </c>
      <c r="C40" s="23">
        <f>C22-C10-C14-C18</f>
        <v>0</v>
      </c>
      <c r="D40" s="23">
        <f>D22-D10-D14-D18</f>
        <v>0</v>
      </c>
      <c r="E40" s="23">
        <f>E22-E10-E14-E18</f>
        <v>0</v>
      </c>
      <c r="F40" s="23">
        <f>F22-F10-F14-F18</f>
        <v>0</v>
      </c>
      <c r="G40" s="23">
        <f>G22-G10-G14-G18</f>
        <v>0</v>
      </c>
      <c r="H40" s="18">
        <f>H22-H10-H14-H18</f>
        <v>0</v>
      </c>
    </row>
    <row r="41" ht="36.75">
      <c r="B41" s="3" t="s">
        <v>62</v>
      </c>
      <c r="C41" s="13"/>
      <c r="D41" s="13"/>
      <c r="E41" s="13"/>
      <c r="F41" s="13"/>
      <c r="G41" s="13"/>
      <c r="H41" s="14"/>
    </row>
    <row r="42" ht="36.75">
      <c r="B42" s="3" t="s">
        <v>63</v>
      </c>
      <c r="C42" s="13"/>
      <c r="D42" s="13"/>
      <c r="E42" s="13"/>
      <c r="F42" s="13"/>
      <c r="G42" s="13"/>
      <c r="H42" s="14"/>
    </row>
    <row r="43">
      <c r="B43" s="3" t="s">
        <v>64</v>
      </c>
      <c r="C43" s="17">
        <f>'Segment - Sales Operations'!C10</f>
        <v>199729</v>
      </c>
      <c r="D43" s="17">
        <f>'Segment - Sales Operations'!D10</f>
        <v>169557</v>
      </c>
      <c r="E43" s="17">
        <f>'Segment - Sales Operations'!E10</f>
        <v>181188</v>
      </c>
      <c r="F43" s="17">
        <f>'Segment - Sales Operations'!F10</f>
        <v>780684</v>
      </c>
      <c r="G43" s="17">
        <f>'Segment - Sales Operations'!G10</f>
        <v>230293</v>
      </c>
      <c r="H43" s="24">
        <f>'Segment - Sales Operations'!H10</f>
        <v>199500</v>
      </c>
    </row>
    <row r="44">
      <c r="B44" s="3" t="s">
        <v>65</v>
      </c>
      <c r="C44" s="17">
        <f>'Segment - Sales Operations'!C22</f>
        <v>138302</v>
      </c>
      <c r="D44" s="17">
        <f>'Segment - Sales Operations'!D22</f>
        <v>127603</v>
      </c>
      <c r="E44" s="17">
        <f>'Segment - Sales Operations'!E22</f>
        <v>122781</v>
      </c>
      <c r="F44" s="17">
        <f>'Segment - Sales Operations'!F22</f>
        <v>538203</v>
      </c>
      <c r="G44" s="17">
        <f>'Segment - Sales Operations'!G22</f>
        <v>162064</v>
      </c>
      <c r="H44" s="24">
        <f>'Segment - Sales Operations'!H22</f>
        <v>138500</v>
      </c>
    </row>
    <row r="45" ht="26.25">
      <c r="B45" s="22" t="s">
        <v>66</v>
      </c>
      <c r="C45" s="12"/>
      <c r="D45" s="12"/>
      <c r="E45" s="12"/>
      <c r="F45" s="12"/>
      <c r="G45" s="12"/>
      <c r="H45" s="21">
        <f>Inputs!H111</f>
        <v>-0.032</v>
      </c>
    </row>
    <row r="46" ht="26.25">
      <c r="B46" s="22" t="s">
        <v>67</v>
      </c>
      <c r="C46" s="12"/>
      <c r="D46" s="12"/>
      <c r="E46" s="12"/>
      <c r="F46" s="12"/>
      <c r="G46" s="12"/>
      <c r="H46" s="21">
        <f>Inputs!H112</f>
        <v>0.07</v>
      </c>
    </row>
    <row r="47" ht="26.25">
      <c r="B47" s="3" t="s">
        <v>68</v>
      </c>
      <c r="C47" s="13"/>
      <c r="D47" s="13"/>
      <c r="E47" s="13"/>
      <c r="F47" s="13"/>
      <c r="G47" s="13"/>
      <c r="H47" s="14"/>
    </row>
    <row r="48" ht="26.25">
      <c r="B48" s="16" t="s">
        <v>69</v>
      </c>
      <c r="C48" s="12"/>
      <c r="D48" s="12"/>
      <c r="E48" s="12"/>
      <c r="F48" s="12"/>
      <c r="G48" s="12"/>
      <c r="H48" s="19">
        <f>(1+H51)/((1+H49)*(1+H50))-1</f>
        <v>0.032311530033196645</v>
      </c>
    </row>
    <row r="49">
      <c r="B49" s="16" t="s">
        <v>70</v>
      </c>
      <c r="C49" s="12"/>
      <c r="D49" s="12"/>
      <c r="E49" s="12"/>
      <c r="F49" s="12"/>
      <c r="G49" s="12"/>
      <c r="H49" s="21">
        <f>Inputs!H77</f>
        <v>0</v>
      </c>
    </row>
    <row r="50">
      <c r="B50" s="16" t="s">
        <v>71</v>
      </c>
      <c r="C50" s="12"/>
      <c r="D50" s="12"/>
      <c r="E50" s="12"/>
      <c r="F50" s="12"/>
      <c r="G50" s="12"/>
      <c r="H50" s="21">
        <f>Inputs!H78</f>
        <v>0</v>
      </c>
    </row>
    <row r="51">
      <c r="B51" s="16" t="s">
        <v>72</v>
      </c>
      <c r="C51" s="12"/>
      <c r="D51" s="12"/>
      <c r="E51" s="12"/>
      <c r="F51" s="12"/>
      <c r="G51" s="12"/>
      <c r="H51" s="19">
        <f>IFERROR(H10/C10-1,0)</f>
        <v>0.032311530033196645</v>
      </c>
    </row>
    <row r="52" ht="26.25">
      <c r="B52" s="16" t="s">
        <v>73</v>
      </c>
      <c r="C52" s="12"/>
      <c r="D52" s="12"/>
      <c r="E52" s="12"/>
      <c r="F52" s="12"/>
      <c r="G52" s="12"/>
      <c r="H52" s="19">
        <f>(1+H55)/((1+H53)*(1+H54))-1</f>
        <v>-0.06696610861576169</v>
      </c>
    </row>
    <row r="53">
      <c r="B53" s="16" t="s">
        <v>70</v>
      </c>
      <c r="C53" s="12"/>
      <c r="D53" s="12"/>
      <c r="E53" s="12"/>
      <c r="F53" s="12"/>
      <c r="G53" s="12"/>
      <c r="H53" s="21">
        <f>Inputs!H77</f>
        <v>0</v>
      </c>
    </row>
    <row r="54">
      <c r="B54" s="16" t="s">
        <v>71</v>
      </c>
      <c r="C54" s="12"/>
      <c r="D54" s="12"/>
      <c r="E54" s="12"/>
      <c r="F54" s="12"/>
      <c r="G54" s="12"/>
      <c r="H54" s="21">
        <f>Inputs!H78</f>
        <v>0</v>
      </c>
    </row>
    <row r="55">
      <c r="B55" s="16" t="s">
        <v>72</v>
      </c>
      <c r="C55" s="12"/>
      <c r="D55" s="12"/>
      <c r="E55" s="12"/>
      <c r="F55" s="12"/>
      <c r="G55" s="12"/>
      <c r="H55" s="19">
        <f>IFERROR(H14/C14-1,0)</f>
        <v>-0.06696610861576169</v>
      </c>
    </row>
    <row r="56" ht="26.25">
      <c r="B56" s="16" t="s">
        <v>74</v>
      </c>
      <c r="C56" s="12"/>
      <c r="D56" s="12"/>
      <c r="E56" s="12"/>
      <c r="F56" s="12"/>
      <c r="G56" s="12"/>
      <c r="H56" s="19">
        <f>(1+H59)/((1+H57)*(1+H58))-1</f>
        <v>0.032311530033196645</v>
      </c>
    </row>
    <row r="57">
      <c r="B57" s="16" t="s">
        <v>70</v>
      </c>
      <c r="C57" s="12"/>
      <c r="D57" s="12"/>
      <c r="E57" s="12"/>
      <c r="F57" s="12"/>
      <c r="G57" s="12"/>
      <c r="H57" s="21">
        <f>Inputs!H77</f>
        <v>0</v>
      </c>
    </row>
    <row r="58">
      <c r="B58" s="16" t="s">
        <v>71</v>
      </c>
      <c r="C58" s="12"/>
      <c r="D58" s="12"/>
      <c r="E58" s="12"/>
      <c r="F58" s="12"/>
      <c r="G58" s="12"/>
      <c r="H58" s="21">
        <f>Inputs!H78</f>
        <v>0</v>
      </c>
    </row>
    <row r="59">
      <c r="B59" s="16" t="s">
        <v>72</v>
      </c>
      <c r="C59" s="12"/>
      <c r="D59" s="12"/>
      <c r="E59" s="12"/>
      <c r="F59" s="12"/>
      <c r="G59" s="12"/>
      <c r="H59" s="19">
        <f>IFERROR(H22/C22-1,0)</f>
        <v>0.032311530033196645</v>
      </c>
    </row>
    <row r="60" ht="26.25">
      <c r="B60" s="16" t="s">
        <v>75</v>
      </c>
      <c r="C60" s="12"/>
      <c r="D60" s="12"/>
      <c r="E60" s="12"/>
      <c r="F60" s="12"/>
      <c r="G60" s="12"/>
      <c r="H60" s="19">
        <f>(1+H63)/((1+H61)*(1+H62))-1</f>
        <v>0.03755022711257916</v>
      </c>
    </row>
    <row r="61">
      <c r="B61" s="16" t="s">
        <v>70</v>
      </c>
      <c r="C61" s="12"/>
      <c r="D61" s="12"/>
      <c r="E61" s="12"/>
      <c r="F61" s="12"/>
      <c r="G61" s="12"/>
      <c r="H61" s="21">
        <f>Inputs!H77</f>
        <v>0</v>
      </c>
    </row>
    <row r="62">
      <c r="B62" s="16" t="s">
        <v>71</v>
      </c>
      <c r="C62" s="12"/>
      <c r="D62" s="12"/>
      <c r="E62" s="12"/>
      <c r="F62" s="12"/>
      <c r="G62" s="12"/>
      <c r="H62" s="21">
        <f>Inputs!H78</f>
        <v>0</v>
      </c>
    </row>
    <row r="63">
      <c r="B63" s="16" t="s">
        <v>72</v>
      </c>
      <c r="C63" s="12"/>
      <c r="D63" s="12"/>
      <c r="E63" s="12"/>
      <c r="F63" s="12"/>
      <c r="G63" s="12"/>
      <c r="H63" s="19">
        <f>IFERROR(H26/C26-1,0)</f>
        <v>0.03755022711257916</v>
      </c>
    </row>
    <row r="64" ht="26.25">
      <c r="B64" s="16" t="s">
        <v>76</v>
      </c>
      <c r="C64" s="12"/>
      <c r="D64" s="12"/>
      <c r="E64" s="12"/>
      <c r="F64" s="12"/>
      <c r="G64" s="12"/>
      <c r="H64" s="19">
        <f>(1+H67)/((1+H65)*(1+H66))-1</f>
        <v>0.015264630164449233</v>
      </c>
    </row>
    <row r="65">
      <c r="B65" s="16" t="s">
        <v>70</v>
      </c>
      <c r="C65" s="12"/>
      <c r="D65" s="12"/>
      <c r="E65" s="12"/>
      <c r="F65" s="12"/>
      <c r="G65" s="12"/>
      <c r="H65" s="21">
        <f>Inputs!H77</f>
        <v>0</v>
      </c>
    </row>
    <row r="66">
      <c r="B66" s="16" t="s">
        <v>71</v>
      </c>
      <c r="C66" s="12"/>
      <c r="D66" s="12"/>
      <c r="E66" s="12"/>
      <c r="F66" s="12"/>
      <c r="G66" s="12"/>
      <c r="H66" s="21">
        <f>Inputs!H78</f>
        <v>0</v>
      </c>
    </row>
    <row r="67">
      <c r="B67" s="16" t="s">
        <v>72</v>
      </c>
      <c r="C67" s="12"/>
      <c r="D67" s="12"/>
      <c r="E67" s="12"/>
      <c r="F67" s="12"/>
      <c r="G67" s="12"/>
      <c r="H67" s="19">
        <f>IFERROR(H29/C29-1,0)</f>
        <v>0.015264630164449233</v>
      </c>
    </row>
    <row r="68" ht="26.25">
      <c r="B68" s="16" t="s">
        <v>77</v>
      </c>
      <c r="C68" s="12"/>
      <c r="D68" s="12"/>
      <c r="E68" s="12"/>
      <c r="F68" s="12"/>
      <c r="G68" s="12"/>
      <c r="H68" s="19">
        <f>(1+H71)/((1+H69)*(1+H70))-1</f>
        <v>-0.01364835416905874</v>
      </c>
    </row>
    <row r="69">
      <c r="B69" s="16" t="s">
        <v>70</v>
      </c>
      <c r="C69" s="12"/>
      <c r="D69" s="12"/>
      <c r="E69" s="12"/>
      <c r="F69" s="12"/>
      <c r="G69" s="12"/>
      <c r="H69" s="21">
        <f>Inputs!H77</f>
        <v>0</v>
      </c>
    </row>
    <row r="70">
      <c r="B70" s="16" t="s">
        <v>71</v>
      </c>
      <c r="C70" s="12"/>
      <c r="D70" s="12"/>
      <c r="E70" s="12"/>
      <c r="F70" s="12"/>
      <c r="G70" s="12"/>
      <c r="H70" s="21">
        <f>Inputs!H78</f>
        <v>0</v>
      </c>
    </row>
    <row r="71">
      <c r="B71" s="16" t="s">
        <v>72</v>
      </c>
      <c r="C71" s="12"/>
      <c r="D71" s="12"/>
      <c r="E71" s="12"/>
      <c r="F71" s="12"/>
      <c r="G71" s="12"/>
      <c r="H71" s="19">
        <f>IFERROR(H32/C32-1,0)</f>
        <v>-0.01364835416905874</v>
      </c>
    </row>
    <row r="72">
      <c r="B72" s="16" t="s">
        <v>78</v>
      </c>
      <c r="C72" s="12"/>
      <c r="D72" s="12"/>
      <c r="E72" s="12"/>
      <c r="F72" s="12"/>
      <c r="G72" s="12"/>
      <c r="H72" s="19">
        <f>(1+H75)/((1+H73)*(1+H74))-1</f>
        <v>-0.0008688097306690512</v>
      </c>
    </row>
    <row r="73">
      <c r="B73" s="16" t="s">
        <v>70</v>
      </c>
      <c r="C73" s="12"/>
      <c r="D73" s="12"/>
      <c r="E73" s="12"/>
      <c r="F73" s="12"/>
      <c r="G73" s="12"/>
      <c r="H73" s="21">
        <f>Inputs!H77</f>
        <v>0</v>
      </c>
    </row>
    <row r="74">
      <c r="B74" s="16" t="s">
        <v>71</v>
      </c>
      <c r="C74" s="12"/>
      <c r="D74" s="12"/>
      <c r="E74" s="12"/>
      <c r="F74" s="12"/>
      <c r="G74" s="12"/>
      <c r="H74" s="21">
        <f>Inputs!H78</f>
        <v>0</v>
      </c>
    </row>
    <row r="75">
      <c r="B75" s="16" t="s">
        <v>72</v>
      </c>
      <c r="C75" s="12"/>
      <c r="D75" s="12"/>
      <c r="E75" s="12"/>
      <c r="F75" s="12"/>
      <c r="G75" s="12"/>
      <c r="H75" s="19">
        <f>IFERROR(H35/C35-1,0)</f>
        <v>-0.0008688097306690512</v>
      </c>
    </row>
    <row r="76" ht="26.25">
      <c r="B76" s="16" t="s">
        <v>79</v>
      </c>
      <c r="C76" s="12"/>
      <c r="D76" s="12"/>
      <c r="E76" s="12"/>
      <c r="F76" s="12"/>
      <c r="G76" s="12"/>
      <c r="H76" s="19">
        <f>(1+H79)/((1+H77)*(1+H78))-1</f>
        <v>1.5</v>
      </c>
    </row>
    <row r="77">
      <c r="B77" s="16" t="s">
        <v>70</v>
      </c>
      <c r="C77" s="12"/>
      <c r="D77" s="12"/>
      <c r="E77" s="12"/>
      <c r="F77" s="12"/>
      <c r="G77" s="12"/>
      <c r="H77" s="21">
        <f>Inputs!H77</f>
        <v>0</v>
      </c>
    </row>
    <row r="78">
      <c r="B78" s="16" t="s">
        <v>71</v>
      </c>
      <c r="C78" s="12"/>
      <c r="D78" s="12"/>
      <c r="E78" s="12"/>
      <c r="F78" s="12"/>
      <c r="G78" s="12"/>
      <c r="H78" s="21">
        <f>Inputs!H78</f>
        <v>0</v>
      </c>
    </row>
    <row r="79">
      <c r="B79" s="16" t="s">
        <v>72</v>
      </c>
      <c r="C79" s="12"/>
      <c r="D79" s="12"/>
      <c r="E79" s="12"/>
      <c r="F79" s="12"/>
      <c r="G79" s="12"/>
      <c r="H79" s="19">
        <f>IFERROR(H36/C36-1,0)</f>
        <v>1.5</v>
      </c>
    </row>
    <row r="80" ht="26.25">
      <c r="B80" s="16" t="s">
        <v>80</v>
      </c>
      <c r="C80" s="12"/>
      <c r="D80" s="12"/>
      <c r="E80" s="12"/>
      <c r="F80" s="12"/>
      <c r="G80" s="12"/>
      <c r="H80" s="19">
        <f>(1+H83)/((1+H81)*(1+H82))-1</f>
        <v>-0.05013192612137196</v>
      </c>
    </row>
    <row r="81">
      <c r="B81" s="16" t="s">
        <v>70</v>
      </c>
      <c r="C81" s="12"/>
      <c r="D81" s="12"/>
      <c r="E81" s="12"/>
      <c r="F81" s="12"/>
      <c r="G81" s="12"/>
      <c r="H81" s="21">
        <f>Inputs!H77</f>
        <v>0</v>
      </c>
    </row>
    <row r="82">
      <c r="B82" s="16" t="s">
        <v>71</v>
      </c>
      <c r="C82" s="12"/>
      <c r="D82" s="12"/>
      <c r="E82" s="12"/>
      <c r="F82" s="12"/>
      <c r="G82" s="12"/>
      <c r="H82" s="21">
        <f>Inputs!H78</f>
        <v>0</v>
      </c>
    </row>
    <row r="83">
      <c r="B83" s="16" t="s">
        <v>72</v>
      </c>
      <c r="C83" s="12"/>
      <c r="D83" s="12"/>
      <c r="E83" s="12"/>
      <c r="F83" s="12"/>
      <c r="G83" s="12"/>
      <c r="H83" s="19">
        <f>IFERROR(H37/C37-1,0)</f>
        <v>-0.05013192612137196</v>
      </c>
    </row>
    <row r="84" ht="26.25">
      <c r="B84" s="16" t="s">
        <v>81</v>
      </c>
      <c r="C84" s="12"/>
      <c r="D84" s="12"/>
      <c r="E84" s="12"/>
      <c r="F84" s="12"/>
      <c r="G84" s="12"/>
      <c r="H84" s="19">
        <f>(1+H87)/((1+H85)*(1+H86))-1</f>
        <v>0.03603603603603611</v>
      </c>
    </row>
    <row r="85">
      <c r="B85" s="16" t="s">
        <v>70</v>
      </c>
      <c r="C85" s="12"/>
      <c r="D85" s="12"/>
      <c r="E85" s="12"/>
      <c r="F85" s="12"/>
      <c r="G85" s="12"/>
      <c r="H85" s="21">
        <f>Inputs!H77</f>
        <v>0</v>
      </c>
    </row>
    <row r="86">
      <c r="B86" s="16" t="s">
        <v>71</v>
      </c>
      <c r="C86" s="12"/>
      <c r="D86" s="12"/>
      <c r="E86" s="12"/>
      <c r="F86" s="12"/>
      <c r="G86" s="12"/>
      <c r="H86" s="21">
        <f>Inputs!H78</f>
        <v>0</v>
      </c>
    </row>
    <row r="87">
      <c r="B87" s="16" t="s">
        <v>72</v>
      </c>
      <c r="C87" s="12"/>
      <c r="D87" s="12"/>
      <c r="E87" s="12"/>
      <c r="F87" s="12"/>
      <c r="G87" s="12"/>
      <c r="H87" s="19">
        <f>IFERROR(H38/C38-1,0)</f>
        <v>0.03603603603603611</v>
      </c>
    </row>
    <row r="88">
      <c r="B88" s="2"/>
      <c r="C88" s="13"/>
      <c r="D88" s="13"/>
      <c r="E88" s="13"/>
      <c r="F88" s="13"/>
      <c r="G88" s="13"/>
      <c r="H88" s="14"/>
    </row>
    <row r="89">
      <c r="B89" s="2"/>
      <c r="C89" s="13"/>
      <c r="D89" s="13"/>
      <c r="E89" s="13"/>
      <c r="F89" s="13"/>
      <c r="G89" s="13"/>
      <c r="H89" s="14"/>
    </row>
    <row r="90">
      <c r="B90" s="2"/>
      <c r="C90" s="13"/>
      <c r="D90" s="13"/>
      <c r="E90" s="13"/>
      <c r="F90" s="13"/>
      <c r="G90" s="13"/>
      <c r="H90" s="14"/>
    </row>
    <row r="91">
      <c r="B91" s="2"/>
      <c r="C91" s="13"/>
      <c r="D91" s="13"/>
      <c r="E91" s="13"/>
      <c r="F91" s="13"/>
      <c r="G91" s="13"/>
      <c r="H91" s="14"/>
    </row>
    <row r="92">
      <c r="B92" s="2"/>
      <c r="C92" s="13"/>
      <c r="D92" s="13"/>
      <c r="E92" s="13"/>
      <c r="F92" s="13"/>
      <c r="G92" s="13"/>
      <c r="H92" s="14"/>
    </row>
    <row r="93">
      <c r="B93" s="2"/>
      <c r="C93" s="13"/>
      <c r="D93" s="13"/>
      <c r="E93" s="13"/>
      <c r="F93" s="13"/>
      <c r="G93" s="13"/>
      <c r="H93" s="14"/>
    </row>
    <row r="94">
      <c r="B94" s="2"/>
      <c r="C94" s="13"/>
      <c r="D94" s="13"/>
      <c r="E94" s="13"/>
      <c r="F94" s="13"/>
      <c r="G94" s="13"/>
      <c r="H94" s="14"/>
    </row>
    <row r="95">
      <c r="B95" s="2"/>
      <c r="C95" s="13"/>
      <c r="D95" s="13"/>
      <c r="E95" s="13"/>
      <c r="F95" s="13"/>
      <c r="G95" s="13"/>
      <c r="H95" s="14"/>
    </row>
    <row r="96">
      <c r="B96" s="2"/>
      <c r="C96" s="13"/>
      <c r="D96" s="13"/>
      <c r="E96" s="13"/>
      <c r="F96" s="13"/>
      <c r="G96" s="13"/>
      <c r="H96" s="14"/>
    </row>
    <row r="97">
      <c r="B97" s="2"/>
      <c r="C97" s="13"/>
      <c r="D97" s="13"/>
      <c r="E97" s="13"/>
      <c r="F97" s="13"/>
      <c r="G97" s="13"/>
      <c r="H97" s="14"/>
    </row>
    <row r="98">
      <c r="B98" s="2"/>
      <c r="C98" s="13"/>
      <c r="D98" s="13"/>
      <c r="E98" s="13"/>
      <c r="F98" s="13"/>
      <c r="G98" s="13"/>
      <c r="H98" s="14"/>
    </row>
    <row r="99">
      <c r="B99" s="2"/>
      <c r="C99" s="13"/>
      <c r="D99" s="13"/>
      <c r="E99" s="13"/>
      <c r="F99" s="13"/>
      <c r="G99" s="13"/>
      <c r="H99" s="14"/>
    </row>
    <row r="100">
      <c r="B100" s="2"/>
      <c r="C100" s="13"/>
      <c r="D100" s="13"/>
      <c r="E100" s="13"/>
      <c r="F100" s="13"/>
      <c r="G100" s="13"/>
      <c r="H100" s="14"/>
    </row>
    <row r="101">
      <c r="B101" s="2"/>
      <c r="C101" s="13"/>
      <c r="D101" s="13"/>
      <c r="E101" s="13"/>
      <c r="F101" s="13"/>
      <c r="G101" s="13"/>
      <c r="H101" s="14"/>
    </row>
    <row r="102">
      <c r="B102" s="2"/>
      <c r="C102" s="13"/>
      <c r="D102" s="13"/>
      <c r="E102" s="13"/>
      <c r="F102" s="13"/>
      <c r="G102" s="13"/>
      <c r="H102" s="14"/>
    </row>
    <row r="103">
      <c r="B103" s="2"/>
      <c r="C103" s="13"/>
      <c r="D103" s="13"/>
      <c r="E103" s="13"/>
      <c r="F103" s="13"/>
      <c r="G103" s="13"/>
      <c r="H103" s="14"/>
    </row>
    <row r="104">
      <c r="B104" s="2"/>
      <c r="C104" s="13"/>
      <c r="D104" s="13"/>
      <c r="E104" s="13"/>
      <c r="F104" s="13"/>
      <c r="G104" s="13"/>
      <c r="H104" s="14"/>
    </row>
    <row r="105">
      <c r="B105" s="2"/>
      <c r="C105" s="13"/>
      <c r="D105" s="13"/>
      <c r="E105" s="13"/>
      <c r="F105" s="13"/>
      <c r="G105" s="13"/>
      <c r="H105" s="14"/>
    </row>
    <row r="106">
      <c r="H106" s="1"/>
    </row>
    <row r="107">
      <c r="H107" s="1"/>
    </row>
    <row r="108">
      <c r="H108" s="1"/>
    </row>
    <row r="109">
      <c r="H109" s="1"/>
    </row>
    <row r="110">
      <c r="H110" s="1"/>
    </row>
    <row r="111">
      <c r="H111" s="1"/>
    </row>
    <row r="112">
      <c r="H112" s="1"/>
    </row>
    <row r="113">
      <c r="H113" s="1"/>
    </row>
    <row r="114">
      <c r="H114" s="1"/>
    </row>
    <row r="115">
      <c r="H115" s="1"/>
    </row>
    <row r="116">
      <c r="H116" s="1"/>
    </row>
    <row r="117">
      <c r="H117" s="1"/>
    </row>
    <row r="118">
      <c r="H118" s="1"/>
    </row>
    <row r="119">
      <c r="H119" s="1"/>
    </row>
    <row r="120">
      <c r="H120" s="1"/>
    </row>
    <row r="121">
      <c r="H121" s="1"/>
    </row>
    <row r="122">
      <c r="H122" s="1"/>
    </row>
    <row r="123">
      <c r="H123" s="1"/>
    </row>
    <row r="124">
      <c r="H124" s="1"/>
    </row>
    <row r="125">
      <c r="H125" s="1"/>
    </row>
    <row r="126">
      <c r="H126" s="1"/>
    </row>
    <row r="127">
      <c r="H127" s="1"/>
    </row>
    <row r="128">
      <c r="H128" s="1"/>
    </row>
    <row r="129">
      <c r="H129" s="1"/>
    </row>
    <row r="130">
      <c r="H130" s="1"/>
    </row>
    <row r="131">
      <c r="H131" s="1"/>
    </row>
    <row r="132">
      <c r="H132" s="1"/>
    </row>
    <row r="133">
      <c r="H133" s="1"/>
    </row>
    <row r="134">
      <c r="H134" s="1"/>
    </row>
    <row r="135">
      <c r="H135" s="1"/>
    </row>
    <row r="136">
      <c r="H136" s="1"/>
    </row>
    <row r="137">
      <c r="H137" s="1"/>
    </row>
    <row r="138">
      <c r="H138" s="1"/>
    </row>
    <row r="139">
      <c r="H139" s="1"/>
    </row>
    <row r="140">
      <c r="H140" s="1"/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B2:J142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4" customWidth="1"/>
    <col min="3" max="8" width="14" customWidth="1"/>
    <col min="10" max="10" width="90" customWidth="1"/>
  </cols>
  <sheetData>
    <row r="2">
      <c r="B2" s="2" t="s">
        <v>0</v>
      </c>
      <c r="C2" s="2"/>
      <c r="D2" s="2"/>
      <c r="E2" s="2"/>
      <c r="F2" s="2"/>
      <c r="G2" s="2"/>
      <c r="H2" s="2"/>
    </row>
    <row r="3">
      <c r="B3" s="2" t="s">
        <v>82</v>
      </c>
      <c r="C3" s="2"/>
      <c r="D3" s="2"/>
      <c r="E3" s="2"/>
      <c r="F3" s="2"/>
      <c r="G3" s="2"/>
      <c r="H3" s="2"/>
    </row>
    <row r="4">
      <c r="B4" s="2" t="s">
        <v>2</v>
      </c>
      <c r="C4" s="2"/>
      <c r="D4" s="2"/>
      <c r="E4" s="2"/>
      <c r="F4" s="2"/>
      <c r="G4" s="2"/>
      <c r="H4" s="2"/>
    </row>
    <row r="5">
      <c r="B5" s="11"/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</row>
    <row r="6">
      <c r="B6" s="11"/>
      <c r="C6" s="6">
        <v>45900</v>
      </c>
      <c r="D6" s="6">
        <v>45991</v>
      </c>
      <c r="E6" s="6">
        <v>46081</v>
      </c>
      <c r="F6" s="6">
        <v>46081</v>
      </c>
      <c r="G6" s="6">
        <v>46173</v>
      </c>
      <c r="H6" s="6">
        <v>46265</v>
      </c>
    </row>
    <row r="7">
      <c r="B7" s="11"/>
      <c r="C7" s="11">
        <v>92</v>
      </c>
      <c r="D7" s="11">
        <v>91</v>
      </c>
      <c r="E7" s="11">
        <v>90</v>
      </c>
      <c r="F7" s="11">
        <v>365</v>
      </c>
      <c r="G7" s="11">
        <v>92</v>
      </c>
      <c r="H7" s="11">
        <v>92</v>
      </c>
    </row>
    <row r="8">
      <c r="B8" s="2"/>
      <c r="C8" s="2"/>
      <c r="D8" s="2"/>
      <c r="E8" s="2"/>
      <c r="F8" s="2"/>
      <c r="G8" s="2"/>
      <c r="H8" s="4"/>
    </row>
    <row r="9">
      <c r="B9" s="3" t="s">
        <v>83</v>
      </c>
      <c r="C9" s="13"/>
      <c r="D9" s="13"/>
      <c r="E9" s="13"/>
      <c r="F9" s="13"/>
      <c r="G9" s="13"/>
      <c r="H9" s="14"/>
    </row>
    <row r="10">
      <c r="B10" s="3" t="s">
        <v>84</v>
      </c>
      <c r="C10" s="17">
        <f>Inputs!C16</f>
        <v>199729</v>
      </c>
      <c r="D10" s="17">
        <f>Inputs!D16</f>
        <v>169557</v>
      </c>
      <c r="E10" s="17">
        <f>Inputs!E16</f>
        <v>181188</v>
      </c>
      <c r="F10" s="17">
        <f>Inputs!F16</f>
        <v>780684</v>
      </c>
      <c r="G10" s="17">
        <f>Inputs!G16</f>
        <v>230293</v>
      </c>
      <c r="H10" s="24">
        <f>Inputs!H16</f>
        <v>199500</v>
      </c>
    </row>
    <row r="11">
      <c r="B11" s="22" t="s">
        <v>85</v>
      </c>
      <c r="C11" s="12"/>
      <c r="D11" s="12"/>
      <c r="E11" s="12"/>
      <c r="F11" s="12"/>
      <c r="G11" s="12"/>
      <c r="H11" s="19">
        <f>IFERROR(H10/C10-1,0)</f>
        <v>-0.0011465535801010729</v>
      </c>
    </row>
    <row r="12">
      <c r="B12" s="3" t="s">
        <v>86</v>
      </c>
      <c r="C12" s="13"/>
      <c r="D12" s="13">
        <f>D10-C10</f>
        <v>-30172</v>
      </c>
      <c r="E12" s="13">
        <f>E10-D10</f>
        <v>11631</v>
      </c>
      <c r="F12" s="13"/>
      <c r="G12" s="13">
        <f>G10-E10</f>
        <v>49105</v>
      </c>
      <c r="H12" s="14">
        <f>H10-G10</f>
        <v>-30793</v>
      </c>
    </row>
    <row r="13">
      <c r="B13" s="3" t="s">
        <v>87</v>
      </c>
      <c r="C13" s="17">
        <f>Inputs!C18</f>
        <v>25993</v>
      </c>
      <c r="D13" s="17">
        <f>Inputs!D18</f>
        <v>26383</v>
      </c>
      <c r="E13" s="17">
        <f>Inputs!E18</f>
        <v>26019</v>
      </c>
      <c r="F13" s="17">
        <f>Inputs!F18</f>
        <v>26121</v>
      </c>
      <c r="G13" s="17">
        <f>Inputs!G18</f>
        <v>27288</v>
      </c>
      <c r="H13" s="24">
        <f>Inputs!H18</f>
        <v>27000</v>
      </c>
    </row>
    <row r="14">
      <c r="B14" s="22" t="s">
        <v>88</v>
      </c>
      <c r="C14" s="12"/>
      <c r="D14" s="12"/>
      <c r="E14" s="12"/>
      <c r="F14" s="12"/>
      <c r="G14" s="12"/>
      <c r="H14" s="19">
        <f>IFERROR(H13/C13-1,0)</f>
        <v>0.0387411995537259</v>
      </c>
    </row>
    <row r="15">
      <c r="B15" s="3" t="s">
        <v>89</v>
      </c>
      <c r="C15" s="13"/>
      <c r="D15" s="13">
        <f>D13-C13</f>
        <v>390</v>
      </c>
      <c r="E15" s="13">
        <f>E13-D13</f>
        <v>-364</v>
      </c>
      <c r="F15" s="13"/>
      <c r="G15" s="13">
        <f>G13-E13</f>
        <v>1269</v>
      </c>
      <c r="H15" s="14">
        <f>H13-G13</f>
        <v>-288</v>
      </c>
    </row>
    <row r="16">
      <c r="B16" s="15" t="s">
        <v>90</v>
      </c>
      <c r="C16" s="20">
        <f>Inputs!C10</f>
        <v>5270.7</v>
      </c>
      <c r="D16" s="20">
        <f>Inputs!D10</f>
        <v>4548.2</v>
      </c>
      <c r="E16" s="20">
        <f>Inputs!E10</f>
        <v>4780</v>
      </c>
      <c r="F16" s="20">
        <f>Inputs!F10</f>
        <v>20702.4</v>
      </c>
      <c r="G16" s="20">
        <f>Inputs!G10</f>
        <v>6391.3</v>
      </c>
      <c r="H16" s="18">
        <f>C16*H10/C10*H13/C13</f>
        <v>5468.615982042271</v>
      </c>
    </row>
    <row r="17">
      <c r="B17" s="22" t="s">
        <v>91</v>
      </c>
      <c r="C17" s="12"/>
      <c r="D17" s="12"/>
      <c r="E17" s="12"/>
      <c r="F17" s="12"/>
      <c r="G17" s="12"/>
      <c r="H17" s="19">
        <f>(1+H20)/((1+H18)*(1+H19))-1</f>
        <v>0.03755022711257916</v>
      </c>
    </row>
    <row r="18">
      <c r="B18" s="22" t="s">
        <v>92</v>
      </c>
      <c r="C18" s="12"/>
      <c r="D18" s="12"/>
      <c r="E18" s="12"/>
      <c r="F18" s="12"/>
      <c r="G18" s="12"/>
      <c r="H18" s="21">
        <f>Inputs!H77</f>
        <v>0</v>
      </c>
    </row>
    <row r="19">
      <c r="B19" s="22" t="s">
        <v>93</v>
      </c>
      <c r="C19" s="12"/>
      <c r="D19" s="12"/>
      <c r="E19" s="12"/>
      <c r="F19" s="12"/>
      <c r="G19" s="12"/>
      <c r="H19" s="21">
        <f>Inputs!H78</f>
        <v>0</v>
      </c>
    </row>
    <row r="20">
      <c r="B20" s="22" t="s">
        <v>94</v>
      </c>
      <c r="C20" s="12"/>
      <c r="D20" s="12"/>
      <c r="E20" s="12"/>
      <c r="F20" s="12"/>
      <c r="G20" s="12"/>
      <c r="H20" s="19">
        <f>IFERROR(H16/C16-1,0)</f>
        <v>0.03755022711257916</v>
      </c>
    </row>
    <row r="21">
      <c r="B21" s="3" t="s">
        <v>95</v>
      </c>
      <c r="C21" s="13"/>
      <c r="D21" s="13"/>
      <c r="E21" s="13"/>
      <c r="F21" s="13"/>
      <c r="G21" s="13"/>
      <c r="H21" s="14"/>
    </row>
    <row r="22">
      <c r="B22" s="3" t="s">
        <v>65</v>
      </c>
      <c r="C22" s="17">
        <f>Inputs!C17</f>
        <v>138302</v>
      </c>
      <c r="D22" s="17">
        <f>Inputs!D17</f>
        <v>127603</v>
      </c>
      <c r="E22" s="17">
        <f>Inputs!E17</f>
        <v>122781</v>
      </c>
      <c r="F22" s="17">
        <f>Inputs!F17</f>
        <v>538203</v>
      </c>
      <c r="G22" s="17">
        <f>Inputs!G17</f>
        <v>162064</v>
      </c>
      <c r="H22" s="24">
        <f>Inputs!H17</f>
        <v>138500</v>
      </c>
    </row>
    <row r="23">
      <c r="B23" s="22" t="s">
        <v>85</v>
      </c>
      <c r="C23" s="12"/>
      <c r="D23" s="12"/>
      <c r="E23" s="12"/>
      <c r="F23" s="12"/>
      <c r="G23" s="12"/>
      <c r="H23" s="19">
        <f>IFERROR(H22/C22-1,0)</f>
        <v>0.0014316495784587602</v>
      </c>
    </row>
    <row r="24">
      <c r="B24" s="3" t="s">
        <v>86</v>
      </c>
      <c r="C24" s="13"/>
      <c r="D24" s="13">
        <f>D22-C22</f>
        <v>-10699</v>
      </c>
      <c r="E24" s="13">
        <f>E22-D22</f>
        <v>-4822</v>
      </c>
      <c r="F24" s="13"/>
      <c r="G24" s="13">
        <f>G22-E22</f>
        <v>39283</v>
      </c>
      <c r="H24" s="14">
        <f>H22-G22</f>
        <v>-23564</v>
      </c>
    </row>
    <row r="25" ht="27">
      <c r="B25" s="3" t="s">
        <v>96</v>
      </c>
      <c r="C25" s="17">
        <f>Inputs!C19</f>
        <v>7891</v>
      </c>
      <c r="D25" s="17">
        <f>Inputs!D19</f>
        <v>8137</v>
      </c>
      <c r="E25" s="17">
        <f>Inputs!E19</f>
        <v>7776</v>
      </c>
      <c r="F25" s="17">
        <f>Inputs!F19</f>
        <v>7942</v>
      </c>
      <c r="G25" s="17">
        <f>Inputs!G19</f>
        <v>8364</v>
      </c>
      <c r="H25" s="24">
        <f>Inputs!H19</f>
        <v>8000</v>
      </c>
    </row>
    <row r="26">
      <c r="B26" s="22" t="s">
        <v>88</v>
      </c>
      <c r="C26" s="12"/>
      <c r="D26" s="12"/>
      <c r="E26" s="12"/>
      <c r="F26" s="12"/>
      <c r="G26" s="12"/>
      <c r="H26" s="19">
        <f>IFERROR(H25/C25-1,0)</f>
        <v>0.013813204916994115</v>
      </c>
    </row>
    <row r="27">
      <c r="B27" s="3" t="s">
        <v>89</v>
      </c>
      <c r="C27" s="13"/>
      <c r="D27" s="13">
        <f>D25-C25</f>
        <v>246</v>
      </c>
      <c r="E27" s="13">
        <f>E25-D25</f>
        <v>-361</v>
      </c>
      <c r="F27" s="13"/>
      <c r="G27" s="13">
        <f>G25-E25</f>
        <v>588</v>
      </c>
      <c r="H27" s="14">
        <f>H25-G25</f>
        <v>-364</v>
      </c>
    </row>
    <row r="28">
      <c r="B28" s="15" t="s">
        <v>97</v>
      </c>
      <c r="C28" s="20">
        <f>Inputs!C11</f>
        <v>1149.6</v>
      </c>
      <c r="D28" s="20">
        <f>Inputs!D11</f>
        <v>1095.1</v>
      </c>
      <c r="E28" s="20">
        <f>Inputs!E11</f>
        <v>1007.1</v>
      </c>
      <c r="F28" s="20">
        <f>Inputs!F11</f>
        <v>4504.6</v>
      </c>
      <c r="G28" s="20">
        <f>Inputs!G11</f>
        <v>1427.6</v>
      </c>
      <c r="H28" s="18">
        <f>C28*H22/C22*H25/C25</f>
        <v>1167.1482188370508</v>
      </c>
    </row>
    <row r="29">
      <c r="B29" s="22" t="s">
        <v>91</v>
      </c>
      <c r="C29" s="12"/>
      <c r="D29" s="12"/>
      <c r="E29" s="12"/>
      <c r="F29" s="12"/>
      <c r="G29" s="12"/>
      <c r="H29" s="19">
        <f>(1+H32)/((1+H30)*(1+H31))-1</f>
        <v>0.015264630164449233</v>
      </c>
    </row>
    <row r="30">
      <c r="B30" s="22" t="s">
        <v>92</v>
      </c>
      <c r="C30" s="12"/>
      <c r="D30" s="12"/>
      <c r="E30" s="12"/>
      <c r="F30" s="12"/>
      <c r="G30" s="12"/>
      <c r="H30" s="21">
        <f>Inputs!H77</f>
        <v>0</v>
      </c>
    </row>
    <row r="31">
      <c r="B31" s="22" t="s">
        <v>93</v>
      </c>
      <c r="C31" s="12"/>
      <c r="D31" s="12"/>
      <c r="E31" s="12"/>
      <c r="F31" s="12"/>
      <c r="G31" s="12"/>
      <c r="H31" s="21">
        <f>Inputs!H78</f>
        <v>0</v>
      </c>
    </row>
    <row r="32">
      <c r="B32" s="22" t="s">
        <v>94</v>
      </c>
      <c r="C32" s="12"/>
      <c r="D32" s="12"/>
      <c r="E32" s="12"/>
      <c r="F32" s="12"/>
      <c r="G32" s="12"/>
      <c r="H32" s="19">
        <f>IFERROR(H28/C28-1,0)</f>
        <v>0.015264630164449233</v>
      </c>
    </row>
    <row r="33">
      <c r="B33" s="3" t="s">
        <v>98</v>
      </c>
      <c r="C33" s="17">
        <f>Inputs!C12</f>
        <v>115.1</v>
      </c>
      <c r="D33" s="17">
        <f>Inputs!D12</f>
        <v>96.6</v>
      </c>
      <c r="E33" s="17">
        <f>Inputs!E12</f>
        <v>105.3</v>
      </c>
      <c r="F33" s="17">
        <f>Inputs!F12</f>
        <v>448.7</v>
      </c>
      <c r="G33" s="17">
        <f>Inputs!G12</f>
        <v>133.5</v>
      </c>
      <c r="H33" s="14">
        <f>H10*H54/1000000</f>
        <v>114.99999999999999</v>
      </c>
    </row>
    <row r="34">
      <c r="B34" s="22" t="s">
        <v>91</v>
      </c>
      <c r="C34" s="12"/>
      <c r="D34" s="12"/>
      <c r="E34" s="12"/>
      <c r="F34" s="12"/>
      <c r="G34" s="12"/>
      <c r="H34" s="19">
        <f>(1+H37)/((1+H35)*(1+H36))-1</f>
        <v>-0.0008688097306690512</v>
      </c>
    </row>
    <row r="35">
      <c r="B35" s="22" t="s">
        <v>92</v>
      </c>
      <c r="C35" s="12"/>
      <c r="D35" s="12"/>
      <c r="E35" s="12"/>
      <c r="F35" s="12"/>
      <c r="G35" s="12"/>
      <c r="H35" s="21">
        <f>Inputs!H77</f>
        <v>0</v>
      </c>
    </row>
    <row r="36">
      <c r="B36" s="22" t="s">
        <v>93</v>
      </c>
      <c r="C36" s="12"/>
      <c r="D36" s="12"/>
      <c r="E36" s="12"/>
      <c r="F36" s="12"/>
      <c r="G36" s="12"/>
      <c r="H36" s="21">
        <f>Inputs!H78</f>
        <v>0</v>
      </c>
    </row>
    <row r="37">
      <c r="B37" s="22" t="s">
        <v>94</v>
      </c>
      <c r="C37" s="12"/>
      <c r="D37" s="12"/>
      <c r="E37" s="12"/>
      <c r="F37" s="12"/>
      <c r="G37" s="12"/>
      <c r="H37" s="19">
        <f>IFERROR(H33/C33-1,0)</f>
        <v>-0.0008688097306690512</v>
      </c>
    </row>
    <row r="38">
      <c r="B38" s="3" t="s">
        <v>99</v>
      </c>
      <c r="C38" s="17">
        <f>Inputs!C13</f>
        <v>-0.8</v>
      </c>
      <c r="D38" s="17">
        <f>Inputs!D13</f>
        <v>-3</v>
      </c>
      <c r="E38" s="17">
        <f>Inputs!E13</f>
        <v>-4.1</v>
      </c>
      <c r="F38" s="17">
        <f>Inputs!F13</f>
        <v>-8.7</v>
      </c>
      <c r="G38" s="17">
        <f>Inputs!G13</f>
        <v>-4.5</v>
      </c>
      <c r="H38" s="14">
        <f>H10*H100/1000000</f>
        <v>-2</v>
      </c>
      <c r="J38" s="2" t="s">
        <v>100</v>
      </c>
    </row>
    <row r="39" ht="27">
      <c r="B39" s="3" t="s">
        <v>101</v>
      </c>
      <c r="C39" s="17">
        <f>Inputs!C14</f>
        <v>37.9</v>
      </c>
      <c r="D39" s="17">
        <f>Inputs!D14</f>
        <v>35.1</v>
      </c>
      <c r="E39" s="17">
        <f>Inputs!E14</f>
        <v>34.9</v>
      </c>
      <c r="F39" s="17">
        <f>Inputs!F14</f>
        <v>144.5</v>
      </c>
      <c r="G39" s="17">
        <f>Inputs!G14</f>
        <v>36.7</v>
      </c>
      <c r="H39" s="14">
        <f>H78*H103/1000000</f>
        <v>36</v>
      </c>
      <c r="J39" s="2" t="s">
        <v>102</v>
      </c>
    </row>
    <row r="40">
      <c r="B40" s="3" t="s">
        <v>103</v>
      </c>
      <c r="C40" s="17">
        <f>Inputs!C15</f>
        <v>22.2</v>
      </c>
      <c r="D40" s="17">
        <f>Inputs!D15</f>
        <v>21.9</v>
      </c>
      <c r="E40" s="17">
        <f>Inputs!E15</f>
        <v>22.7</v>
      </c>
      <c r="F40" s="17">
        <f>Inputs!F15</f>
        <v>89.7</v>
      </c>
      <c r="G40" s="17">
        <f>Inputs!G15</f>
        <v>28.9</v>
      </c>
      <c r="H40" s="14">
        <f>H10*H106/1000000</f>
        <v>23</v>
      </c>
      <c r="J40" s="2" t="s">
        <v>104</v>
      </c>
    </row>
    <row r="41">
      <c r="B41" s="15" t="s">
        <v>105</v>
      </c>
      <c r="C41" s="23">
        <f>SUM(C33,C38:C40)</f>
        <v>174.4</v>
      </c>
      <c r="D41" s="23">
        <f>SUM(D33,D38:D40)</f>
        <v>150.6</v>
      </c>
      <c r="E41" s="23">
        <f>SUM(E33,E38:E40)</f>
        <v>158.79999999999998</v>
      </c>
      <c r="F41" s="23">
        <f>SUM(F33,F38:F40)</f>
        <v>674.2</v>
      </c>
      <c r="G41" s="23">
        <f>SUM(G33,G38:G40)</f>
        <v>194.6</v>
      </c>
      <c r="H41" s="18">
        <f>SUM(H33,H38:H40)</f>
        <v>172</v>
      </c>
    </row>
    <row r="42">
      <c r="B42" s="3" t="s">
        <v>106</v>
      </c>
      <c r="C42" s="17">
        <f>Inputs!C68-SUM(C16,C28,C41)</f>
        <v>-0.019999999999527063</v>
      </c>
      <c r="D42" s="17">
        <f>Inputs!D68-SUM(D16,D28,D41)</f>
        <v>0.0500000000001819</v>
      </c>
      <c r="E42" s="17">
        <f>Inputs!E68-SUM(E16,E28,E41)</f>
        <v>0.06000000000040018</v>
      </c>
      <c r="F42" s="17">
        <f>Inputs!F68-SUM(F16,F28,F41)</f>
        <v>-0.06899999999950523</v>
      </c>
      <c r="G42" s="17">
        <f>Inputs!G68-SUM(G16,G28,G41)</f>
        <v>0.020000000000436557</v>
      </c>
      <c r="H42" s="14">
        <f>0</f>
        <v>0</v>
      </c>
    </row>
    <row r="43">
      <c r="B43" s="15" t="s">
        <v>107</v>
      </c>
      <c r="C43" s="23">
        <f>SUM(C16,C28,C41:C42)</f>
        <v>6594.68</v>
      </c>
      <c r="D43" s="23">
        <f>SUM(D16,D28,D41:D42)</f>
        <v>5793.95</v>
      </c>
      <c r="E43" s="23">
        <f>SUM(E16,E28,E41:E42)</f>
        <v>5945.96</v>
      </c>
      <c r="F43" s="23">
        <f>SUM(F16,F28,F41:F42)</f>
        <v>25881.131</v>
      </c>
      <c r="G43" s="23">
        <f>SUM(G16,G28,G41:G42)</f>
        <v>8013.52</v>
      </c>
      <c r="H43" s="18">
        <f>SUM(H16,H28,H41:H42)</f>
        <v>6807.764200879322</v>
      </c>
    </row>
    <row r="44">
      <c r="B44" s="3" t="s">
        <v>108</v>
      </c>
      <c r="C44" s="17">
        <f>Inputs!C20</f>
        <v>442.6</v>
      </c>
      <c r="D44" s="17">
        <f>Inputs!D20</f>
        <v>378.9</v>
      </c>
      <c r="E44" s="17">
        <f>Inputs!E20</f>
        <v>383.2</v>
      </c>
      <c r="F44" s="17">
        <f>Inputs!F20</f>
        <v>1759</v>
      </c>
      <c r="G44" s="17">
        <f>Inputs!G20</f>
        <v>501.4</v>
      </c>
      <c r="H44" s="14">
        <f>H10*H48/1000000</f>
        <v>424.935</v>
      </c>
    </row>
    <row r="45">
      <c r="B45" s="3" t="s">
        <v>109</v>
      </c>
      <c r="C45" s="17">
        <f>Inputs!C21</f>
        <v>137.3</v>
      </c>
      <c r="D45" s="17">
        <f>Inputs!D21</f>
        <v>114.8</v>
      </c>
      <c r="E45" s="17">
        <f>Inputs!E21</f>
        <v>115.4</v>
      </c>
      <c r="F45" s="17">
        <f>Inputs!F21</f>
        <v>524.1</v>
      </c>
      <c r="G45" s="17">
        <f>Inputs!G21</f>
        <v>169.5</v>
      </c>
      <c r="H45" s="14">
        <f>H22*H51/1000000</f>
        <v>137.115</v>
      </c>
    </row>
    <row r="46">
      <c r="B46" s="3" t="s">
        <v>110</v>
      </c>
      <c r="C46" s="17">
        <f>Inputs!C22</f>
        <v>137.8</v>
      </c>
      <c r="D46" s="17">
        <f>Inputs!D22</f>
        <v>96.3</v>
      </c>
      <c r="E46" s="17">
        <f>Inputs!E22</f>
        <v>106.7</v>
      </c>
      <c r="F46" s="17">
        <f>Inputs!F22</f>
        <v>523.5</v>
      </c>
      <c r="G46" s="17">
        <f>Inputs!G22</f>
        <v>183.5</v>
      </c>
      <c r="H46" s="24">
        <f>Inputs!H22</f>
        <v>145</v>
      </c>
    </row>
    <row r="47">
      <c r="B47" s="15" t="s">
        <v>111</v>
      </c>
      <c r="C47" s="23">
        <f>SUM(C44:C46)</f>
        <v>717.7</v>
      </c>
      <c r="D47" s="23">
        <f>SUM(D44:D46)</f>
        <v>590</v>
      </c>
      <c r="E47" s="23">
        <f>SUM(E44:E46)</f>
        <v>605.3</v>
      </c>
      <c r="F47" s="23">
        <f>SUM(F44:F46)</f>
        <v>2806.6</v>
      </c>
      <c r="G47" s="23">
        <f>SUM(G44:G46)</f>
        <v>854.4</v>
      </c>
      <c r="H47" s="18">
        <f>SUM(H44:H46)</f>
        <v>707.05</v>
      </c>
    </row>
    <row r="48" ht="27">
      <c r="B48" s="3" t="s">
        <v>112</v>
      </c>
      <c r="C48" s="13">
        <f>C44*1000000/C10</f>
        <v>2216.002683636327</v>
      </c>
      <c r="D48" s="13">
        <f>D44*1000000/D10</f>
        <v>2234.6467559581733</v>
      </c>
      <c r="E48" s="13">
        <f>E44*1000000/E10</f>
        <v>2114.930348588207</v>
      </c>
      <c r="F48" s="13">
        <f>F44*1000000/F10</f>
        <v>2253.1523638245435</v>
      </c>
      <c r="G48" s="13">
        <f>G44*1000000/G10</f>
        <v>2177.226402886757</v>
      </c>
      <c r="H48" s="24">
        <f>Inputs!H229</f>
        <v>2130</v>
      </c>
    </row>
    <row r="49" ht="26.25">
      <c r="B49" s="3" t="s">
        <v>113</v>
      </c>
      <c r="C49" s="13"/>
      <c r="D49" s="13"/>
      <c r="E49" s="13"/>
      <c r="F49" s="13"/>
      <c r="G49" s="13"/>
      <c r="H49" s="14">
        <f>H48-C48</f>
        <v>-86.00268363632722</v>
      </c>
    </row>
    <row r="50" ht="26.25">
      <c r="B50" s="3" t="s">
        <v>114</v>
      </c>
      <c r="C50" s="13"/>
      <c r="D50" s="13">
        <f>D48-C48</f>
        <v>18.644072321846124</v>
      </c>
      <c r="E50" s="13">
        <f>E48-D48</f>
        <v>-119.71640736996642</v>
      </c>
      <c r="F50" s="13"/>
      <c r="G50" s="13">
        <f>G48-E48</f>
        <v>62.29605429855019</v>
      </c>
      <c r="H50" s="14">
        <f>H48-G48</f>
        <v>-47.226402886757114</v>
      </c>
    </row>
    <row r="51" ht="27">
      <c r="B51" s="3" t="s">
        <v>115</v>
      </c>
      <c r="C51" s="13">
        <f>C45*1000000/C22</f>
        <v>992.7549854665876</v>
      </c>
      <c r="D51" s="13">
        <f>D45*1000000/D22</f>
        <v>899.6653683690822</v>
      </c>
      <c r="E51" s="13">
        <f>E45*1000000/E22</f>
        <v>939.8848356015995</v>
      </c>
      <c r="F51" s="13">
        <f>F45*1000000/F22</f>
        <v>973.7961326859939</v>
      </c>
      <c r="G51" s="13">
        <f>G45*1000000/G22</f>
        <v>1045.8831079079869</v>
      </c>
      <c r="H51" s="24">
        <f>Inputs!H230</f>
        <v>990</v>
      </c>
    </row>
    <row r="52">
      <c r="B52" s="3" t="s">
        <v>116</v>
      </c>
      <c r="C52" s="13"/>
      <c r="D52" s="13"/>
      <c r="E52" s="13"/>
      <c r="F52" s="13"/>
      <c r="G52" s="13"/>
      <c r="H52" s="14">
        <f>H51-C51</f>
        <v>-2.754985466587641</v>
      </c>
    </row>
    <row r="53" ht="27">
      <c r="B53" s="3" t="s">
        <v>117</v>
      </c>
      <c r="C53" s="13"/>
      <c r="D53" s="13">
        <f>D51-C51</f>
        <v>-93.08961709750542</v>
      </c>
      <c r="E53" s="13">
        <f>E51-D51</f>
        <v>40.21946723251733</v>
      </c>
      <c r="F53" s="13"/>
      <c r="G53" s="13">
        <f>G51-E51</f>
        <v>105.99827230638732</v>
      </c>
      <c r="H53" s="14">
        <f>H51-G51</f>
        <v>-55.88310790798687</v>
      </c>
    </row>
    <row r="54">
      <c r="B54" s="3" t="s">
        <v>118</v>
      </c>
      <c r="C54" s="13">
        <f>C33*1000000/C10</f>
        <v>576.2808605660671</v>
      </c>
      <c r="D54" s="13">
        <f>D33*1000000/D10</f>
        <v>569.7199171959871</v>
      </c>
      <c r="E54" s="13">
        <f>E33*1000000/E10</f>
        <v>581.164315517584</v>
      </c>
      <c r="F54" s="13">
        <f>F33*1000000/F10</f>
        <v>574.7523966163005</v>
      </c>
      <c r="G54" s="13">
        <f>G33*1000000/G10</f>
        <v>579.6962999309575</v>
      </c>
      <c r="H54" s="24">
        <f>Inputs!H109</f>
        <v>576.4411027568922</v>
      </c>
    </row>
    <row r="55" ht="26.25">
      <c r="B55" s="3" t="s">
        <v>119</v>
      </c>
      <c r="C55" s="13"/>
      <c r="D55" s="13"/>
      <c r="E55" s="13"/>
      <c r="F55" s="13"/>
      <c r="G55" s="13"/>
      <c r="H55" s="14">
        <f>H54-C54</f>
        <v>0.16024219082510172</v>
      </c>
    </row>
    <row r="56" ht="27">
      <c r="B56" s="3" t="s">
        <v>120</v>
      </c>
      <c r="C56" s="13"/>
      <c r="D56" s="13">
        <f>D54-C54</f>
        <v>-6.56094337007994</v>
      </c>
      <c r="E56" s="13">
        <f>E54-D54</f>
        <v>11.44439832159685</v>
      </c>
      <c r="F56" s="13"/>
      <c r="G56" s="13">
        <f>G54-E54</f>
        <v>-1.4680155866265068</v>
      </c>
      <c r="H56" s="14">
        <f>H54-G54</f>
        <v>-3.2551971740653016</v>
      </c>
    </row>
    <row r="57" ht="27">
      <c r="B57" s="22" t="s">
        <v>121</v>
      </c>
      <c r="C57" s="33">
        <f>Inputs!C40/100</f>
        <v>-0.063</v>
      </c>
      <c r="D57" s="33">
        <f>Inputs!D40/100</f>
        <v>-0.09</v>
      </c>
      <c r="E57" s="33">
        <f>Inputs!E40/100</f>
        <v>-0.019</v>
      </c>
      <c r="F57" s="33">
        <f>Inputs!F40/100</f>
        <v>-0.02</v>
      </c>
      <c r="G57" s="33">
        <f>Inputs!G40/100</f>
        <v>-0.008</v>
      </c>
      <c r="H57" s="21">
        <f>Inputs!H79</f>
        <v>-0.013</v>
      </c>
    </row>
    <row r="58" ht="27">
      <c r="B58" s="22" t="s">
        <v>122</v>
      </c>
      <c r="C58" s="32"/>
      <c r="D58" s="32"/>
      <c r="E58" s="32"/>
      <c r="F58" s="32"/>
      <c r="G58" s="32"/>
      <c r="H58" s="36">
        <f>(H57-C57)*10000</f>
        <v>500</v>
      </c>
    </row>
    <row r="59" ht="27">
      <c r="B59" s="22" t="s">
        <v>123</v>
      </c>
      <c r="C59" s="32"/>
      <c r="D59" s="32">
        <f>(D57-C57)*10000</f>
        <v>-269.99999999999994</v>
      </c>
      <c r="E59" s="32">
        <f>(E57-D57)*10000</f>
        <v>709.9999999999999</v>
      </c>
      <c r="F59" s="32"/>
      <c r="G59" s="32">
        <f>(G57-E57)*10000</f>
        <v>110</v>
      </c>
      <c r="H59" s="36">
        <f>(H57-G57)*10000</f>
        <v>-49.99999999999999</v>
      </c>
    </row>
    <row r="60" ht="27">
      <c r="B60" s="22" t="s">
        <v>124</v>
      </c>
      <c r="C60" s="33">
        <f>'Segment - Auto Finance'!C44</f>
        <v>0.426</v>
      </c>
      <c r="D60" s="33">
        <f>'Segment - Auto Finance'!D44</f>
        <v>0.426</v>
      </c>
      <c r="E60" s="33">
        <f>'Segment - Auto Finance'!E44</f>
        <v>0.428</v>
      </c>
      <c r="F60" s="33">
        <f>'Segment - Auto Finance'!F44</f>
        <v>0.424</v>
      </c>
      <c r="G60" s="33">
        <f>'Segment - Auto Finance'!G44</f>
        <v>0.433</v>
      </c>
      <c r="H60" s="21">
        <f>'Segment - Auto Finance'!H44</f>
        <v>0.433</v>
      </c>
    </row>
    <row r="61" ht="27">
      <c r="B61" s="22" t="s">
        <v>125</v>
      </c>
      <c r="C61" s="32"/>
      <c r="D61" s="32"/>
      <c r="E61" s="32"/>
      <c r="F61" s="32"/>
      <c r="G61" s="32"/>
      <c r="H61" s="36">
        <f>(H60-C60)*10000</f>
        <v>70.00000000000006</v>
      </c>
    </row>
    <row r="62" ht="27">
      <c r="B62" s="22" t="s">
        <v>126</v>
      </c>
      <c r="C62" s="32"/>
      <c r="D62" s="32">
        <f>(D60-C60)*10000</f>
        <v>0</v>
      </c>
      <c r="E62" s="32">
        <f>(E60-D60)*10000</f>
        <v>20.000000000000018</v>
      </c>
      <c r="F62" s="32"/>
      <c r="G62" s="32">
        <f>(G60-E60)*10000</f>
        <v>50.00000000000004</v>
      </c>
      <c r="H62" s="36">
        <f>(H60-G60)*10000</f>
        <v>0</v>
      </c>
    </row>
    <row r="63" ht="27">
      <c r="B63" s="22" t="s">
        <v>127</v>
      </c>
      <c r="C63" s="33">
        <f>Inputs!C103/100</f>
        <v>0.8</v>
      </c>
      <c r="D63" s="33">
        <f>Inputs!D103/100</f>
        <v>0.81</v>
      </c>
      <c r="E63" s="33">
        <f>Inputs!E103/100</f>
        <v>0.83</v>
      </c>
      <c r="F63" s="12" t="s">
        <v>31</v>
      </c>
      <c r="G63" s="33">
        <f>Inputs!G103/100</f>
        <v>0.84</v>
      </c>
      <c r="H63" s="19">
        <f>G63</f>
        <v>0.84</v>
      </c>
    </row>
    <row r="64" ht="27">
      <c r="B64" s="22" t="s">
        <v>128</v>
      </c>
      <c r="C64" s="32"/>
      <c r="D64" s="32"/>
      <c r="E64" s="32"/>
      <c r="F64" s="32"/>
      <c r="G64" s="32"/>
      <c r="H64" s="36">
        <f>(H63-C63)*10000</f>
        <v>399.99999999999926</v>
      </c>
    </row>
    <row r="65" ht="27">
      <c r="B65" s="22" t="s">
        <v>129</v>
      </c>
      <c r="C65" s="32"/>
      <c r="D65" s="32">
        <f>(D63-C63)*10000</f>
        <v>100.00000000000009</v>
      </c>
      <c r="E65" s="32">
        <f>(E63-D63)*10000</f>
        <v>199.99999999999906</v>
      </c>
      <c r="F65" s="32"/>
      <c r="G65" s="32">
        <f>(G63-E63)*10000</f>
        <v>100.00000000000009</v>
      </c>
      <c r="H65" s="36">
        <f>(H63-G63)*10000</f>
        <v>0</v>
      </c>
    </row>
    <row r="66">
      <c r="B66" s="22" t="s">
        <v>130</v>
      </c>
      <c r="C66" s="33">
        <f>Inputs!C105/100</f>
        <v>0.12</v>
      </c>
      <c r="D66" s="33">
        <f>Inputs!D105/100</f>
        <v>0.12</v>
      </c>
      <c r="E66" s="33">
        <f>Inputs!E105/100</f>
        <v>0.13</v>
      </c>
      <c r="F66" s="12" t="s">
        <v>31</v>
      </c>
      <c r="G66" s="33">
        <f>Inputs!G105/100</f>
        <v>0.14</v>
      </c>
      <c r="H66" s="19">
        <f>G66</f>
        <v>0.14</v>
      </c>
    </row>
    <row r="67" ht="27">
      <c r="B67" s="22" t="s">
        <v>131</v>
      </c>
      <c r="C67" s="32"/>
      <c r="D67" s="32"/>
      <c r="E67" s="32"/>
      <c r="F67" s="32"/>
      <c r="G67" s="32"/>
      <c r="H67" s="36">
        <f>(H66-C66)*10000</f>
        <v>200.00000000000017</v>
      </c>
    </row>
    <row r="68" ht="27">
      <c r="B68" s="22" t="s">
        <v>132</v>
      </c>
      <c r="C68" s="32"/>
      <c r="D68" s="32">
        <f>(D66-C66)*10000</f>
        <v>0</v>
      </c>
      <c r="E68" s="32">
        <f>(E66-D66)*10000</f>
        <v>100.00000000000009</v>
      </c>
      <c r="F68" s="32"/>
      <c r="G68" s="32">
        <f>(G66-E66)*10000</f>
        <v>100.00000000000009</v>
      </c>
      <c r="H68" s="36">
        <f>(H66-G66)*10000</f>
        <v>0</v>
      </c>
    </row>
    <row r="69" ht="27">
      <c r="B69" s="3" t="s">
        <v>133</v>
      </c>
      <c r="C69" s="17">
        <f>Inputs!C106</f>
        <v>262</v>
      </c>
      <c r="D69" s="17">
        <f>Inputs!D106</f>
        <v>208</v>
      </c>
      <c r="E69" s="17">
        <f>Inputs!E106</f>
        <v>229</v>
      </c>
      <c r="F69" s="13" t="s">
        <v>31</v>
      </c>
      <c r="G69" s="17">
        <f>Inputs!G106</f>
        <v>281</v>
      </c>
      <c r="H69" s="14">
        <f>C69*H10/C10</f>
        <v>261.6996029620135</v>
      </c>
    </row>
    <row r="70" ht="27">
      <c r="B70" s="3" t="s">
        <v>134</v>
      </c>
      <c r="C70" s="13"/>
      <c r="D70" s="13"/>
      <c r="E70" s="13"/>
      <c r="F70" s="13"/>
      <c r="G70" s="13"/>
      <c r="H70" s="14">
        <f>H69-C69</f>
        <v>-0.3003970379864995</v>
      </c>
    </row>
    <row r="71" ht="27">
      <c r="B71" s="3" t="s">
        <v>135</v>
      </c>
      <c r="C71" s="13"/>
      <c r="D71" s="13">
        <f>D69-C69</f>
        <v>-54</v>
      </c>
      <c r="E71" s="13">
        <f>E69-D69</f>
        <v>21</v>
      </c>
      <c r="F71" s="13"/>
      <c r="G71" s="13">
        <f>G69-E69</f>
        <v>52</v>
      </c>
      <c r="H71" s="14">
        <f>H69-G69</f>
        <v>-19.3003970379865</v>
      </c>
    </row>
    <row r="72" ht="27">
      <c r="B72" s="3" t="s">
        <v>136</v>
      </c>
      <c r="C72" s="17">
        <f>Inputs!C107</f>
        <v>31</v>
      </c>
      <c r="D72" s="17">
        <f>Inputs!D107</f>
        <v>30</v>
      </c>
      <c r="E72" s="17">
        <f>Inputs!E107</f>
        <v>41</v>
      </c>
      <c r="F72" s="13" t="s">
        <v>31</v>
      </c>
      <c r="G72" s="17">
        <f>Inputs!G107</f>
        <v>41</v>
      </c>
      <c r="H72" s="14">
        <f>C72*H22/C22</f>
        <v>31.04438113693222</v>
      </c>
    </row>
    <row r="73" ht="27">
      <c r="B73" s="3" t="s">
        <v>137</v>
      </c>
      <c r="C73" s="13"/>
      <c r="D73" s="13"/>
      <c r="E73" s="13"/>
      <c r="F73" s="13"/>
      <c r="G73" s="13"/>
      <c r="H73" s="14">
        <f>H72-C72</f>
        <v>0.04438113693221979</v>
      </c>
    </row>
    <row r="74" ht="27">
      <c r="B74" s="3" t="s">
        <v>138</v>
      </c>
      <c r="C74" s="13"/>
      <c r="D74" s="13">
        <f>D72-C72</f>
        <v>-1</v>
      </c>
      <c r="E74" s="13">
        <f>E72-D72</f>
        <v>11</v>
      </c>
      <c r="F74" s="13"/>
      <c r="G74" s="13">
        <f>G72-E72</f>
        <v>0</v>
      </c>
      <c r="H74" s="14">
        <f>H72-G72</f>
        <v>-9.95561886306778</v>
      </c>
    </row>
    <row r="75">
      <c r="B75" s="22" t="s">
        <v>139</v>
      </c>
      <c r="C75" s="12">
        <f>C47/C43</f>
        <v>0.10883014793742836</v>
      </c>
      <c r="D75" s="12">
        <f>D47/D43</f>
        <v>0.10183035752811122</v>
      </c>
      <c r="E75" s="12">
        <f>E47/E43</f>
        <v>0.10180021392676708</v>
      </c>
      <c r="F75" s="12">
        <f>F47/F43</f>
        <v>0.10844193787358056</v>
      </c>
      <c r="G75" s="12">
        <f>G47/G43</f>
        <v>0.10661981251684652</v>
      </c>
      <c r="H75" s="19">
        <f>H47/H43</f>
        <v>0.10385935516225343</v>
      </c>
    </row>
    <row r="76">
      <c r="B76" s="3" t="s">
        <v>140</v>
      </c>
      <c r="C76" s="13"/>
      <c r="D76" s="13"/>
      <c r="E76" s="13"/>
      <c r="F76" s="13"/>
      <c r="G76" s="13">
        <f>(G75-C75)*10000</f>
        <v>-22.10335420581841</v>
      </c>
      <c r="H76" s="14">
        <f>(H75-C75)*10000</f>
        <v>-49.70792775174926</v>
      </c>
    </row>
    <row r="77">
      <c r="B77" s="3" t="s">
        <v>141</v>
      </c>
      <c r="C77" s="13"/>
      <c r="D77" s="13">
        <f>(D75-C75)*10000</f>
        <v>-69.99790409317141</v>
      </c>
      <c r="E77" s="13">
        <f>(E75-D75)*10000</f>
        <v>-0.30143601344137516</v>
      </c>
      <c r="F77" s="13"/>
      <c r="G77" s="13">
        <f>(G75-F75)*10000</f>
        <v>-18.22125356734039</v>
      </c>
      <c r="H77" s="14">
        <f>(H75-G75)*10000</f>
        <v>-27.60457354593085</v>
      </c>
    </row>
    <row r="78">
      <c r="B78" s="15" t="s">
        <v>142</v>
      </c>
      <c r="C78" s="23">
        <f>SUM(C10,C22)</f>
        <v>338031</v>
      </c>
      <c r="D78" s="23">
        <f>SUM(D10,D22)</f>
        <v>297160</v>
      </c>
      <c r="E78" s="23">
        <f>SUM(E10,E22)</f>
        <v>303969</v>
      </c>
      <c r="F78" s="23">
        <f>SUM(F10,F22)</f>
        <v>1318887</v>
      </c>
      <c r="G78" s="23">
        <f>SUM(G10,G22)</f>
        <v>392357</v>
      </c>
      <c r="H78" s="18">
        <f>SUM(H10,H22)</f>
        <v>338000</v>
      </c>
    </row>
    <row r="79">
      <c r="B79" s="3" t="s">
        <v>143</v>
      </c>
      <c r="C79" s="13"/>
      <c r="D79" s="13"/>
      <c r="E79" s="13"/>
      <c r="F79" s="13"/>
      <c r="G79" s="13"/>
      <c r="H79" s="14">
        <f>IFERROR(H78/C78-1,0)</f>
        <v>-0.0000917075652824284</v>
      </c>
    </row>
    <row r="80">
      <c r="B80" s="3" t="s">
        <v>144</v>
      </c>
      <c r="C80" s="13"/>
      <c r="D80" s="13">
        <f>D78-C78</f>
        <v>-40871</v>
      </c>
      <c r="E80" s="13">
        <f>E78-D78</f>
        <v>6809</v>
      </c>
      <c r="F80" s="13"/>
      <c r="G80" s="13">
        <f>G78-E78</f>
        <v>88388</v>
      </c>
      <c r="H80" s="14">
        <f>H78-G78</f>
        <v>-54357</v>
      </c>
    </row>
    <row r="81">
      <c r="B81" s="3" t="s">
        <v>145</v>
      </c>
      <c r="C81" s="13"/>
      <c r="D81" s="13"/>
      <c r="E81" s="13"/>
      <c r="F81" s="13"/>
      <c r="G81" s="13"/>
      <c r="H81" s="14" t="str">
        <f>"United States: effectively all operations"</f>
        <v>United States: effectively all operations</v>
      </c>
    </row>
    <row r="82" ht="27">
      <c r="B82" s="15" t="s">
        <v>146</v>
      </c>
      <c r="C82" s="23">
        <f>C43-SUM(C16,C28,C41:C42)</f>
        <v>0</v>
      </c>
      <c r="D82" s="23">
        <f>D43-SUM(D16,D28,D41:D42)</f>
        <v>0</v>
      </c>
      <c r="E82" s="23">
        <f>E43-SUM(E16,E28,E41:E42)</f>
        <v>0</v>
      </c>
      <c r="F82" s="23">
        <f>F43-SUM(F16,F28,F41:F42)</f>
        <v>0</v>
      </c>
      <c r="G82" s="23">
        <f>G43-SUM(G16,G28,G41:G42)</f>
        <v>0</v>
      </c>
      <c r="H82" s="18">
        <f>H43-SUM(H16,H28,H41:H42)</f>
        <v>0</v>
      </c>
    </row>
    <row r="83">
      <c r="B83" s="22" t="s">
        <v>147</v>
      </c>
      <c r="C83" s="33">
        <f>Inputs!C104/100</f>
        <v>0.68</v>
      </c>
      <c r="D83" s="33">
        <f>Inputs!D104/100</f>
        <v>0.69</v>
      </c>
      <c r="E83" s="33">
        <f>Inputs!E104/100</f>
        <v>0.7</v>
      </c>
      <c r="F83" s="12" t="s">
        <v>31</v>
      </c>
      <c r="G83" s="33">
        <f>Inputs!G104/100</f>
        <v>0.7</v>
      </c>
      <c r="H83" s="19">
        <f>G83</f>
        <v>0.7</v>
      </c>
    </row>
    <row r="84" ht="27">
      <c r="B84" s="22" t="s">
        <v>148</v>
      </c>
      <c r="C84" s="32"/>
      <c r="D84" s="32"/>
      <c r="E84" s="32"/>
      <c r="F84" s="32"/>
      <c r="G84" s="32"/>
      <c r="H84" s="36">
        <f>(H83-C83)*10000</f>
        <v>199.99999999999906</v>
      </c>
    </row>
    <row r="85" ht="27">
      <c r="B85" s="22" t="s">
        <v>149</v>
      </c>
      <c r="C85" s="32"/>
      <c r="D85" s="32">
        <f>(D83-C83)*10000</f>
        <v>99.99999999999898</v>
      </c>
      <c r="E85" s="32">
        <f>(E83-D83)*10000</f>
        <v>100.00000000000009</v>
      </c>
      <c r="F85" s="32"/>
      <c r="G85" s="32">
        <f>(G83-E83)*10000</f>
        <v>0</v>
      </c>
      <c r="H85" s="36">
        <f>(H83-G83)*10000</f>
        <v>0</v>
      </c>
    </row>
    <row r="86">
      <c r="B86" s="3" t="s">
        <v>150</v>
      </c>
      <c r="C86" s="13">
        <f>SUM(C69,C72)</f>
        <v>293</v>
      </c>
      <c r="D86" s="13">
        <f>SUM(D69,D72)</f>
        <v>238</v>
      </c>
      <c r="E86" s="13">
        <f>SUM(E69,E72)</f>
        <v>270</v>
      </c>
      <c r="F86" s="13" t="s">
        <v>31</v>
      </c>
      <c r="G86" s="13">
        <f>SUM(G69,G72)</f>
        <v>322</v>
      </c>
      <c r="H86" s="14">
        <f>SUM(H69,H72)</f>
        <v>292.7439840989457</v>
      </c>
    </row>
    <row r="87">
      <c r="B87" s="3" t="s">
        <v>151</v>
      </c>
      <c r="C87" s="13"/>
      <c r="D87" s="13"/>
      <c r="E87" s="13"/>
      <c r="F87" s="13"/>
      <c r="G87" s="13"/>
      <c r="H87" s="14"/>
    </row>
    <row r="88" ht="27">
      <c r="B88" s="16" t="s">
        <v>152</v>
      </c>
      <c r="C88" s="12"/>
      <c r="D88" s="12"/>
      <c r="E88" s="12"/>
      <c r="F88" s="12"/>
      <c r="G88" s="12"/>
      <c r="H88" s="19">
        <f>(1+H91)/((1+H89)*(1+H90))-1</f>
        <v>1.5</v>
      </c>
    </row>
    <row r="89">
      <c r="B89" s="16" t="s">
        <v>153</v>
      </c>
      <c r="C89" s="12"/>
      <c r="D89" s="12"/>
      <c r="E89" s="12"/>
      <c r="F89" s="12"/>
      <c r="G89" s="12"/>
      <c r="H89" s="21">
        <f>Inputs!H77</f>
        <v>0</v>
      </c>
    </row>
    <row r="90">
      <c r="B90" s="16" t="s">
        <v>154</v>
      </c>
      <c r="C90" s="12"/>
      <c r="D90" s="12"/>
      <c r="E90" s="12"/>
      <c r="F90" s="12"/>
      <c r="G90" s="12"/>
      <c r="H90" s="21">
        <f>Inputs!H78</f>
        <v>0</v>
      </c>
    </row>
    <row r="91">
      <c r="B91" s="16" t="s">
        <v>155</v>
      </c>
      <c r="C91" s="12"/>
      <c r="D91" s="12"/>
      <c r="E91" s="12"/>
      <c r="F91" s="12"/>
      <c r="G91" s="12"/>
      <c r="H91" s="19">
        <f>IFERROR(H38/C38-1,0)</f>
        <v>1.5</v>
      </c>
    </row>
    <row r="92" ht="27">
      <c r="B92" s="16" t="s">
        <v>156</v>
      </c>
      <c r="C92" s="12"/>
      <c r="D92" s="12"/>
      <c r="E92" s="12"/>
      <c r="F92" s="12"/>
      <c r="G92" s="12"/>
      <c r="H92" s="19">
        <f>(1+H95)/((1+H93)*(1+H94))-1</f>
        <v>-0.05013192612137196</v>
      </c>
    </row>
    <row r="93">
      <c r="B93" s="16" t="s">
        <v>153</v>
      </c>
      <c r="C93" s="12"/>
      <c r="D93" s="12"/>
      <c r="E93" s="12"/>
      <c r="F93" s="12"/>
      <c r="G93" s="12"/>
      <c r="H93" s="21">
        <f>Inputs!H77</f>
        <v>0</v>
      </c>
    </row>
    <row r="94">
      <c r="B94" s="16" t="s">
        <v>154</v>
      </c>
      <c r="C94" s="12"/>
      <c r="D94" s="12"/>
      <c r="E94" s="12"/>
      <c r="F94" s="12"/>
      <c r="G94" s="12"/>
      <c r="H94" s="21">
        <f>Inputs!H78</f>
        <v>0</v>
      </c>
    </row>
    <row r="95">
      <c r="B95" s="16" t="s">
        <v>155</v>
      </c>
      <c r="C95" s="12"/>
      <c r="D95" s="12"/>
      <c r="E95" s="12"/>
      <c r="F95" s="12"/>
      <c r="G95" s="12"/>
      <c r="H95" s="19">
        <f>IFERROR(H39/C39-1,0)</f>
        <v>-0.05013192612137196</v>
      </c>
    </row>
    <row r="96" ht="27">
      <c r="B96" s="16" t="s">
        <v>157</v>
      </c>
      <c r="C96" s="12"/>
      <c r="D96" s="12"/>
      <c r="E96" s="12"/>
      <c r="F96" s="12"/>
      <c r="G96" s="12"/>
      <c r="H96" s="19">
        <f>(1+H99)/((1+H97)*(1+H98))-1</f>
        <v>0.03603603603603611</v>
      </c>
    </row>
    <row r="97">
      <c r="B97" s="16" t="s">
        <v>153</v>
      </c>
      <c r="C97" s="12"/>
      <c r="D97" s="12"/>
      <c r="E97" s="12"/>
      <c r="F97" s="12"/>
      <c r="G97" s="12"/>
      <c r="H97" s="21">
        <f>Inputs!H77</f>
        <v>0</v>
      </c>
    </row>
    <row r="98">
      <c r="B98" s="16" t="s">
        <v>154</v>
      </c>
      <c r="C98" s="12"/>
      <c r="D98" s="12"/>
      <c r="E98" s="12"/>
      <c r="F98" s="12"/>
      <c r="G98" s="12"/>
      <c r="H98" s="21">
        <f>Inputs!H78</f>
        <v>0</v>
      </c>
    </row>
    <row r="99">
      <c r="B99" s="16" t="s">
        <v>155</v>
      </c>
      <c r="C99" s="12"/>
      <c r="D99" s="12"/>
      <c r="E99" s="12"/>
      <c r="F99" s="12"/>
      <c r="G99" s="12"/>
      <c r="H99" s="19">
        <f>IFERROR(H40/C40-1,0)</f>
        <v>0.03603603603603611</v>
      </c>
    </row>
    <row r="100" ht="27">
      <c r="B100" s="3" t="s">
        <v>158</v>
      </c>
      <c r="C100" s="13">
        <f>C38*1000000/C10</f>
        <v>-4.005427354064758</v>
      </c>
      <c r="D100" s="13">
        <f>D38*1000000/D10</f>
        <v>-17.69316513031016</v>
      </c>
      <c r="E100" s="13">
        <f>E38*1000000/E10</f>
        <v>-22.62843013886129</v>
      </c>
      <c r="F100" s="13">
        <f>F38*1000000/F10</f>
        <v>-11.144073658484098</v>
      </c>
      <c r="G100" s="13">
        <f>G38*1000000/G10</f>
        <v>-19.54032471677385</v>
      </c>
      <c r="H100" s="24">
        <f>Inputs!H180</f>
        <v>-10.025062656641603</v>
      </c>
    </row>
    <row r="101" ht="27">
      <c r="B101" s="3" t="s">
        <v>159</v>
      </c>
      <c r="C101" s="13"/>
      <c r="D101" s="13"/>
      <c r="E101" s="13"/>
      <c r="F101" s="13"/>
      <c r="G101" s="13"/>
      <c r="H101" s="14">
        <f>H100-C100</f>
        <v>-6.019635302576845</v>
      </c>
    </row>
    <row r="102" ht="27">
      <c r="B102" s="3" t="s">
        <v>160</v>
      </c>
      <c r="C102" s="13"/>
      <c r="D102" s="13">
        <f>D100-C100</f>
        <v>-13.687737776245402</v>
      </c>
      <c r="E102" s="13">
        <f>E100-D100</f>
        <v>-4.935265008551131</v>
      </c>
      <c r="F102" s="13"/>
      <c r="G102" s="13">
        <f>G100-E100</f>
        <v>3.088105422087441</v>
      </c>
      <c r="H102" s="14">
        <f>H100-G100</f>
        <v>9.515262060132246</v>
      </c>
    </row>
    <row r="103" ht="27">
      <c r="B103" s="3" t="s">
        <v>161</v>
      </c>
      <c r="C103" s="13">
        <f>C39*1000000/C78</f>
        <v>112.11989432921833</v>
      </c>
      <c r="D103" s="13">
        <f>D39*1000000/D78</f>
        <v>118.1181854892987</v>
      </c>
      <c r="E103" s="13">
        <f>E39*1000000/E78</f>
        <v>114.81433962015863</v>
      </c>
      <c r="F103" s="13">
        <f>F39*1000000/F78</f>
        <v>109.56207772159404</v>
      </c>
      <c r="G103" s="13">
        <f>G39*1000000/G78</f>
        <v>93.53726325769644</v>
      </c>
      <c r="H103" s="24">
        <f>Inputs!H181</f>
        <v>106.50887573964496</v>
      </c>
    </row>
    <row r="104" ht="27">
      <c r="B104" s="3" t="s">
        <v>162</v>
      </c>
      <c r="C104" s="13"/>
      <c r="D104" s="13"/>
      <c r="E104" s="13"/>
      <c r="F104" s="13"/>
      <c r="G104" s="13"/>
      <c r="H104" s="14">
        <f>H103-C103</f>
        <v>-5.611018589573362</v>
      </c>
    </row>
    <row r="105" ht="27">
      <c r="B105" s="3" t="s">
        <v>163</v>
      </c>
      <c r="C105" s="13"/>
      <c r="D105" s="13">
        <f>D103-C103</f>
        <v>5.99829116008037</v>
      </c>
      <c r="E105" s="13">
        <f>E103-D103</f>
        <v>-3.303845869140062</v>
      </c>
      <c r="F105" s="13"/>
      <c r="G105" s="13">
        <f>G103-E103</f>
        <v>-21.277076362462196</v>
      </c>
      <c r="H105" s="14">
        <f>H103-G103</f>
        <v>12.971612481948526</v>
      </c>
    </row>
    <row r="106" ht="27">
      <c r="B106" s="3" t="s">
        <v>164</v>
      </c>
      <c r="C106" s="13">
        <f>C40*1000000/C10</f>
        <v>111.15060907529703</v>
      </c>
      <c r="D106" s="13">
        <f>D40*1000000/D10</f>
        <v>129.16010545126417</v>
      </c>
      <c r="E106" s="13">
        <f>E40*1000000/E10</f>
        <v>125.28423515906131</v>
      </c>
      <c r="F106" s="13">
        <f>F40*1000000/F10</f>
        <v>114.89924220299122</v>
      </c>
      <c r="G106" s="13">
        <f>G40*1000000/G10</f>
        <v>125.49230762550316</v>
      </c>
      <c r="H106" s="24">
        <f>Inputs!H182</f>
        <v>115.28822055137844</v>
      </c>
    </row>
    <row r="107" ht="27">
      <c r="B107" s="3" t="s">
        <v>165</v>
      </c>
      <c r="C107" s="13"/>
      <c r="D107" s="13"/>
      <c r="E107" s="13"/>
      <c r="F107" s="13"/>
      <c r="G107" s="13"/>
      <c r="H107" s="14">
        <f>H106-C106</f>
        <v>4.1376114760814175</v>
      </c>
    </row>
    <row r="108" ht="27">
      <c r="B108" s="3" t="s">
        <v>166</v>
      </c>
      <c r="C108" s="13"/>
      <c r="D108" s="13">
        <f>D106-C106</f>
        <v>18.009496375967146</v>
      </c>
      <c r="E108" s="13">
        <f>E106-D106</f>
        <v>-3.875870292202862</v>
      </c>
      <c r="F108" s="13"/>
      <c r="G108" s="13">
        <f>G106-E106</f>
        <v>0.2080724664418483</v>
      </c>
      <c r="H108" s="14">
        <f>H106-G106</f>
        <v>-10.204087074124715</v>
      </c>
    </row>
    <row r="109">
      <c r="H109" s="1"/>
    </row>
    <row r="110">
      <c r="H110" s="1"/>
    </row>
    <row r="111">
      <c r="H111" s="1"/>
    </row>
    <row r="112">
      <c r="H112" s="1"/>
    </row>
    <row r="113">
      <c r="H113" s="1"/>
    </row>
    <row r="114">
      <c r="H114" s="1"/>
    </row>
    <row r="115">
      <c r="H115" s="1"/>
    </row>
    <row r="116">
      <c r="H116" s="1"/>
    </row>
    <row r="117">
      <c r="H117" s="1"/>
    </row>
    <row r="118">
      <c r="H118" s="1"/>
    </row>
    <row r="119">
      <c r="H119" s="1"/>
    </row>
    <row r="120">
      <c r="H120" s="1"/>
    </row>
    <row r="121">
      <c r="H121" s="1"/>
    </row>
    <row r="122">
      <c r="H122" s="1"/>
    </row>
    <row r="123">
      <c r="H123" s="1"/>
    </row>
    <row r="124">
      <c r="H124" s="1"/>
    </row>
    <row r="125">
      <c r="H125" s="1"/>
    </row>
    <row r="126">
      <c r="H126" s="1"/>
    </row>
    <row r="127">
      <c r="H127" s="1"/>
    </row>
    <row r="128">
      <c r="H128" s="1"/>
    </row>
    <row r="129">
      <c r="H129" s="1"/>
    </row>
    <row r="130">
      <c r="H130" s="1"/>
    </row>
    <row r="131">
      <c r="H131" s="1"/>
    </row>
    <row r="132">
      <c r="H132" s="1"/>
    </row>
    <row r="133">
      <c r="H133" s="1"/>
    </row>
    <row r="134">
      <c r="H134" s="1"/>
    </row>
    <row r="135">
      <c r="H135" s="1"/>
    </row>
    <row r="136">
      <c r="H136" s="1"/>
    </row>
    <row r="137">
      <c r="H137" s="1"/>
    </row>
    <row r="138">
      <c r="H138" s="1"/>
    </row>
    <row r="139">
      <c r="H139" s="1"/>
    </row>
    <row r="140">
      <c r="H140" s="1"/>
    </row>
    <row r="141">
      <c r="H141" s="1"/>
    </row>
    <row r="142">
      <c r="H142" s="1"/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B2:J143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4" customWidth="1"/>
    <col min="3" max="8" width="14" customWidth="1"/>
    <col min="10" max="10" width="90" customWidth="1"/>
  </cols>
  <sheetData>
    <row r="2">
      <c r="B2" s="2" t="s">
        <v>0</v>
      </c>
      <c r="C2" s="2"/>
      <c r="D2" s="2"/>
      <c r="E2" s="2"/>
      <c r="F2" s="2"/>
      <c r="G2" s="2"/>
      <c r="H2" s="2"/>
    </row>
    <row r="3">
      <c r="B3" s="2" t="s">
        <v>167</v>
      </c>
      <c r="C3" s="2"/>
      <c r="D3" s="2"/>
      <c r="E3" s="2"/>
      <c r="F3" s="2"/>
      <c r="G3" s="2"/>
      <c r="H3" s="2"/>
    </row>
    <row r="4">
      <c r="B4" s="2" t="s">
        <v>2</v>
      </c>
      <c r="C4" s="2"/>
      <c r="D4" s="2"/>
      <c r="E4" s="2"/>
      <c r="F4" s="2"/>
      <c r="G4" s="2"/>
      <c r="H4" s="2"/>
    </row>
    <row r="5">
      <c r="B5" s="11"/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</row>
    <row r="6">
      <c r="B6" s="11"/>
      <c r="C6" s="6">
        <v>45900</v>
      </c>
      <c r="D6" s="6">
        <v>45991</v>
      </c>
      <c r="E6" s="6">
        <v>46081</v>
      </c>
      <c r="F6" s="6">
        <v>46081</v>
      </c>
      <c r="G6" s="6">
        <v>46173</v>
      </c>
      <c r="H6" s="6">
        <v>46265</v>
      </c>
    </row>
    <row r="7">
      <c r="B7" s="11"/>
      <c r="C7" s="11">
        <v>92</v>
      </c>
      <c r="D7" s="11">
        <v>91</v>
      </c>
      <c r="E7" s="11">
        <v>90</v>
      </c>
      <c r="F7" s="11">
        <v>365</v>
      </c>
      <c r="G7" s="11">
        <v>92</v>
      </c>
      <c r="H7" s="11">
        <v>92</v>
      </c>
    </row>
    <row r="8">
      <c r="B8" s="2"/>
      <c r="C8" s="2"/>
      <c r="D8" s="2"/>
      <c r="E8" s="2"/>
      <c r="F8" s="2"/>
      <c r="G8" s="2"/>
      <c r="H8" s="4"/>
    </row>
    <row r="9">
      <c r="B9" s="3" t="s">
        <v>168</v>
      </c>
      <c r="C9" s="13"/>
      <c r="D9" s="13"/>
      <c r="E9" s="13"/>
      <c r="F9" s="13"/>
      <c r="G9" s="13"/>
      <c r="H9" s="14"/>
    </row>
    <row r="10" ht="27">
      <c r="B10" s="15" t="s">
        <v>169</v>
      </c>
      <c r="C10" s="20">
        <f>Inputs!C28</f>
        <v>489.8</v>
      </c>
      <c r="D10" s="20">
        <f>Inputs!D28</f>
        <v>448</v>
      </c>
      <c r="E10" s="20">
        <f>Inputs!E28</f>
        <v>441</v>
      </c>
      <c r="F10" s="20">
        <f>Inputs!F28</f>
        <v>1864.2</v>
      </c>
      <c r="G10" s="20">
        <f>Inputs!G28</f>
        <v>460.9</v>
      </c>
      <c r="H10" s="25">
        <f>H27*Inputs!H110*H7/365</f>
        <v>456.99999999999994</v>
      </c>
    </row>
    <row r="11">
      <c r="B11" s="22" t="s">
        <v>170</v>
      </c>
      <c r="C11" s="12"/>
      <c r="D11" s="12"/>
      <c r="E11" s="12"/>
      <c r="F11" s="12"/>
      <c r="G11" s="12"/>
      <c r="H11" s="19">
        <f>H10/C10-1</f>
        <v>-0.06696610861576169</v>
      </c>
    </row>
    <row r="12">
      <c r="B12" s="3" t="s">
        <v>171</v>
      </c>
      <c r="C12" s="13"/>
      <c r="D12" s="13">
        <f>D10-C10</f>
        <v>-41.80000000000001</v>
      </c>
      <c r="E12" s="13">
        <f>E10-D10</f>
        <v>-7</v>
      </c>
      <c r="F12" s="13"/>
      <c r="G12" s="13">
        <f>G10-E10</f>
        <v>19.899999999999977</v>
      </c>
      <c r="H12" s="14">
        <f>H10-G10</f>
        <v>-3.900000000000034</v>
      </c>
    </row>
    <row r="13">
      <c r="B13" s="22" t="s">
        <v>91</v>
      </c>
      <c r="C13" s="12"/>
      <c r="D13" s="12"/>
      <c r="E13" s="12"/>
      <c r="F13" s="12"/>
      <c r="G13" s="12"/>
      <c r="H13" s="19">
        <f>(1+H16)/((1+H14)*(1+H15))-1</f>
        <v>-0.06696610861576169</v>
      </c>
    </row>
    <row r="14">
      <c r="B14" s="22" t="s">
        <v>92</v>
      </c>
      <c r="C14" s="12"/>
      <c r="D14" s="12"/>
      <c r="E14" s="12"/>
      <c r="F14" s="12"/>
      <c r="G14" s="12"/>
      <c r="H14" s="21">
        <f>Inputs!H77</f>
        <v>0</v>
      </c>
    </row>
    <row r="15">
      <c r="B15" s="22" t="s">
        <v>172</v>
      </c>
      <c r="C15" s="12"/>
      <c r="D15" s="12"/>
      <c r="E15" s="12"/>
      <c r="F15" s="12"/>
      <c r="G15" s="12"/>
      <c r="H15" s="21">
        <f>Inputs!H78</f>
        <v>0</v>
      </c>
    </row>
    <row r="16">
      <c r="B16" s="22" t="s">
        <v>94</v>
      </c>
      <c r="C16" s="12"/>
      <c r="D16" s="12"/>
      <c r="E16" s="12"/>
      <c r="F16" s="12"/>
      <c r="G16" s="12"/>
      <c r="H16" s="19">
        <f>H10/C10-1</f>
        <v>-0.06696610861576169</v>
      </c>
    </row>
    <row r="17" ht="27">
      <c r="B17" s="3" t="s">
        <v>173</v>
      </c>
      <c r="C17" s="17">
        <f>Inputs!C29</f>
        <v>-199.2</v>
      </c>
      <c r="D17" s="17">
        <f>Inputs!D29</f>
        <v>-188.3</v>
      </c>
      <c r="E17" s="17">
        <f>Inputs!E29</f>
        <v>-184.2</v>
      </c>
      <c r="F17" s="17">
        <f>Inputs!F29</f>
        <v>-769.2</v>
      </c>
      <c r="G17" s="17">
        <f>Inputs!G29</f>
        <v>-184.2</v>
      </c>
      <c r="H17" s="24">
        <f>Inputs!H29</f>
        <v>-190</v>
      </c>
    </row>
    <row r="18">
      <c r="B18" s="15" t="s">
        <v>174</v>
      </c>
      <c r="C18" s="23">
        <f>SUM(C10,C17)</f>
        <v>290.6</v>
      </c>
      <c r="D18" s="23">
        <f>SUM(D10,D17)</f>
        <v>259.7</v>
      </c>
      <c r="E18" s="23">
        <f>SUM(E10,E17)</f>
        <v>256.8</v>
      </c>
      <c r="F18" s="23">
        <f>SUM(F10,F17)</f>
        <v>1095</v>
      </c>
      <c r="G18" s="23">
        <f>SUM(G10,G17)</f>
        <v>276.7</v>
      </c>
      <c r="H18" s="18">
        <f>SUM(H10,H17)</f>
        <v>266.99999999999994</v>
      </c>
    </row>
    <row r="19">
      <c r="B19" s="3" t="s">
        <v>175</v>
      </c>
      <c r="C19" s="17">
        <f>Inputs!C30</f>
        <v>-142.2</v>
      </c>
      <c r="D19" s="17">
        <f>Inputs!D30</f>
        <v>-73.4</v>
      </c>
      <c r="E19" s="17">
        <f>Inputs!E30</f>
        <v>-73.9</v>
      </c>
      <c r="F19" s="17">
        <f>Inputs!F30</f>
        <v>-391.2</v>
      </c>
      <c r="G19" s="17">
        <f>Inputs!G30</f>
        <v>-95.6</v>
      </c>
      <c r="H19" s="24">
        <f>Inputs!H30</f>
        <v>-120</v>
      </c>
    </row>
    <row r="20" ht="27">
      <c r="B20" s="15" t="s">
        <v>176</v>
      </c>
      <c r="C20" s="23">
        <f>SUM(C18:C19)</f>
        <v>148.40000000000003</v>
      </c>
      <c r="D20" s="23">
        <f>SUM(D18:D19)</f>
        <v>186.29999999999998</v>
      </c>
      <c r="E20" s="23">
        <f>SUM(E18:E19)</f>
        <v>182.9</v>
      </c>
      <c r="F20" s="23">
        <f>SUM(F18:F19)</f>
        <v>703.8</v>
      </c>
      <c r="G20" s="23">
        <f>SUM(G18:G19)</f>
        <v>181.1</v>
      </c>
      <c r="H20" s="18">
        <f>SUM(H18:H19)</f>
        <v>146.99999999999994</v>
      </c>
    </row>
    <row r="21">
      <c r="B21" s="3" t="s">
        <v>177</v>
      </c>
      <c r="C21" s="17">
        <f>Inputs!C31</f>
        <v>0</v>
      </c>
      <c r="D21" s="17">
        <f>Inputs!D31</f>
        <v>5</v>
      </c>
      <c r="E21" s="17">
        <f>Inputs!E31</f>
        <v>4.7</v>
      </c>
      <c r="F21" s="17">
        <f>Inputs!F31</f>
        <v>9.7</v>
      </c>
      <c r="G21" s="17">
        <f>Inputs!G31</f>
        <v>4.2</v>
      </c>
      <c r="H21" s="24">
        <f>Inputs!H31</f>
        <v>5</v>
      </c>
    </row>
    <row r="22">
      <c r="B22" s="3" t="s">
        <v>178</v>
      </c>
      <c r="C22" s="17">
        <f>Inputs!C32</f>
        <v>-45.8</v>
      </c>
      <c r="D22" s="17">
        <f>Inputs!D32</f>
        <v>-43.6</v>
      </c>
      <c r="E22" s="17">
        <f>Inputs!E32</f>
        <v>-44</v>
      </c>
      <c r="F22" s="17">
        <f>Inputs!F32</f>
        <v>-177.9</v>
      </c>
      <c r="G22" s="17">
        <f>Inputs!G32</f>
        <v>-45.1</v>
      </c>
      <c r="H22" s="24">
        <f>Inputs!H32</f>
        <v>-46</v>
      </c>
    </row>
    <row r="23">
      <c r="B23" s="3" t="s">
        <v>179</v>
      </c>
      <c r="C23" s="17">
        <f>Inputs!C33</f>
        <v>0</v>
      </c>
      <c r="D23" s="17">
        <f>Inputs!D33</f>
        <v>27</v>
      </c>
      <c r="E23" s="17">
        <f>Inputs!E33</f>
        <v>-0.1</v>
      </c>
      <c r="F23" s="17">
        <f>Inputs!F33</f>
        <v>26.9</v>
      </c>
      <c r="G23" s="17">
        <f>Inputs!G33</f>
        <v>0</v>
      </c>
      <c r="H23" s="24">
        <f>Inputs!H33</f>
        <v>0</v>
      </c>
    </row>
    <row r="24">
      <c r="B24" s="3" t="s">
        <v>180</v>
      </c>
      <c r="C24" s="17">
        <f>Inputs!C34</f>
        <v>0</v>
      </c>
      <c r="D24" s="17">
        <f>Inputs!D34</f>
        <v>0</v>
      </c>
      <c r="E24" s="17">
        <f>Inputs!E34</f>
        <v>0.2</v>
      </c>
      <c r="F24" s="17">
        <f>Inputs!F34</f>
        <v>0.2</v>
      </c>
      <c r="G24" s="17">
        <f>Inputs!G34</f>
        <v>0</v>
      </c>
      <c r="H24" s="24">
        <f>Inputs!H34</f>
        <v>0</v>
      </c>
    </row>
    <row r="25">
      <c r="B25" s="15" t="s">
        <v>181</v>
      </c>
      <c r="C25" s="23">
        <f>SUM(C20:C24)</f>
        <v>102.60000000000004</v>
      </c>
      <c r="D25" s="23">
        <f>SUM(D20:D24)</f>
        <v>174.7</v>
      </c>
      <c r="E25" s="23">
        <f>SUM(E20:E24)</f>
        <v>143.70000000000002</v>
      </c>
      <c r="F25" s="23">
        <f>SUM(F20:F24)</f>
        <v>562.6999999999999</v>
      </c>
      <c r="G25" s="23">
        <f>SUM(G20:G24)</f>
        <v>140.2</v>
      </c>
      <c r="H25" s="18">
        <f>SUM(H20:H24)</f>
        <v>105.99999999999994</v>
      </c>
    </row>
    <row r="26">
      <c r="B26" s="22" t="s">
        <v>182</v>
      </c>
      <c r="C26" s="12"/>
      <c r="D26" s="12"/>
      <c r="E26" s="12"/>
      <c r="F26" s="12"/>
      <c r="G26" s="12"/>
      <c r="H26" s="19">
        <f>H25/C25-1</f>
        <v>0.033138401559453357</v>
      </c>
    </row>
    <row r="27">
      <c r="B27" s="3" t="s">
        <v>183</v>
      </c>
      <c r="C27" s="17">
        <f>Inputs!C35</f>
        <v>17734.5</v>
      </c>
      <c r="D27" s="17">
        <f>Inputs!D35</f>
        <v>16805.2</v>
      </c>
      <c r="E27" s="17">
        <f>Inputs!E35</f>
        <v>16403.5</v>
      </c>
      <c r="F27" s="17">
        <f>Inputs!F35</f>
        <v>17165.8</v>
      </c>
      <c r="G27" s="17">
        <f>Inputs!G35</f>
        <v>16533.7</v>
      </c>
      <c r="H27" s="14">
        <f>G27</f>
        <v>16533.7</v>
      </c>
    </row>
    <row r="28">
      <c r="B28" s="22" t="s">
        <v>170</v>
      </c>
      <c r="C28" s="12"/>
      <c r="D28" s="12"/>
      <c r="E28" s="12"/>
      <c r="F28" s="12"/>
      <c r="G28" s="12"/>
      <c r="H28" s="19">
        <f>H27/C27-1</f>
        <v>-0.06770983112013307</v>
      </c>
    </row>
    <row r="29">
      <c r="B29" s="3" t="s">
        <v>171</v>
      </c>
      <c r="C29" s="13"/>
      <c r="D29" s="13">
        <f>D27-C27</f>
        <v>-929.2999999999993</v>
      </c>
      <c r="E29" s="13">
        <f>E27-D27</f>
        <v>-401.7000000000007</v>
      </c>
      <c r="F29" s="13"/>
      <c r="G29" s="13">
        <f>G27-E27</f>
        <v>130.20000000000073</v>
      </c>
      <c r="H29" s="14">
        <f>H27-G27</f>
        <v>0</v>
      </c>
    </row>
    <row r="30" ht="27">
      <c r="B30" s="3" t="s">
        <v>184</v>
      </c>
      <c r="C30" s="13"/>
      <c r="D30" s="13">
        <f>C37</f>
        <v>17308.164</v>
      </c>
      <c r="E30" s="13">
        <f>D37</f>
        <v>16151.162</v>
      </c>
      <c r="F30" s="13"/>
      <c r="G30" s="13">
        <f>E37</f>
        <v>16052.782</v>
      </c>
      <c r="H30" s="14">
        <f>G37</f>
        <v>16308.930999999999</v>
      </c>
    </row>
    <row r="31">
      <c r="B31" s="3" t="s">
        <v>185</v>
      </c>
      <c r="C31" s="17">
        <f>Inputs!C36</f>
        <v>2039.6</v>
      </c>
      <c r="D31" s="17">
        <f>Inputs!D36</f>
        <v>1761.4</v>
      </c>
      <c r="E31" s="17">
        <f>Inputs!E36</f>
        <v>1858.1</v>
      </c>
      <c r="F31" s="17">
        <f>Inputs!F36</f>
        <v>7992.7</v>
      </c>
      <c r="G31" s="17">
        <f>Inputs!G36</f>
        <v>2445.1</v>
      </c>
      <c r="H31" s="24">
        <f>C31*H44/C44*'Segment - Sales Operations'!H10/'Segment - Sales Operations'!C10</f>
        <v>2070.737617076773</v>
      </c>
    </row>
    <row r="32" ht="27">
      <c r="B32" s="3" t="s">
        <v>186</v>
      </c>
      <c r="C32" s="13"/>
      <c r="D32" s="13"/>
      <c r="E32" s="13"/>
      <c r="F32" s="13"/>
      <c r="G32" s="13"/>
      <c r="H32" s="14">
        <f>H31-C31</f>
        <v>31.13761707677304</v>
      </c>
    </row>
    <row r="33" ht="27">
      <c r="B33" s="3" t="s">
        <v>187</v>
      </c>
      <c r="C33" s="13"/>
      <c r="D33" s="13">
        <f>D31-C31</f>
        <v>-278.1999999999998</v>
      </c>
      <c r="E33" s="13">
        <f>E31-D31</f>
        <v>96.69999999999982</v>
      </c>
      <c r="F33" s="13"/>
      <c r="G33" s="13">
        <f>G31-E31</f>
        <v>587</v>
      </c>
      <c r="H33" s="14">
        <f>H31-G31</f>
        <v>-374.36238292322696</v>
      </c>
    </row>
    <row r="34" ht="27">
      <c r="B34" s="3" t="s">
        <v>188</v>
      </c>
      <c r="C34" s="13"/>
      <c r="D34" s="13">
        <f>D37-D30-D31</f>
        <v>-2918.4020000000005</v>
      </c>
      <c r="E34" s="13">
        <f>E37-E30-E31</f>
        <v>-1956.480000000001</v>
      </c>
      <c r="F34" s="13"/>
      <c r="G34" s="13">
        <f>G37-G30-G31</f>
        <v>-2188.9510000000005</v>
      </c>
      <c r="H34" s="24">
        <f>-Inputs!H231</f>
        <v>-2076.737617076773</v>
      </c>
      <c r="J34" s="2" t="s">
        <v>189</v>
      </c>
    </row>
    <row r="35" ht="26.25">
      <c r="B35" s="3" t="s">
        <v>190</v>
      </c>
      <c r="C35" s="13"/>
      <c r="D35" s="13"/>
      <c r="E35" s="13"/>
      <c r="F35" s="13"/>
      <c r="G35" s="13"/>
      <c r="H35" s="14" t="s">
        <v>31</v>
      </c>
    </row>
    <row r="36" ht="26.25">
      <c r="B36" s="3" t="s">
        <v>191</v>
      </c>
      <c r="C36" s="13"/>
      <c r="D36" s="13"/>
      <c r="E36" s="13">
        <f>E34-D34</f>
        <v>961.9219999999996</v>
      </c>
      <c r="F36" s="13"/>
      <c r="G36" s="13">
        <f>G34-E34</f>
        <v>-232.47099999999955</v>
      </c>
      <c r="H36" s="14">
        <f>H34-G34</f>
        <v>112.21338292322753</v>
      </c>
    </row>
    <row r="37" ht="27">
      <c r="B37" s="15" t="s">
        <v>192</v>
      </c>
      <c r="C37" s="20">
        <f>'Balance Sheet'!C18+'Balance Sheet'!C13</f>
        <v>17308.164</v>
      </c>
      <c r="D37" s="20">
        <f>'Balance Sheet'!D18+'Balance Sheet'!D13</f>
        <v>16151.162</v>
      </c>
      <c r="E37" s="20">
        <f>'Balance Sheet'!E18+'Balance Sheet'!E13</f>
        <v>16052.782</v>
      </c>
      <c r="F37" s="20">
        <f>'Balance Sheet'!F18+'Balance Sheet'!F13</f>
        <v>16052.782</v>
      </c>
      <c r="G37" s="20">
        <f>'Balance Sheet'!G18+'Balance Sheet'!G13</f>
        <v>16308.930999999999</v>
      </c>
      <c r="H37" s="18">
        <f>SUM(H30:H31,H34)</f>
        <v>16302.930999999999</v>
      </c>
      <c r="J37" s="2"/>
    </row>
    <row r="38" ht="26.25">
      <c r="B38" s="3" t="s">
        <v>193</v>
      </c>
      <c r="C38" s="13"/>
      <c r="D38" s="13"/>
      <c r="E38" s="13"/>
      <c r="F38" s="13"/>
      <c r="G38" s="13"/>
      <c r="H38" s="14">
        <f>H37-C37</f>
        <v>-1005.233000000002</v>
      </c>
    </row>
    <row r="39" ht="27">
      <c r="B39" s="3" t="s">
        <v>194</v>
      </c>
      <c r="C39" s="13"/>
      <c r="D39" s="13">
        <f>D37-C37</f>
        <v>-1157.0020000000004</v>
      </c>
      <c r="E39" s="13">
        <f>E37-D37</f>
        <v>-98.38000000000102</v>
      </c>
      <c r="F39" s="13"/>
      <c r="G39" s="13">
        <f>G37-E37</f>
        <v>256.14899999999943</v>
      </c>
      <c r="H39" s="14">
        <f>H37-G37</f>
        <v>-6</v>
      </c>
    </row>
    <row r="40" ht="27">
      <c r="B40" s="3" t="s">
        <v>195</v>
      </c>
      <c r="C40" s="13">
        <f>C27</f>
        <v>17734.5</v>
      </c>
      <c r="D40" s="13">
        <f>D27</f>
        <v>16805.2</v>
      </c>
      <c r="E40" s="13">
        <f>E27</f>
        <v>16403.5</v>
      </c>
      <c r="F40" s="13">
        <f>F27</f>
        <v>17165.8</v>
      </c>
      <c r="G40" s="13">
        <f>G27</f>
        <v>16533.7</v>
      </c>
      <c r="H40" s="14">
        <f>H27</f>
        <v>16533.7</v>
      </c>
      <c r="J40" s="2"/>
    </row>
    <row r="41">
      <c r="B41" s="22" t="s">
        <v>196</v>
      </c>
      <c r="C41" s="12">
        <f>-C19/C27</f>
        <v>0.0080182694747526</v>
      </c>
      <c r="D41" s="12">
        <f>-D19/D27</f>
        <v>0.004367695713231619</v>
      </c>
      <c r="E41" s="12">
        <f>-E19/E27</f>
        <v>0.004505136099003262</v>
      </c>
      <c r="F41" s="12">
        <f>-F19/F27</f>
        <v>0.022789500052429832</v>
      </c>
      <c r="G41" s="12">
        <f>-G19/G27</f>
        <v>0.005782129831798085</v>
      </c>
      <c r="H41" s="19">
        <f>-H19/H27</f>
        <v>0.007257903554558265</v>
      </c>
      <c r="J41" s="2"/>
    </row>
    <row r="42">
      <c r="B42" s="3" t="s">
        <v>197</v>
      </c>
      <c r="C42" s="13"/>
      <c r="D42" s="13"/>
      <c r="E42" s="13"/>
      <c r="F42" s="13"/>
      <c r="G42" s="13"/>
      <c r="H42" s="14">
        <f>(H41-C41)*10000</f>
        <v>-7.603659201943346</v>
      </c>
      <c r="J42" s="2"/>
    </row>
    <row r="43" ht="27">
      <c r="B43" s="37" t="s">
        <v>198</v>
      </c>
      <c r="C43" s="32"/>
      <c r="D43" s="32">
        <f>(D41-C41)*10000</f>
        <v>-36.50573761520981</v>
      </c>
      <c r="E43" s="32">
        <f>(E41-D41)*10000</f>
        <v>1.3744038577164288</v>
      </c>
      <c r="F43" s="32"/>
      <c r="G43" s="32">
        <f>(G41-E41)*10000</f>
        <v>12.769937327948227</v>
      </c>
      <c r="H43" s="36">
        <f>(H41-G41)*10000</f>
        <v>14.757737227601803</v>
      </c>
    </row>
    <row r="44">
      <c r="B44" s="22" t="s">
        <v>199</v>
      </c>
      <c r="C44" s="33">
        <f>Inputs!C37/100</f>
        <v>0.426</v>
      </c>
      <c r="D44" s="33">
        <f>Inputs!D37/100</f>
        <v>0.426</v>
      </c>
      <c r="E44" s="33">
        <f>Inputs!E37/100</f>
        <v>0.428</v>
      </c>
      <c r="F44" s="33">
        <f>Inputs!F37/100</f>
        <v>0.424</v>
      </c>
      <c r="G44" s="33">
        <f>Inputs!G37/100</f>
        <v>0.433</v>
      </c>
      <c r="H44" s="19">
        <f>G44</f>
        <v>0.433</v>
      </c>
      <c r="J44" s="2"/>
    </row>
    <row r="45">
      <c r="B45" s="3" t="s">
        <v>197</v>
      </c>
      <c r="C45" s="13"/>
      <c r="D45" s="13"/>
      <c r="E45" s="13"/>
      <c r="F45" s="13"/>
      <c r="G45" s="13"/>
      <c r="H45" s="14">
        <f>(H44-C44)*10000</f>
        <v>70.00000000000006</v>
      </c>
      <c r="J45" s="2"/>
    </row>
    <row r="46">
      <c r="B46" s="3" t="s">
        <v>200</v>
      </c>
      <c r="C46" s="13"/>
      <c r="D46" s="13">
        <f>(D44-C44)*10000</f>
        <v>0</v>
      </c>
      <c r="E46" s="13">
        <f>(E44-D44)*10000</f>
        <v>20.000000000000018</v>
      </c>
      <c r="F46" s="13"/>
      <c r="G46" s="13">
        <f>(G44-E44)*10000</f>
        <v>50.00000000000004</v>
      </c>
      <c r="H46" s="14">
        <f>(H44-G44)*10000</f>
        <v>0</v>
      </c>
      <c r="J46" s="2"/>
    </row>
    <row r="47">
      <c r="B47" s="22" t="s">
        <v>201</v>
      </c>
      <c r="C47" s="33">
        <f>Inputs!C38/100</f>
        <v>0.11199999999999999</v>
      </c>
      <c r="D47" s="33">
        <f>Inputs!D38/100</f>
        <v>0.11</v>
      </c>
      <c r="E47" s="33">
        <f>Inputs!E38/100</f>
        <v>0.111</v>
      </c>
      <c r="F47" s="33">
        <f>Inputs!F38/100</f>
        <v>0.11199999999999999</v>
      </c>
      <c r="G47" s="33">
        <f>Inputs!G38/100</f>
        <v>0.113</v>
      </c>
      <c r="H47" s="19">
        <f>G47</f>
        <v>0.113</v>
      </c>
      <c r="J47" s="2"/>
    </row>
    <row r="48">
      <c r="B48" s="3" t="s">
        <v>197</v>
      </c>
      <c r="C48" s="13"/>
      <c r="D48" s="13"/>
      <c r="E48" s="13"/>
      <c r="F48" s="13"/>
      <c r="G48" s="13"/>
      <c r="H48" s="14">
        <f>(H47-C47)*10000</f>
        <v>10.000000000000147</v>
      </c>
      <c r="J48" s="2"/>
    </row>
    <row r="49">
      <c r="B49" s="3" t="s">
        <v>202</v>
      </c>
      <c r="C49" s="13"/>
      <c r="D49" s="13">
        <f>(D47-C47)*10000</f>
        <v>-19.99999999999988</v>
      </c>
      <c r="E49" s="13">
        <f>(E47-D47)*10000</f>
        <v>10.000000000000009</v>
      </c>
      <c r="F49" s="13"/>
      <c r="G49" s="13">
        <f>(G47-E47)*10000</f>
        <v>20.000000000000018</v>
      </c>
      <c r="H49" s="14">
        <f>(H47-G47)*10000</f>
        <v>0</v>
      </c>
    </row>
    <row r="50">
      <c r="B50" s="15" t="s">
        <v>203</v>
      </c>
      <c r="C50" s="20">
        <f>Inputs!C39</f>
        <v>507.3</v>
      </c>
      <c r="D50" s="20">
        <f>Inputs!D39</f>
        <v>474.8</v>
      </c>
      <c r="E50" s="20">
        <f>Inputs!E39</f>
        <v>453</v>
      </c>
      <c r="F50" s="20">
        <f>Inputs!F39</f>
        <v>453</v>
      </c>
      <c r="G50" s="20">
        <f>Inputs!G39</f>
        <v>475</v>
      </c>
      <c r="H50" s="18">
        <f>G50</f>
        <v>475</v>
      </c>
      <c r="J50" s="2"/>
    </row>
    <row r="51" ht="26.25">
      <c r="B51" s="3" t="s">
        <v>204</v>
      </c>
      <c r="C51" s="13"/>
      <c r="D51" s="13"/>
      <c r="E51" s="13"/>
      <c r="F51" s="13"/>
      <c r="G51" s="13"/>
      <c r="H51" s="14">
        <f>H50-C50</f>
        <v>-32.30000000000001</v>
      </c>
    </row>
    <row r="52" ht="26.25">
      <c r="B52" s="3" t="s">
        <v>205</v>
      </c>
      <c r="C52" s="13"/>
      <c r="D52" s="13">
        <f>D50-C50</f>
        <v>-32.5</v>
      </c>
      <c r="E52" s="13">
        <f>E50-D50</f>
        <v>-21.80000000000001</v>
      </c>
      <c r="F52" s="13"/>
      <c r="G52" s="13">
        <f>G50-E50</f>
        <v>22</v>
      </c>
      <c r="H52" s="14">
        <f>H50-G50</f>
        <v>0</v>
      </c>
    </row>
    <row r="53" ht="27">
      <c r="B53" s="3" t="s">
        <v>206</v>
      </c>
      <c r="C53" s="13" t="s">
        <v>31</v>
      </c>
      <c r="D53" s="13" t="s">
        <v>31</v>
      </c>
      <c r="E53" s="13" t="s">
        <v>31</v>
      </c>
      <c r="F53" s="13" t="s">
        <v>31</v>
      </c>
      <c r="G53" s="13" t="s">
        <v>31</v>
      </c>
      <c r="H53" s="14" t="s">
        <v>31</v>
      </c>
      <c r="J53" s="2" t="s">
        <v>207</v>
      </c>
    </row>
    <row r="54" ht="27">
      <c r="B54" s="3" t="s">
        <v>208</v>
      </c>
      <c r="C54" s="13" t="s">
        <v>31</v>
      </c>
      <c r="D54" s="13" t="s">
        <v>31</v>
      </c>
      <c r="E54" s="13" t="s">
        <v>31</v>
      </c>
      <c r="F54" s="13" t="s">
        <v>31</v>
      </c>
      <c r="G54" s="13" t="s">
        <v>31</v>
      </c>
      <c r="H54" s="14" t="s">
        <v>31</v>
      </c>
    </row>
    <row r="55">
      <c r="B55" s="3" t="s">
        <v>209</v>
      </c>
      <c r="C55" s="13" t="s">
        <v>31</v>
      </c>
      <c r="D55" s="13" t="s">
        <v>31</v>
      </c>
      <c r="E55" s="13" t="s">
        <v>31</v>
      </c>
      <c r="F55" s="13" t="s">
        <v>31</v>
      </c>
      <c r="G55" s="13" t="s">
        <v>31</v>
      </c>
      <c r="H55" s="14" t="s">
        <v>31</v>
      </c>
    </row>
    <row r="56">
      <c r="B56" s="3" t="s">
        <v>210</v>
      </c>
      <c r="C56" s="13" t="s">
        <v>31</v>
      </c>
      <c r="D56" s="13" t="s">
        <v>31</v>
      </c>
      <c r="E56" s="13" t="s">
        <v>31</v>
      </c>
      <c r="F56" s="13" t="s">
        <v>31</v>
      </c>
      <c r="G56" s="13" t="s">
        <v>31</v>
      </c>
      <c r="H56" s="14" t="s">
        <v>31</v>
      </c>
    </row>
    <row r="57" ht="27">
      <c r="B57" s="3" t="s">
        <v>211</v>
      </c>
      <c r="C57" s="13"/>
      <c r="D57" s="13"/>
      <c r="E57" s="13"/>
      <c r="F57" s="13"/>
      <c r="G57" s="17">
        <f>Inputs!G100</f>
        <v>1100</v>
      </c>
      <c r="H57" s="14">
        <f>G57</f>
        <v>1100</v>
      </c>
    </row>
    <row r="58" ht="27">
      <c r="B58" s="3" t="s">
        <v>212</v>
      </c>
      <c r="C58" s="13" t="s">
        <v>31</v>
      </c>
      <c r="D58" s="13" t="s">
        <v>31</v>
      </c>
      <c r="E58" s="13" t="s">
        <v>31</v>
      </c>
      <c r="F58" s="13" t="s">
        <v>31</v>
      </c>
      <c r="G58" s="13" t="s">
        <v>31</v>
      </c>
      <c r="H58" s="14" t="s">
        <v>31</v>
      </c>
    </row>
    <row r="59" ht="27">
      <c r="B59" s="15" t="s">
        <v>213</v>
      </c>
      <c r="C59" s="20">
        <f>C37-'Balance Sheet'!C45</f>
        <v>0</v>
      </c>
      <c r="D59" s="20">
        <f>D37-'Balance Sheet'!D45</f>
        <v>0</v>
      </c>
      <c r="E59" s="20">
        <f>E37-'Balance Sheet'!E45</f>
        <v>0</v>
      </c>
      <c r="F59" s="20">
        <f>F37-'Balance Sheet'!F45</f>
        <v>0</v>
      </c>
      <c r="G59" s="20">
        <f>G37-'Balance Sheet'!G45</f>
        <v>0</v>
      </c>
      <c r="H59" s="25">
        <f>H37-'Balance Sheet'!H45</f>
        <v>0</v>
      </c>
    </row>
    <row r="60">
      <c r="B60" s="22" t="s">
        <v>214</v>
      </c>
      <c r="C60" s="12"/>
      <c r="D60" s="12"/>
      <c r="E60" s="12"/>
      <c r="F60" s="12"/>
      <c r="G60" s="12"/>
      <c r="H60" s="19">
        <f>IFERROR(H17/C17-1,0)</f>
        <v>-0.0461847389558232</v>
      </c>
    </row>
    <row r="61">
      <c r="B61" s="3" t="s">
        <v>215</v>
      </c>
      <c r="C61" s="13"/>
      <c r="D61" s="13">
        <f>D17-C17</f>
        <v>10.899999999999977</v>
      </c>
      <c r="E61" s="13">
        <f>E17-D17</f>
        <v>4.100000000000023</v>
      </c>
      <c r="F61" s="13"/>
      <c r="G61" s="13">
        <f>G17-E17</f>
        <v>0</v>
      </c>
      <c r="H61" s="14">
        <f>H17-G17</f>
        <v>-5.800000000000011</v>
      </c>
    </row>
    <row r="62">
      <c r="B62" s="22" t="s">
        <v>216</v>
      </c>
      <c r="C62" s="12"/>
      <c r="D62" s="12"/>
      <c r="E62" s="12"/>
      <c r="F62" s="12"/>
      <c r="G62" s="12"/>
      <c r="H62" s="19">
        <f>IFERROR(H19/C19-1,0)</f>
        <v>-0.1561181434599156</v>
      </c>
    </row>
    <row r="63">
      <c r="B63" s="3" t="s">
        <v>217</v>
      </c>
      <c r="C63" s="13"/>
      <c r="D63" s="13">
        <f>D19-C19</f>
        <v>68.79999999999998</v>
      </c>
      <c r="E63" s="13">
        <f>E19-D19</f>
        <v>-0.5</v>
      </c>
      <c r="F63" s="13"/>
      <c r="G63" s="13">
        <f>G19-E19</f>
        <v>-21.69999999999999</v>
      </c>
      <c r="H63" s="14">
        <f>H19-G19</f>
        <v>-24.400000000000006</v>
      </c>
    </row>
    <row r="64">
      <c r="B64" s="3" t="s">
        <v>218</v>
      </c>
      <c r="C64" s="13"/>
      <c r="D64" s="13"/>
      <c r="E64" s="13"/>
      <c r="F64" s="13"/>
      <c r="G64" s="13"/>
      <c r="H64" s="14">
        <f>H10-C10</f>
        <v>-32.80000000000007</v>
      </c>
    </row>
    <row r="65">
      <c r="B65" s="3" t="s">
        <v>219</v>
      </c>
      <c r="C65" s="13"/>
      <c r="D65" s="13">
        <f>D10-C10</f>
        <v>-41.80000000000001</v>
      </c>
      <c r="E65" s="13">
        <f>E10-D10</f>
        <v>-7</v>
      </c>
      <c r="F65" s="13"/>
      <c r="G65" s="13">
        <f>G10-E10</f>
        <v>19.899999999999977</v>
      </c>
      <c r="H65" s="14">
        <f>H10-G10</f>
        <v>-3.900000000000034</v>
      </c>
    </row>
    <row r="66" ht="27">
      <c r="B66" s="3" t="s">
        <v>220</v>
      </c>
      <c r="C66" s="13"/>
      <c r="D66" s="13">
        <f>D25-C25</f>
        <v>72.09999999999995</v>
      </c>
      <c r="E66" s="13">
        <f>E25-D25</f>
        <v>-30.99999999999997</v>
      </c>
      <c r="F66" s="13"/>
      <c r="G66" s="13">
        <f>G25-E25</f>
        <v>-3.5000000000000284</v>
      </c>
      <c r="H66" s="14">
        <f>H25-G25</f>
        <v>-34.200000000000045</v>
      </c>
    </row>
    <row r="67" ht="27">
      <c r="B67" s="3" t="s">
        <v>221</v>
      </c>
      <c r="C67" s="13"/>
      <c r="D67" s="13">
        <f>D27-C27</f>
        <v>-929.2999999999993</v>
      </c>
      <c r="E67" s="13">
        <f>E27-D27</f>
        <v>-401.7000000000007</v>
      </c>
      <c r="F67" s="13"/>
      <c r="G67" s="13">
        <f>G27-E27</f>
        <v>130.20000000000073</v>
      </c>
      <c r="H67" s="14">
        <f>H27-G27</f>
        <v>0</v>
      </c>
    </row>
    <row r="68" ht="27">
      <c r="B68" s="22" t="s">
        <v>222</v>
      </c>
      <c r="C68" s="12">
        <f>IFERROR(C18/C27*365/C7,0)</f>
        <v>0.06501022938585685</v>
      </c>
      <c r="D68" s="12">
        <f>IFERROR(D18/D27*365/D7,0)</f>
        <v>0.06198401959832945</v>
      </c>
      <c r="E68" s="12">
        <f>IFERROR(E18/E27*365/E7,0)</f>
        <v>0.06349051523556966</v>
      </c>
      <c r="F68" s="12">
        <f>IFERROR(F18/F27*365/F7,0)</f>
        <v>0.06378962821423995</v>
      </c>
      <c r="G68" s="12">
        <f>IFERROR(G18/G27*365/G7,0)</f>
        <v>0.06639634043880338</v>
      </c>
      <c r="H68" s="19">
        <f>IFERROR(H18/H27*365/H7,0)</f>
        <v>0.06406874917658292</v>
      </c>
    </row>
    <row r="69" ht="27">
      <c r="B69" s="3" t="s">
        <v>223</v>
      </c>
      <c r="C69" s="13"/>
      <c r="D69" s="13"/>
      <c r="E69" s="13"/>
      <c r="F69" s="13"/>
      <c r="G69" s="13"/>
      <c r="H69" s="14">
        <f>(H68-C68)*10000</f>
        <v>-9.414802092739261</v>
      </c>
    </row>
    <row r="70" ht="27">
      <c r="B70" s="3" t="s">
        <v>224</v>
      </c>
      <c r="C70" s="13"/>
      <c r="D70" s="13">
        <f>(D68-C68)*10000</f>
        <v>-30.262097875273994</v>
      </c>
      <c r="E70" s="13">
        <f>(E68-D68)*10000</f>
        <v>15.064956372402087</v>
      </c>
      <c r="F70" s="13"/>
      <c r="G70" s="13">
        <f>(G68-E68)*10000</f>
        <v>29.058252032337222</v>
      </c>
      <c r="H70" s="14">
        <f>(H68-G68)*10000</f>
        <v>-23.275912622204576</v>
      </c>
    </row>
    <row r="71">
      <c r="B71" s="3" t="s">
        <v>225</v>
      </c>
      <c r="C71" s="17">
        <f>IFERROR(-C19*1000000/'Segment - Sales Operations'!C10,0)</f>
        <v>711.9647121850107</v>
      </c>
      <c r="D71" s="17">
        <f>IFERROR(-D19*1000000/'Segment - Sales Operations'!D10,0)</f>
        <v>432.8927735215886</v>
      </c>
      <c r="E71" s="17">
        <f>IFERROR(-E19*1000000/'Segment - Sales Operations'!E10,0)</f>
        <v>407.8636554297194</v>
      </c>
      <c r="F71" s="17">
        <f>IFERROR(-F19*1000000/'Segment - Sales Operations'!F10,0)</f>
        <v>501.09903622976776</v>
      </c>
      <c r="G71" s="17">
        <f>IFERROR(-G19*1000000/'Segment - Sales Operations'!G10,0)</f>
        <v>415.12334287190663</v>
      </c>
      <c r="H71" s="24">
        <f>IFERROR(-H19*1000000/'Segment - Sales Operations'!H10,0)</f>
        <v>601.5037593984962</v>
      </c>
    </row>
    <row r="72">
      <c r="B72" s="3" t="s">
        <v>226</v>
      </c>
      <c r="C72" s="13"/>
      <c r="D72" s="13"/>
      <c r="E72" s="13"/>
      <c r="F72" s="13"/>
      <c r="G72" s="13"/>
      <c r="H72" s="14">
        <f>H71-C71</f>
        <v>-110.46095278651455</v>
      </c>
    </row>
    <row r="73">
      <c r="B73" s="3" t="s">
        <v>227</v>
      </c>
      <c r="C73" s="13"/>
      <c r="D73" s="13">
        <f>D71-C71</f>
        <v>-279.07193866342215</v>
      </c>
      <c r="E73" s="13">
        <f>E71-D71</f>
        <v>-25.02911809186918</v>
      </c>
      <c r="F73" s="13"/>
      <c r="G73" s="13">
        <f>G71-E71</f>
        <v>7.259687442187214</v>
      </c>
      <c r="H73" s="14">
        <f>H71-G71</f>
        <v>186.38041652658956</v>
      </c>
    </row>
    <row r="74">
      <c r="B74" s="2"/>
      <c r="C74" s="13"/>
      <c r="D74" s="13"/>
      <c r="E74" s="13"/>
      <c r="F74" s="13"/>
      <c r="G74" s="13"/>
      <c r="H74" s="14"/>
    </row>
    <row r="75">
      <c r="B75" s="2"/>
      <c r="C75" s="13"/>
      <c r="D75" s="13"/>
      <c r="E75" s="13"/>
      <c r="F75" s="13"/>
      <c r="G75" s="13"/>
      <c r="H75" s="14"/>
    </row>
    <row r="76">
      <c r="B76" s="2"/>
      <c r="C76" s="13"/>
      <c r="D76" s="13"/>
      <c r="E76" s="13"/>
      <c r="F76" s="13"/>
      <c r="G76" s="13"/>
      <c r="H76" s="14"/>
    </row>
    <row r="77">
      <c r="B77" s="2"/>
      <c r="C77" s="13"/>
      <c r="D77" s="13"/>
      <c r="E77" s="13"/>
      <c r="F77" s="13"/>
      <c r="G77" s="13"/>
      <c r="H77" s="14"/>
    </row>
    <row r="78">
      <c r="B78" s="2"/>
      <c r="C78" s="13"/>
      <c r="D78" s="13"/>
      <c r="E78" s="13"/>
      <c r="F78" s="13"/>
      <c r="G78" s="13"/>
      <c r="H78" s="14"/>
    </row>
    <row r="79">
      <c r="B79" s="2"/>
      <c r="C79" s="13"/>
      <c r="D79" s="13"/>
      <c r="E79" s="13"/>
      <c r="F79" s="13"/>
      <c r="G79" s="13"/>
      <c r="H79" s="14"/>
    </row>
    <row r="80">
      <c r="B80" s="2"/>
      <c r="C80" s="13"/>
      <c r="D80" s="13"/>
      <c r="E80" s="13"/>
      <c r="F80" s="13"/>
      <c r="G80" s="13"/>
      <c r="H80" s="14"/>
    </row>
    <row r="81">
      <c r="B81" s="2"/>
      <c r="C81" s="13"/>
      <c r="D81" s="13"/>
      <c r="E81" s="13"/>
      <c r="F81" s="13"/>
      <c r="G81" s="13"/>
      <c r="H81" s="14"/>
    </row>
    <row r="82">
      <c r="B82" s="2"/>
      <c r="C82" s="13"/>
      <c r="D82" s="13"/>
      <c r="E82" s="13"/>
      <c r="F82" s="13"/>
      <c r="G82" s="13"/>
      <c r="H82" s="14"/>
    </row>
    <row r="83">
      <c r="B83" s="2"/>
      <c r="C83" s="13"/>
      <c r="D83" s="13"/>
      <c r="E83" s="13"/>
      <c r="F83" s="13"/>
      <c r="G83" s="13"/>
      <c r="H83" s="14"/>
    </row>
    <row r="84">
      <c r="B84" s="2"/>
      <c r="C84" s="13"/>
      <c r="D84" s="13"/>
      <c r="E84" s="13"/>
      <c r="F84" s="13"/>
      <c r="G84" s="13"/>
      <c r="H84" s="14"/>
    </row>
    <row r="85">
      <c r="B85" s="2"/>
      <c r="C85" s="13"/>
      <c r="D85" s="13"/>
      <c r="E85" s="13"/>
      <c r="F85" s="13"/>
      <c r="G85" s="13"/>
      <c r="H85" s="14"/>
    </row>
    <row r="86">
      <c r="B86" s="2"/>
      <c r="C86" s="13"/>
      <c r="D86" s="13"/>
      <c r="E86" s="13"/>
      <c r="F86" s="13"/>
      <c r="G86" s="13"/>
      <c r="H86" s="14"/>
    </row>
    <row r="87">
      <c r="B87" s="2"/>
      <c r="C87" s="13"/>
      <c r="D87" s="13"/>
      <c r="E87" s="13"/>
      <c r="F87" s="13"/>
      <c r="G87" s="13"/>
      <c r="H87" s="14"/>
    </row>
    <row r="88">
      <c r="B88" s="2"/>
      <c r="C88" s="13"/>
      <c r="D88" s="13"/>
      <c r="E88" s="13"/>
      <c r="F88" s="13"/>
      <c r="G88" s="13"/>
      <c r="H88" s="14"/>
    </row>
    <row r="89">
      <c r="B89" s="2"/>
      <c r="C89" s="13"/>
      <c r="D89" s="13"/>
      <c r="E89" s="13"/>
      <c r="F89" s="13"/>
      <c r="G89" s="13"/>
      <c r="H89" s="14"/>
    </row>
    <row r="90">
      <c r="B90" s="2"/>
      <c r="C90" s="13"/>
      <c r="D90" s="13"/>
      <c r="E90" s="13"/>
      <c r="F90" s="13"/>
      <c r="G90" s="13"/>
      <c r="H90" s="14"/>
    </row>
    <row r="91">
      <c r="B91" s="2"/>
      <c r="C91" s="13"/>
      <c r="D91" s="13"/>
      <c r="E91" s="13"/>
      <c r="F91" s="13"/>
      <c r="G91" s="13"/>
      <c r="H91" s="14"/>
    </row>
    <row r="92">
      <c r="B92" s="2"/>
      <c r="C92" s="13"/>
      <c r="D92" s="13"/>
      <c r="E92" s="13"/>
      <c r="F92" s="13"/>
      <c r="G92" s="13"/>
      <c r="H92" s="14"/>
    </row>
    <row r="93">
      <c r="B93" s="2"/>
      <c r="C93" s="13"/>
      <c r="D93" s="13"/>
      <c r="E93" s="13"/>
      <c r="F93" s="13"/>
      <c r="G93" s="13"/>
      <c r="H93" s="14"/>
    </row>
    <row r="94">
      <c r="B94" s="2"/>
      <c r="C94" s="13"/>
      <c r="D94" s="13"/>
      <c r="E94" s="13"/>
      <c r="F94" s="13"/>
      <c r="G94" s="13"/>
      <c r="H94" s="14"/>
    </row>
    <row r="95">
      <c r="B95" s="2"/>
      <c r="C95" s="13"/>
      <c r="D95" s="13"/>
      <c r="E95" s="13"/>
      <c r="F95" s="13"/>
      <c r="G95" s="13"/>
      <c r="H95" s="14"/>
    </row>
    <row r="96">
      <c r="B96" s="2"/>
      <c r="C96" s="13"/>
      <c r="D96" s="13"/>
      <c r="E96" s="13"/>
      <c r="F96" s="13"/>
      <c r="G96" s="13"/>
      <c r="H96" s="14"/>
    </row>
    <row r="97">
      <c r="B97" s="2"/>
      <c r="C97" s="13"/>
      <c r="D97" s="13"/>
      <c r="E97" s="13"/>
      <c r="F97" s="13"/>
      <c r="G97" s="13"/>
      <c r="H97" s="14"/>
    </row>
    <row r="98">
      <c r="B98" s="2"/>
      <c r="C98" s="13"/>
      <c r="D98" s="13"/>
      <c r="E98" s="13"/>
      <c r="F98" s="13"/>
      <c r="G98" s="13"/>
      <c r="H98" s="14"/>
    </row>
    <row r="99">
      <c r="B99" s="2"/>
      <c r="C99" s="13"/>
      <c r="D99" s="13"/>
      <c r="E99" s="13"/>
      <c r="F99" s="13"/>
      <c r="G99" s="13"/>
      <c r="H99" s="14"/>
    </row>
    <row r="100">
      <c r="B100" s="2"/>
      <c r="C100" s="13"/>
      <c r="D100" s="13"/>
      <c r="E100" s="13"/>
      <c r="F100" s="13"/>
      <c r="G100" s="13"/>
      <c r="H100" s="14"/>
    </row>
    <row r="101">
      <c r="B101" s="2"/>
      <c r="C101" s="13"/>
      <c r="D101" s="13"/>
      <c r="E101" s="13"/>
      <c r="F101" s="13"/>
      <c r="G101" s="13"/>
      <c r="H101" s="14"/>
    </row>
    <row r="102">
      <c r="B102" s="2"/>
      <c r="C102" s="13"/>
      <c r="D102" s="13"/>
      <c r="E102" s="13"/>
      <c r="F102" s="13"/>
      <c r="G102" s="13"/>
      <c r="H102" s="14"/>
    </row>
    <row r="103">
      <c r="B103" s="2"/>
      <c r="C103" s="13"/>
      <c r="D103" s="13"/>
      <c r="E103" s="13"/>
      <c r="F103" s="13"/>
      <c r="G103" s="13"/>
      <c r="H103" s="14"/>
    </row>
    <row r="104">
      <c r="B104" s="2"/>
      <c r="C104" s="13"/>
      <c r="D104" s="13"/>
      <c r="E104" s="13"/>
      <c r="F104" s="13"/>
      <c r="G104" s="13"/>
      <c r="H104" s="14"/>
    </row>
    <row r="105">
      <c r="B105" s="2"/>
      <c r="C105" s="13"/>
      <c r="D105" s="13"/>
      <c r="E105" s="13"/>
      <c r="F105" s="13"/>
      <c r="G105" s="13"/>
      <c r="H105" s="14"/>
    </row>
    <row r="106">
      <c r="B106" s="2"/>
      <c r="C106" s="13"/>
      <c r="D106" s="13"/>
      <c r="E106" s="13"/>
      <c r="F106" s="13"/>
      <c r="G106" s="13"/>
      <c r="H106" s="14"/>
    </row>
    <row r="107">
      <c r="B107" s="2"/>
      <c r="C107" s="13"/>
      <c r="D107" s="13"/>
      <c r="E107" s="13"/>
      <c r="F107" s="13"/>
      <c r="G107" s="13"/>
      <c r="H107" s="14"/>
    </row>
    <row r="108">
      <c r="B108" s="2"/>
      <c r="C108" s="13"/>
      <c r="D108" s="13"/>
      <c r="E108" s="13"/>
      <c r="F108" s="13"/>
      <c r="G108" s="13"/>
      <c r="H108" s="14"/>
    </row>
    <row r="109">
      <c r="H109" s="1"/>
    </row>
    <row r="110">
      <c r="H110" s="1"/>
    </row>
    <row r="111">
      <c r="H111" s="1"/>
    </row>
    <row r="112">
      <c r="H112" s="1"/>
    </row>
    <row r="113">
      <c r="H113" s="1"/>
    </row>
    <row r="114">
      <c r="H114" s="1"/>
    </row>
    <row r="115">
      <c r="H115" s="1"/>
    </row>
    <row r="116">
      <c r="H116" s="1"/>
    </row>
    <row r="117">
      <c r="H117" s="1"/>
    </row>
    <row r="118">
      <c r="H118" s="1"/>
    </row>
    <row r="119">
      <c r="H119" s="1"/>
    </row>
    <row r="120">
      <c r="H120" s="1"/>
    </row>
    <row r="121">
      <c r="H121" s="1"/>
    </row>
    <row r="122">
      <c r="H122" s="1"/>
    </row>
    <row r="123">
      <c r="H123" s="1"/>
    </row>
    <row r="124">
      <c r="H124" s="1"/>
    </row>
    <row r="125">
      <c r="H125" s="1"/>
    </row>
    <row r="126">
      <c r="H126" s="1"/>
    </row>
    <row r="127">
      <c r="H127" s="1"/>
    </row>
    <row r="128">
      <c r="H128" s="1"/>
    </row>
    <row r="129">
      <c r="H129" s="1"/>
    </row>
    <row r="130">
      <c r="H130" s="1"/>
    </row>
    <row r="131">
      <c r="H131" s="1"/>
    </row>
    <row r="132">
      <c r="H132" s="1"/>
    </row>
    <row r="133">
      <c r="H133" s="1"/>
    </row>
    <row r="134">
      <c r="H134" s="1"/>
    </row>
    <row r="135">
      <c r="H135" s="1"/>
    </row>
    <row r="136">
      <c r="H136" s="1"/>
    </row>
    <row r="137">
      <c r="H137" s="1"/>
    </row>
    <row r="138">
      <c r="H138" s="1"/>
    </row>
    <row r="139">
      <c r="H139" s="1"/>
    </row>
    <row r="140">
      <c r="H140" s="1"/>
    </row>
    <row r="141">
      <c r="H141" s="1"/>
    </row>
    <row r="142">
      <c r="H142" s="1"/>
    </row>
    <row r="143">
      <c r="H143" s="1"/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B2:H140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4" customWidth="1"/>
    <col min="3" max="8" width="14" customWidth="1"/>
  </cols>
  <sheetData>
    <row r="2">
      <c r="B2" s="2" t="s">
        <v>0</v>
      </c>
      <c r="C2" s="2"/>
      <c r="D2" s="2"/>
      <c r="E2" s="2"/>
      <c r="F2" s="2"/>
      <c r="G2" s="2"/>
      <c r="H2" s="2"/>
    </row>
    <row r="3">
      <c r="B3" s="2" t="s">
        <v>228</v>
      </c>
      <c r="C3" s="2"/>
      <c r="D3" s="2"/>
      <c r="E3" s="2"/>
      <c r="F3" s="2"/>
      <c r="G3" s="2"/>
      <c r="H3" s="2"/>
    </row>
    <row r="4">
      <c r="B4" s="2" t="s">
        <v>2</v>
      </c>
      <c r="C4" s="2"/>
      <c r="D4" s="2"/>
      <c r="E4" s="2"/>
      <c r="F4" s="2"/>
      <c r="G4" s="2"/>
      <c r="H4" s="2"/>
    </row>
    <row r="5">
      <c r="B5" s="11"/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</row>
    <row r="6">
      <c r="B6" s="11"/>
      <c r="C6" s="6">
        <v>45900</v>
      </c>
      <c r="D6" s="6">
        <v>45991</v>
      </c>
      <c r="E6" s="6">
        <v>46081</v>
      </c>
      <c r="F6" s="6">
        <v>46081</v>
      </c>
      <c r="G6" s="6">
        <v>46173</v>
      </c>
      <c r="H6" s="6">
        <v>46265</v>
      </c>
    </row>
    <row r="7">
      <c r="B7" s="11"/>
      <c r="C7" s="11">
        <v>92</v>
      </c>
      <c r="D7" s="11">
        <v>91</v>
      </c>
      <c r="E7" s="11">
        <v>90</v>
      </c>
      <c r="F7" s="11">
        <v>365</v>
      </c>
      <c r="G7" s="11">
        <v>92</v>
      </c>
      <c r="H7" s="11">
        <v>92</v>
      </c>
    </row>
    <row r="8">
      <c r="B8" s="2"/>
      <c r="C8" s="2"/>
      <c r="D8" s="2"/>
      <c r="E8" s="2"/>
      <c r="F8" s="2"/>
      <c r="G8" s="2"/>
      <c r="H8" s="4"/>
    </row>
    <row r="9">
      <c r="B9" s="3" t="s">
        <v>229</v>
      </c>
      <c r="C9" s="13"/>
      <c r="D9" s="13"/>
      <c r="E9" s="13"/>
      <c r="F9" s="13"/>
      <c r="G9" s="13"/>
      <c r="H9" s="14"/>
    </row>
    <row r="10">
      <c r="B10" s="15" t="s">
        <v>230</v>
      </c>
      <c r="C10" s="20">
        <f>'Revenue summary'!C22</f>
        <v>6594.68</v>
      </c>
      <c r="D10" s="20">
        <f>'Revenue summary'!D22</f>
        <v>5793.95</v>
      </c>
      <c r="E10" s="20">
        <f>'Revenue summary'!E22</f>
        <v>5945.96</v>
      </c>
      <c r="F10" s="20">
        <f>'Revenue summary'!F22</f>
        <v>25881.131</v>
      </c>
      <c r="G10" s="20">
        <f>'Revenue summary'!G22</f>
        <v>8013.52</v>
      </c>
      <c r="H10" s="25">
        <f>'Revenue summary'!H22</f>
        <v>6807.764200879322</v>
      </c>
    </row>
    <row r="11">
      <c r="B11" s="22" t="s">
        <v>231</v>
      </c>
      <c r="C11" s="12"/>
      <c r="D11" s="12"/>
      <c r="E11" s="12"/>
      <c r="F11" s="12"/>
      <c r="G11" s="12"/>
      <c r="H11" s="19">
        <f>H10/C10-1</f>
        <v>0.032311530033196645</v>
      </c>
    </row>
    <row r="12">
      <c r="B12" s="3" t="s">
        <v>232</v>
      </c>
      <c r="C12" s="17">
        <f>'Revenue summary'!C26-'Segment - Sales Operations'!C44</f>
        <v>4828.099999999999</v>
      </c>
      <c r="D12" s="17">
        <f>'Revenue summary'!D26-'Segment - Sales Operations'!D44</f>
        <v>4169.3</v>
      </c>
      <c r="E12" s="17">
        <f>'Revenue summary'!E26-'Segment - Sales Operations'!E44</f>
        <v>4396.8</v>
      </c>
      <c r="F12" s="17">
        <f>'Revenue summary'!F26-'Segment - Sales Operations'!F44</f>
        <v>18943.4</v>
      </c>
      <c r="G12" s="17">
        <f>'Revenue summary'!G26-'Segment - Sales Operations'!G44</f>
        <v>5889.900000000001</v>
      </c>
      <c r="H12" s="24">
        <f>'Revenue summary'!H26-'Segment - Sales Operations'!H44</f>
        <v>5043.68098204227</v>
      </c>
    </row>
    <row r="13">
      <c r="B13" s="3" t="s">
        <v>233</v>
      </c>
      <c r="C13" s="17">
        <f>'Revenue summary'!C29-'Segment - Sales Operations'!C45</f>
        <v>1012.3</v>
      </c>
      <c r="D13" s="17">
        <f>'Revenue summary'!D29-'Segment - Sales Operations'!D45</f>
        <v>980.3</v>
      </c>
      <c r="E13" s="17">
        <f>'Revenue summary'!E29-'Segment - Sales Operations'!E45</f>
        <v>891.7</v>
      </c>
      <c r="F13" s="17">
        <f>'Revenue summary'!F29-'Segment - Sales Operations'!F45</f>
        <v>3980.5000000000005</v>
      </c>
      <c r="G13" s="17">
        <f>'Revenue summary'!G29-'Segment - Sales Operations'!G45</f>
        <v>1258.1</v>
      </c>
      <c r="H13" s="24">
        <f>'Revenue summary'!H29-'Segment - Sales Operations'!H45</f>
        <v>1030.0332188370508</v>
      </c>
    </row>
    <row r="14">
      <c r="B14" s="3" t="s">
        <v>234</v>
      </c>
      <c r="C14" s="17">
        <f>'Revenue summary'!C32-'Segment - Sales Operations'!C46</f>
        <v>36.58000000000047</v>
      </c>
      <c r="D14" s="17">
        <f>'Revenue summary'!D32-'Segment - Sales Operations'!D46</f>
        <v>54.35000000000018</v>
      </c>
      <c r="E14" s="17">
        <f>'Revenue summary'!E32-'Segment - Sales Operations'!E46</f>
        <v>52.16000000000038</v>
      </c>
      <c r="F14" s="17">
        <f>'Revenue summary'!F32-'Segment - Sales Operations'!F46</f>
        <v>150.63100000000054</v>
      </c>
      <c r="G14" s="17">
        <f>'Revenue summary'!G32-'Segment - Sales Operations'!G46</f>
        <v>11.12000000000043</v>
      </c>
      <c r="H14" s="24">
        <f>'Revenue summary'!H32-'Segment - Sales Operations'!H46</f>
        <v>27</v>
      </c>
    </row>
    <row r="15">
      <c r="B15" s="15" t="s">
        <v>235</v>
      </c>
      <c r="C15" s="23">
        <f>SUM(C12:C14)</f>
        <v>5876.98</v>
      </c>
      <c r="D15" s="23">
        <f>SUM(D12:D14)</f>
        <v>5203.950000000001</v>
      </c>
      <c r="E15" s="23">
        <f>SUM(E12:E14)</f>
        <v>5340.660000000001</v>
      </c>
      <c r="F15" s="23">
        <f>SUM(F12:F14)</f>
        <v>23074.531000000003</v>
      </c>
      <c r="G15" s="23">
        <f>SUM(G12:G14)</f>
        <v>7159.120000000001</v>
      </c>
      <c r="H15" s="18">
        <f>SUM(H12:H14)</f>
        <v>6100.714200879322</v>
      </c>
    </row>
    <row r="16">
      <c r="B16" s="15" t="s">
        <v>236</v>
      </c>
      <c r="C16" s="23">
        <f>C10-C15</f>
        <v>717.7000000000007</v>
      </c>
      <c r="D16" s="23">
        <f>D10-D15</f>
        <v>589.9999999999991</v>
      </c>
      <c r="E16" s="23">
        <f>E10-E15</f>
        <v>605.2999999999993</v>
      </c>
      <c r="F16" s="23">
        <f>F10-F15</f>
        <v>2806.5999999999985</v>
      </c>
      <c r="G16" s="23">
        <f>G10-G15</f>
        <v>854.3999999999996</v>
      </c>
      <c r="H16" s="18">
        <f>H10-H15</f>
        <v>707.0500000000002</v>
      </c>
    </row>
    <row r="17">
      <c r="B17" s="22" t="s">
        <v>237</v>
      </c>
      <c r="C17" s="12">
        <f>C16/C10</f>
        <v>0.10883014793742846</v>
      </c>
      <c r="D17" s="12">
        <f>D16/D10</f>
        <v>0.10183035752811107</v>
      </c>
      <c r="E17" s="12">
        <f>E16/E10</f>
        <v>0.10180021392676696</v>
      </c>
      <c r="F17" s="12">
        <f>F16/F10</f>
        <v>0.1084419378735805</v>
      </c>
      <c r="G17" s="12">
        <f>G16/G10</f>
        <v>0.10661981251684648</v>
      </c>
      <c r="H17" s="19">
        <f>H16/H10</f>
        <v>0.10385935516225347</v>
      </c>
    </row>
    <row r="18">
      <c r="B18" s="3" t="s">
        <v>238</v>
      </c>
      <c r="C18" s="13"/>
      <c r="D18" s="13"/>
      <c r="E18" s="13"/>
      <c r="F18" s="13"/>
      <c r="G18" s="13"/>
      <c r="H18" s="14">
        <f>(H17-C17)*10000</f>
        <v>-49.707927751749814</v>
      </c>
    </row>
    <row r="19">
      <c r="B19" s="15" t="s">
        <v>239</v>
      </c>
      <c r="C19" s="20">
        <f>'Segment - Auto Finance'!C25</f>
        <v>102.60000000000004</v>
      </c>
      <c r="D19" s="20">
        <f>'Segment - Auto Finance'!D25</f>
        <v>174.7</v>
      </c>
      <c r="E19" s="20">
        <f>'Segment - Auto Finance'!E25</f>
        <v>143.70000000000002</v>
      </c>
      <c r="F19" s="20">
        <f>'Segment - Auto Finance'!F25</f>
        <v>562.6999999999999</v>
      </c>
      <c r="G19" s="20">
        <f>'Segment - Auto Finance'!G25</f>
        <v>140.2</v>
      </c>
      <c r="H19" s="25">
        <f>'Segment - Auto Finance'!H25</f>
        <v>105.99999999999994</v>
      </c>
    </row>
    <row r="20" ht="26.25">
      <c r="B20" s="3" t="s">
        <v>240</v>
      </c>
      <c r="C20" s="17">
        <f>Inputs!C23</f>
        <v>323.4</v>
      </c>
      <c r="D20" s="17">
        <f>Inputs!D23</f>
        <v>307.3</v>
      </c>
      <c r="E20" s="17">
        <f>Inputs!E23</f>
        <v>312.7</v>
      </c>
      <c r="F20" s="17">
        <f>Inputs!F23</f>
        <v>1292.4</v>
      </c>
      <c r="G20" s="17">
        <f>Inputs!G23</f>
        <v>329.6</v>
      </c>
      <c r="H20" s="24">
        <f>Inputs!H23</f>
        <v>315</v>
      </c>
    </row>
    <row r="21">
      <c r="B21" s="3" t="s">
        <v>241</v>
      </c>
      <c r="C21" s="17">
        <f>Inputs!C24</f>
        <v>22.4</v>
      </c>
      <c r="D21" s="17">
        <f>Inputs!D24</f>
        <v>14.7</v>
      </c>
      <c r="E21" s="17">
        <f>Inputs!E24</f>
        <v>10.7</v>
      </c>
      <c r="F21" s="17">
        <f>Inputs!F24</f>
        <v>93.4</v>
      </c>
      <c r="G21" s="17">
        <f>Inputs!G24</f>
        <v>39.7</v>
      </c>
      <c r="H21" s="24">
        <f>Inputs!H24</f>
        <v>22</v>
      </c>
    </row>
    <row r="22">
      <c r="B22" s="15" t="s">
        <v>242</v>
      </c>
      <c r="C22" s="23">
        <f>SUM(C20:C21)</f>
        <v>345.79999999999995</v>
      </c>
      <c r="D22" s="23">
        <f>SUM(D20:D21)</f>
        <v>322</v>
      </c>
      <c r="E22" s="23">
        <f>SUM(E20:E21)</f>
        <v>323.4</v>
      </c>
      <c r="F22" s="23">
        <f>SUM(F20:F21)</f>
        <v>1385.8000000000002</v>
      </c>
      <c r="G22" s="23">
        <f>SUM(G20:G21)</f>
        <v>369.3</v>
      </c>
      <c r="H22" s="18">
        <f>SUM(H20:H21)</f>
        <v>337</v>
      </c>
    </row>
    <row r="23">
      <c r="B23" s="3" t="s">
        <v>243</v>
      </c>
      <c r="C23" s="17">
        <f>Inputs!C25</f>
        <v>74.1</v>
      </c>
      <c r="D23" s="17">
        <f>Inputs!D25</f>
        <v>68.6</v>
      </c>
      <c r="E23" s="17">
        <f>Inputs!E25</f>
        <v>93.8</v>
      </c>
      <c r="F23" s="17">
        <f>Inputs!F25</f>
        <v>305.5</v>
      </c>
      <c r="G23" s="17">
        <f>Inputs!G25</f>
        <v>66.8</v>
      </c>
      <c r="H23" s="24">
        <f>Inputs!H25</f>
        <v>72</v>
      </c>
    </row>
    <row r="24">
      <c r="B24" s="3" t="s">
        <v>244</v>
      </c>
      <c r="C24" s="17">
        <f>Inputs!C26</f>
        <v>63.7</v>
      </c>
      <c r="D24" s="17">
        <f>Inputs!D26</f>
        <v>73.4</v>
      </c>
      <c r="E24" s="17">
        <f>Inputs!E26</f>
        <v>77.9</v>
      </c>
      <c r="F24" s="17">
        <f>Inputs!F26</f>
        <v>283</v>
      </c>
      <c r="G24" s="17">
        <f>Inputs!G26</f>
        <v>75.9</v>
      </c>
      <c r="H24" s="24">
        <f>Inputs!H26</f>
        <v>72</v>
      </c>
    </row>
    <row r="25">
      <c r="B25" s="3" t="s">
        <v>245</v>
      </c>
      <c r="C25" s="17">
        <f>Inputs!C27</f>
        <v>117.5</v>
      </c>
      <c r="D25" s="17">
        <f>Inputs!D27</f>
        <v>117.4</v>
      </c>
      <c r="E25" s="17">
        <f>Inputs!E27</f>
        <v>116.2</v>
      </c>
      <c r="F25" s="17">
        <f>Inputs!F27</f>
        <v>479.1</v>
      </c>
      <c r="G25" s="17">
        <f>Inputs!G27</f>
        <v>123.2</v>
      </c>
      <c r="H25" s="24">
        <f>Inputs!H27</f>
        <v>116</v>
      </c>
    </row>
    <row r="26" ht="26.25">
      <c r="B26" s="15" t="s">
        <v>246</v>
      </c>
      <c r="C26" s="23">
        <f>SUM(C22:C25)</f>
        <v>601.0999999999999</v>
      </c>
      <c r="D26" s="23">
        <f>SUM(D22:D25)</f>
        <v>581.4</v>
      </c>
      <c r="E26" s="23">
        <f>SUM(E22:E25)</f>
        <v>611.3</v>
      </c>
      <c r="F26" s="23">
        <f>SUM(F22:F25)</f>
        <v>2453.4</v>
      </c>
      <c r="G26" s="23">
        <f>SUM(G22:G25)</f>
        <v>635.2</v>
      </c>
      <c r="H26" s="18">
        <f>SUM(H22:H25)</f>
        <v>597</v>
      </c>
    </row>
    <row r="27">
      <c r="B27" s="3" t="s">
        <v>247</v>
      </c>
      <c r="C27" s="17">
        <f>Inputs!C45</f>
        <v>67.285</v>
      </c>
      <c r="D27" s="17">
        <f>Inputs!D45</f>
        <v>68.943</v>
      </c>
      <c r="E27" s="17">
        <f>Inputs!E45</f>
        <v>71.783</v>
      </c>
      <c r="F27" s="17">
        <f>Inputs!F45</f>
        <v>273.75</v>
      </c>
      <c r="G27" s="17">
        <f>Inputs!G45</f>
        <v>69.21300000000001</v>
      </c>
      <c r="H27" s="24">
        <f>Inputs!H45</f>
        <v>69</v>
      </c>
    </row>
    <row r="28">
      <c r="B28" s="3" t="s">
        <v>248</v>
      </c>
      <c r="C28" s="17">
        <f>Inputs!C81</f>
        <v>0</v>
      </c>
      <c r="D28" s="17">
        <f>Inputs!D81</f>
        <v>0</v>
      </c>
      <c r="E28" s="17">
        <f>Inputs!E81</f>
        <v>141.258</v>
      </c>
      <c r="F28" s="17">
        <f>Inputs!F81</f>
        <v>141.258</v>
      </c>
      <c r="G28" s="17">
        <f>Inputs!G81</f>
        <v>0</v>
      </c>
      <c r="H28" s="24">
        <f>Inputs!H69</f>
        <v>0</v>
      </c>
    </row>
    <row r="29">
      <c r="B29" s="3" t="s">
        <v>249</v>
      </c>
      <c r="C29" s="17">
        <f>Inputs!C46</f>
        <v>28.453</v>
      </c>
      <c r="D29" s="17">
        <f>Inputs!D46</f>
        <v>26.12</v>
      </c>
      <c r="E29" s="17">
        <f>Inputs!E46</f>
        <v>28.751</v>
      </c>
      <c r="F29" s="17">
        <f>Inputs!F46</f>
        <v>110.4</v>
      </c>
      <c r="G29" s="17">
        <f>Inputs!G46</f>
        <v>33.811</v>
      </c>
      <c r="H29" s="24">
        <f>Inputs!H46</f>
        <v>32</v>
      </c>
    </row>
    <row r="30">
      <c r="B30" s="3" t="s">
        <v>250</v>
      </c>
      <c r="C30" s="17">
        <f>Inputs!C80</f>
        <v>3.624</v>
      </c>
      <c r="D30" s="17">
        <f>Inputs!D80</f>
        <v>-4.468</v>
      </c>
      <c r="E30" s="17">
        <f>Inputs!E80</f>
        <v>-6.532</v>
      </c>
      <c r="F30" s="17">
        <f>Inputs!F80</f>
        <v>-7.067</v>
      </c>
      <c r="G30" s="17">
        <f>Inputs!G80</f>
        <v>2.101</v>
      </c>
      <c r="H30" s="24">
        <f>Inputs!H75</f>
        <v>2</v>
      </c>
    </row>
    <row r="31">
      <c r="B31" s="3" t="s">
        <v>251</v>
      </c>
      <c r="C31" s="17">
        <f>Inputs!C82-(C16+C19-C26-C27-C28-C29+C30)</f>
        <v>0.01099999999915724</v>
      </c>
      <c r="D31" s="17">
        <f>Inputs!D82-(D16+D19-D26-D27-D28-D29+D30)</f>
        <v>0.11800000000084765</v>
      </c>
      <c r="E31" s="17">
        <f>Inputs!E82-(E16+E19-E26-E27-E28-E29+E30)</f>
        <v>-0.05699999999934846</v>
      </c>
      <c r="F31" s="17">
        <f>Inputs!F82-(F16+F19-F26-F27-F28-F29+F30)</f>
        <v>0.008000000001743501</v>
      </c>
      <c r="G31" s="17">
        <f>Inputs!G82-(G16+G19-G26-G27-G28-G29+G30)</f>
        <v>0.08000000000038199</v>
      </c>
      <c r="H31" s="24">
        <f>Inputs!H69</f>
        <v>0</v>
      </c>
    </row>
    <row r="32">
      <c r="B32" s="15" t="s">
        <v>252</v>
      </c>
      <c r="C32" s="23">
        <f>SUM(C16,C19,C30:C31)-SUM(C26:C29)</f>
        <v>127.0970000000001</v>
      </c>
      <c r="D32" s="23">
        <f>SUM(D16,D19,D30:D31)-SUM(D26:D29)</f>
        <v>83.88699999999994</v>
      </c>
      <c r="E32" s="23">
        <f>SUM(E16,E19,E30:E31)-SUM(E26:E29)</f>
        <v>-110.68100000000004</v>
      </c>
      <c r="F32" s="23">
        <f>SUM(F16,F19,F30:F31)-SUM(F26:F29)</f>
        <v>383.43300000000045</v>
      </c>
      <c r="G32" s="23">
        <f>SUM(G16,G19,G30:G31)-SUM(G26:G29)</f>
        <v>258.557</v>
      </c>
      <c r="H32" s="18">
        <f>SUM(H16,H19,H30:H31)-SUM(H26:H29)</f>
        <v>117.05000000000018</v>
      </c>
    </row>
    <row r="33">
      <c r="B33" s="3" t="s">
        <v>253</v>
      </c>
      <c r="C33" s="17">
        <f>Inputs!C47</f>
        <v>31.719</v>
      </c>
      <c r="D33" s="17">
        <f>Inputs!D47</f>
        <v>21.672</v>
      </c>
      <c r="E33" s="17">
        <f>Inputs!E47</f>
        <v>10.003</v>
      </c>
      <c r="F33" s="17">
        <f>Inputs!F47</f>
        <v>136.143</v>
      </c>
      <c r="G33" s="17">
        <f>Inputs!G47</f>
        <v>72.93</v>
      </c>
      <c r="H33" s="24">
        <f>H32*Inputs!H76</f>
        <v>29.262500000000045</v>
      </c>
    </row>
    <row r="34">
      <c r="B34" s="15" t="s">
        <v>254</v>
      </c>
      <c r="C34" s="23">
        <f>C32-C33</f>
        <v>95.3780000000001</v>
      </c>
      <c r="D34" s="23">
        <f>D32-D33</f>
        <v>62.21499999999995</v>
      </c>
      <c r="E34" s="23">
        <f>E32-E33</f>
        <v>-120.68400000000004</v>
      </c>
      <c r="F34" s="23">
        <f>F32-F33</f>
        <v>247.29000000000045</v>
      </c>
      <c r="G34" s="23">
        <f>G32-G33</f>
        <v>185.627</v>
      </c>
      <c r="H34" s="18">
        <f>H32-H33</f>
        <v>87.78750000000014</v>
      </c>
    </row>
    <row r="35">
      <c r="B35" s="22" t="s">
        <v>255</v>
      </c>
      <c r="C35" s="12">
        <f>C34/C10</f>
        <v>0.014462870071026963</v>
      </c>
      <c r="D35" s="12">
        <f>D34/D10</f>
        <v>0.01073792490442616</v>
      </c>
      <c r="E35" s="12">
        <f>E34/E10</f>
        <v>-0.020296806571184475</v>
      </c>
      <c r="F35" s="12">
        <f>F34/F10</f>
        <v>0.009554837460542217</v>
      </c>
      <c r="G35" s="12">
        <f>G34/G10</f>
        <v>0.023164227455600036</v>
      </c>
      <c r="H35" s="19">
        <f>H34/H10</f>
        <v>0.012895202802215315</v>
      </c>
    </row>
    <row r="36">
      <c r="B36" s="22" t="s">
        <v>256</v>
      </c>
      <c r="C36" s="12"/>
      <c r="D36" s="12"/>
      <c r="E36" s="12"/>
      <c r="F36" s="12"/>
      <c r="G36" s="12"/>
      <c r="H36" s="19">
        <f>H34/C34-1</f>
        <v>-0.079583342070498</v>
      </c>
    </row>
    <row r="37" ht="26.25">
      <c r="B37" s="3" t="s">
        <v>257</v>
      </c>
      <c r="C37" s="17">
        <f>'Share Count'!C10</f>
        <v>149.291</v>
      </c>
      <c r="D37" s="17">
        <f>'Share Count'!D10</f>
        <v>145.548</v>
      </c>
      <c r="E37" s="17">
        <f>'Share Count'!E10</f>
        <v>141.923</v>
      </c>
      <c r="F37" s="17">
        <f>'Share Count'!F10</f>
        <v>147.258</v>
      </c>
      <c r="G37" s="17">
        <f>'Share Count'!G10</f>
        <v>141.847</v>
      </c>
      <c r="H37" s="24">
        <f>'Share Count'!H10</f>
        <v>141.85</v>
      </c>
    </row>
    <row r="38" ht="26.25">
      <c r="B38" s="3" t="s">
        <v>258</v>
      </c>
      <c r="C38" s="17">
        <f>'Share Count'!C12</f>
        <v>149.637</v>
      </c>
      <c r="D38" s="17">
        <f>'Share Count'!D12</f>
        <v>145.864</v>
      </c>
      <c r="E38" s="17">
        <f>'Share Count'!E12</f>
        <v>141.923</v>
      </c>
      <c r="F38" s="17">
        <f>'Share Count'!F12</f>
        <v>147.613</v>
      </c>
      <c r="G38" s="17">
        <f>'Share Count'!G12</f>
        <v>142.148</v>
      </c>
      <c r="H38" s="24">
        <f>'Share Count'!H12</f>
        <v>142.1</v>
      </c>
    </row>
    <row r="39">
      <c r="B39" s="3" t="s">
        <v>259</v>
      </c>
      <c r="C39" s="5">
        <f>C34/C37</f>
        <v>0.6388730733935744</v>
      </c>
      <c r="D39" s="5">
        <f>D34/D37</f>
        <v>0.42745348613515777</v>
      </c>
      <c r="E39" s="5">
        <f>E34/E37</f>
        <v>-0.8503484283731322</v>
      </c>
      <c r="F39" s="5">
        <f>F34/F37</f>
        <v>1.679297559385571</v>
      </c>
      <c r="G39" s="5">
        <f>G34/G37</f>
        <v>1.3086424104845362</v>
      </c>
      <c r="H39" s="39">
        <f>H34/H37</f>
        <v>0.6188755727881575</v>
      </c>
    </row>
    <row r="40">
      <c r="B40" s="15" t="s">
        <v>260</v>
      </c>
      <c r="C40" s="38">
        <f>C34/C38</f>
        <v>0.6373958312449468</v>
      </c>
      <c r="D40" s="38">
        <f>D34/D38</f>
        <v>0.4265274502276089</v>
      </c>
      <c r="E40" s="38">
        <f>E34/E38</f>
        <v>-0.8503484283731322</v>
      </c>
      <c r="F40" s="38">
        <f>F34/F38</f>
        <v>1.6752589541571572</v>
      </c>
      <c r="G40" s="38">
        <f>G34/G38</f>
        <v>1.305871345358359</v>
      </c>
      <c r="H40" s="41">
        <f>H34/H38</f>
        <v>0.617786769880367</v>
      </c>
    </row>
    <row r="41" ht="26.25">
      <c r="B41" s="3" t="s">
        <v>261</v>
      </c>
      <c r="C41" s="13"/>
      <c r="D41" s="13"/>
      <c r="E41" s="13"/>
      <c r="F41" s="13"/>
      <c r="G41" s="13"/>
      <c r="H41" s="14"/>
    </row>
    <row r="42" ht="26.25">
      <c r="B42" s="3" t="s">
        <v>262</v>
      </c>
      <c r="C42" s="8">
        <f>Inputs!C83</f>
        <v>0</v>
      </c>
      <c r="D42" s="8">
        <f>Inputs!D83</f>
        <v>0</v>
      </c>
      <c r="E42" s="8">
        <f>Inputs!E83</f>
        <v>0.99</v>
      </c>
      <c r="F42" s="8">
        <f>Inputs!F83</f>
        <v>0.96</v>
      </c>
      <c r="G42" s="8">
        <f>Inputs!G83</f>
        <v>0</v>
      </c>
      <c r="H42" s="40">
        <f>Inputs!H69</f>
        <v>0</v>
      </c>
    </row>
    <row r="43" ht="26.25">
      <c r="B43" s="3" t="s">
        <v>263</v>
      </c>
      <c r="C43" s="8">
        <f>Inputs!C84</f>
        <v>0</v>
      </c>
      <c r="D43" s="8">
        <f>Inputs!D84</f>
        <v>0.08</v>
      </c>
      <c r="E43" s="8">
        <f>Inputs!E84</f>
        <v>0.26</v>
      </c>
      <c r="F43" s="8">
        <f>Inputs!F84</f>
        <v>0.35</v>
      </c>
      <c r="G43" s="8">
        <f>Inputs!G84</f>
        <v>0</v>
      </c>
      <c r="H43" s="40">
        <f>Inputs!H70</f>
        <v>0</v>
      </c>
    </row>
    <row r="44" ht="26.25">
      <c r="B44" s="3" t="s">
        <v>264</v>
      </c>
      <c r="C44" s="8">
        <f>Inputs!C85</f>
        <v>0</v>
      </c>
      <c r="D44" s="8">
        <f>Inputs!D85</f>
        <v>0</v>
      </c>
      <c r="E44" s="8">
        <f>Inputs!E85</f>
        <v>-0.06</v>
      </c>
      <c r="F44" s="8">
        <f>Inputs!F85</f>
        <v>-0.08</v>
      </c>
      <c r="G44" s="8">
        <f>Inputs!G85</f>
        <v>0</v>
      </c>
      <c r="H44" s="40">
        <f>Inputs!H71</f>
        <v>0</v>
      </c>
    </row>
    <row r="45" ht="26.25">
      <c r="B45" s="15" t="s">
        <v>265</v>
      </c>
      <c r="C45" s="38">
        <f>SUM(C40,C42:C44)</f>
        <v>0.6373958312449468</v>
      </c>
      <c r="D45" s="38">
        <f>SUM(D40,D42:D44)</f>
        <v>0.5065274502276089</v>
      </c>
      <c r="E45" s="38">
        <f>SUM(E40,E42:E44)</f>
        <v>0.3396515716268678</v>
      </c>
      <c r="F45" s="38">
        <f>SUM(F40,F42:F44)</f>
        <v>2.905258954157157</v>
      </c>
      <c r="G45" s="38">
        <f>SUM(G40,G42:G44)</f>
        <v>1.305871345358359</v>
      </c>
      <c r="H45" s="41">
        <f>SUM(H40,H42:H44)</f>
        <v>0.617786769880367</v>
      </c>
    </row>
    <row r="46" ht="26.25">
      <c r="B46" s="15" t="s">
        <v>266</v>
      </c>
      <c r="C46" s="23">
        <f>C45*C38</f>
        <v>95.3780000000001</v>
      </c>
      <c r="D46" s="23">
        <f>D45*D38</f>
        <v>73.88411999999995</v>
      </c>
      <c r="E46" s="23">
        <f>E45*E38</f>
        <v>48.20436999999996</v>
      </c>
      <c r="F46" s="23">
        <f>F45*F38</f>
        <v>428.85399000000046</v>
      </c>
      <c r="G46" s="23">
        <f>G45*G38</f>
        <v>185.627</v>
      </c>
      <c r="H46" s="18">
        <f>H45*H38</f>
        <v>87.78750000000014</v>
      </c>
    </row>
    <row r="47" ht="26.25">
      <c r="B47" s="15" t="s">
        <v>267</v>
      </c>
      <c r="C47" s="23">
        <f>C45-C46/C38</f>
        <v>0</v>
      </c>
      <c r="D47" s="23">
        <f>D45-D46/D38</f>
        <v>0</v>
      </c>
      <c r="E47" s="23">
        <f>E45-E46/E38</f>
        <v>0</v>
      </c>
      <c r="F47" s="23">
        <f>F45-F46/F38</f>
        <v>0</v>
      </c>
      <c r="G47" s="23">
        <f>G45-G46/G38</f>
        <v>0</v>
      </c>
      <c r="H47" s="18">
        <f>H45-H46/H38</f>
        <v>0</v>
      </c>
    </row>
    <row r="48" ht="26.25">
      <c r="B48" s="15" t="s">
        <v>268</v>
      </c>
      <c r="C48" s="23">
        <f>C40-C34/C38</f>
        <v>0</v>
      </c>
      <c r="D48" s="23">
        <f>D40-D34/D38</f>
        <v>0</v>
      </c>
      <c r="E48" s="23">
        <f>E40-E34/E38</f>
        <v>0</v>
      </c>
      <c r="F48" s="23">
        <f>F40-F34/F38</f>
        <v>0</v>
      </c>
      <c r="G48" s="23">
        <f>G40-G34/G38</f>
        <v>0</v>
      </c>
      <c r="H48" s="18">
        <f>H40-H34/H38</f>
        <v>0</v>
      </c>
    </row>
    <row r="49">
      <c r="B49" s="2"/>
      <c r="C49" s="13"/>
      <c r="D49" s="13"/>
      <c r="E49" s="13"/>
      <c r="F49" s="13"/>
      <c r="G49" s="13"/>
      <c r="H49" s="14"/>
    </row>
    <row r="50">
      <c r="B50" s="2"/>
      <c r="C50" s="13"/>
      <c r="D50" s="13"/>
      <c r="E50" s="13"/>
      <c r="F50" s="13"/>
      <c r="G50" s="13"/>
      <c r="H50" s="14"/>
    </row>
    <row r="51">
      <c r="B51" s="2"/>
      <c r="C51" s="13"/>
      <c r="D51" s="13"/>
      <c r="E51" s="13"/>
      <c r="F51" s="13"/>
      <c r="G51" s="13"/>
      <c r="H51" s="14"/>
    </row>
    <row r="52">
      <c r="B52" s="2"/>
      <c r="C52" s="13"/>
      <c r="D52" s="13"/>
      <c r="E52" s="13"/>
      <c r="F52" s="13"/>
      <c r="G52" s="13"/>
      <c r="H52" s="14"/>
    </row>
    <row r="53">
      <c r="B53" s="2"/>
      <c r="C53" s="13"/>
      <c r="D53" s="13"/>
      <c r="E53" s="13"/>
      <c r="F53" s="13"/>
      <c r="G53" s="13"/>
      <c r="H53" s="14"/>
    </row>
    <row r="54">
      <c r="B54" s="2"/>
      <c r="C54" s="13"/>
      <c r="D54" s="13"/>
      <c r="E54" s="13"/>
      <c r="F54" s="13"/>
      <c r="G54" s="13"/>
      <c r="H54" s="14"/>
    </row>
    <row r="55">
      <c r="B55" s="2"/>
      <c r="C55" s="13"/>
      <c r="D55" s="13"/>
      <c r="E55" s="13"/>
      <c r="F55" s="13"/>
      <c r="G55" s="13"/>
      <c r="H55" s="14"/>
    </row>
    <row r="56">
      <c r="B56" s="2"/>
      <c r="C56" s="13"/>
      <c r="D56" s="13"/>
      <c r="E56" s="13"/>
      <c r="F56" s="13"/>
      <c r="G56" s="13"/>
      <c r="H56" s="14"/>
    </row>
    <row r="57">
      <c r="B57" s="2"/>
      <c r="C57" s="13"/>
      <c r="D57" s="13"/>
      <c r="E57" s="13"/>
      <c r="F57" s="13"/>
      <c r="G57" s="13"/>
      <c r="H57" s="14"/>
    </row>
    <row r="58">
      <c r="B58" s="2"/>
      <c r="C58" s="13"/>
      <c r="D58" s="13"/>
      <c r="E58" s="13"/>
      <c r="F58" s="13"/>
      <c r="G58" s="13"/>
      <c r="H58" s="14"/>
    </row>
    <row r="59">
      <c r="B59" s="2"/>
      <c r="C59" s="13"/>
      <c r="D59" s="13"/>
      <c r="E59" s="13"/>
      <c r="F59" s="13"/>
      <c r="G59" s="13"/>
      <c r="H59" s="14"/>
    </row>
    <row r="60">
      <c r="B60" s="2"/>
      <c r="C60" s="13"/>
      <c r="D60" s="13"/>
      <c r="E60" s="13"/>
      <c r="F60" s="13"/>
      <c r="G60" s="13"/>
      <c r="H60" s="14"/>
    </row>
    <row r="61">
      <c r="B61" s="2"/>
      <c r="C61" s="13"/>
      <c r="D61" s="13"/>
      <c r="E61" s="13"/>
      <c r="F61" s="13"/>
      <c r="G61" s="13"/>
      <c r="H61" s="14"/>
    </row>
    <row r="62">
      <c r="B62" s="2"/>
      <c r="C62" s="13"/>
      <c r="D62" s="13"/>
      <c r="E62" s="13"/>
      <c r="F62" s="13"/>
      <c r="G62" s="13"/>
      <c r="H62" s="14"/>
    </row>
    <row r="63">
      <c r="B63" s="2"/>
      <c r="C63" s="13"/>
      <c r="D63" s="13"/>
      <c r="E63" s="13"/>
      <c r="F63" s="13"/>
      <c r="G63" s="13"/>
      <c r="H63" s="14"/>
    </row>
    <row r="64">
      <c r="B64" s="2"/>
      <c r="C64" s="13"/>
      <c r="D64" s="13"/>
      <c r="E64" s="13"/>
      <c r="F64" s="13"/>
      <c r="G64" s="13"/>
      <c r="H64" s="14"/>
    </row>
    <row r="65">
      <c r="B65" s="2"/>
      <c r="C65" s="13"/>
      <c r="D65" s="13"/>
      <c r="E65" s="13"/>
      <c r="F65" s="13"/>
      <c r="G65" s="13"/>
      <c r="H65" s="14"/>
    </row>
    <row r="66">
      <c r="B66" s="2"/>
      <c r="C66" s="13"/>
      <c r="D66" s="13"/>
      <c r="E66" s="13"/>
      <c r="F66" s="13"/>
      <c r="G66" s="13"/>
      <c r="H66" s="14"/>
    </row>
    <row r="67">
      <c r="B67" s="2"/>
      <c r="C67" s="13"/>
      <c r="D67" s="13"/>
      <c r="E67" s="13"/>
      <c r="F67" s="13"/>
      <c r="G67" s="13"/>
      <c r="H67" s="14"/>
    </row>
    <row r="68">
      <c r="B68" s="2"/>
      <c r="C68" s="13"/>
      <c r="D68" s="13"/>
      <c r="E68" s="13"/>
      <c r="F68" s="13"/>
      <c r="G68" s="13"/>
      <c r="H68" s="14"/>
    </row>
    <row r="69">
      <c r="B69" s="2"/>
      <c r="C69" s="13"/>
      <c r="D69" s="13"/>
      <c r="E69" s="13"/>
      <c r="F69" s="13"/>
      <c r="G69" s="13"/>
      <c r="H69" s="14"/>
    </row>
    <row r="70">
      <c r="B70" s="2"/>
      <c r="C70" s="13"/>
      <c r="D70" s="13"/>
      <c r="E70" s="13"/>
      <c r="F70" s="13"/>
      <c r="G70" s="13"/>
      <c r="H70" s="14"/>
    </row>
    <row r="71">
      <c r="B71" s="2"/>
      <c r="C71" s="13"/>
      <c r="D71" s="13"/>
      <c r="E71" s="13"/>
      <c r="F71" s="13"/>
      <c r="G71" s="13"/>
      <c r="H71" s="14"/>
    </row>
    <row r="72">
      <c r="B72" s="2"/>
      <c r="C72" s="13"/>
      <c r="D72" s="13"/>
      <c r="E72" s="13"/>
      <c r="F72" s="13"/>
      <c r="G72" s="13"/>
      <c r="H72" s="14"/>
    </row>
    <row r="73">
      <c r="B73" s="2"/>
      <c r="C73" s="13"/>
      <c r="D73" s="13"/>
      <c r="E73" s="13"/>
      <c r="F73" s="13"/>
      <c r="G73" s="13"/>
      <c r="H73" s="14"/>
    </row>
    <row r="74">
      <c r="B74" s="2"/>
      <c r="C74" s="13"/>
      <c r="D74" s="13"/>
      <c r="E74" s="13"/>
      <c r="F74" s="13"/>
      <c r="G74" s="13"/>
      <c r="H74" s="14"/>
    </row>
    <row r="75">
      <c r="B75" s="2"/>
      <c r="C75" s="13"/>
      <c r="D75" s="13"/>
      <c r="E75" s="13"/>
      <c r="F75" s="13"/>
      <c r="G75" s="13"/>
      <c r="H75" s="14"/>
    </row>
    <row r="76">
      <c r="B76" s="2"/>
      <c r="C76" s="13"/>
      <c r="D76" s="13"/>
      <c r="E76" s="13"/>
      <c r="F76" s="13"/>
      <c r="G76" s="13"/>
      <c r="H76" s="14"/>
    </row>
    <row r="77">
      <c r="B77" s="2"/>
      <c r="C77" s="13"/>
      <c r="D77" s="13"/>
      <c r="E77" s="13"/>
      <c r="F77" s="13"/>
      <c r="G77" s="13"/>
      <c r="H77" s="14"/>
    </row>
    <row r="78">
      <c r="B78" s="2"/>
      <c r="C78" s="13"/>
      <c r="D78" s="13"/>
      <c r="E78" s="13"/>
      <c r="F78" s="13"/>
      <c r="G78" s="13"/>
      <c r="H78" s="14"/>
    </row>
    <row r="79">
      <c r="B79" s="2"/>
      <c r="C79" s="13"/>
      <c r="D79" s="13"/>
      <c r="E79" s="13"/>
      <c r="F79" s="13"/>
      <c r="G79" s="13"/>
      <c r="H79" s="14"/>
    </row>
    <row r="80">
      <c r="B80" s="2"/>
      <c r="C80" s="13"/>
      <c r="D80" s="13"/>
      <c r="E80" s="13"/>
      <c r="F80" s="13"/>
      <c r="G80" s="13"/>
      <c r="H80" s="14"/>
    </row>
    <row r="81">
      <c r="B81" s="2"/>
      <c r="C81" s="13"/>
      <c r="D81" s="13"/>
      <c r="E81" s="13"/>
      <c r="F81" s="13"/>
      <c r="G81" s="13"/>
      <c r="H81" s="14"/>
    </row>
    <row r="82">
      <c r="B82" s="2"/>
      <c r="C82" s="13"/>
      <c r="D82" s="13"/>
      <c r="E82" s="13"/>
      <c r="F82" s="13"/>
      <c r="G82" s="13"/>
      <c r="H82" s="14"/>
    </row>
    <row r="83">
      <c r="B83" s="2"/>
      <c r="C83" s="13"/>
      <c r="D83" s="13"/>
      <c r="E83" s="13"/>
      <c r="F83" s="13"/>
      <c r="G83" s="13"/>
      <c r="H83" s="14"/>
    </row>
    <row r="84">
      <c r="B84" s="2"/>
      <c r="C84" s="13"/>
      <c r="D84" s="13"/>
      <c r="E84" s="13"/>
      <c r="F84" s="13"/>
      <c r="G84" s="13"/>
      <c r="H84" s="14"/>
    </row>
    <row r="85">
      <c r="B85" s="2"/>
      <c r="C85" s="13"/>
      <c r="D85" s="13"/>
      <c r="E85" s="13"/>
      <c r="F85" s="13"/>
      <c r="G85" s="13"/>
      <c r="H85" s="14"/>
    </row>
    <row r="86">
      <c r="B86" s="2"/>
      <c r="C86" s="13"/>
      <c r="D86" s="13"/>
      <c r="E86" s="13"/>
      <c r="F86" s="13"/>
      <c r="G86" s="13"/>
      <c r="H86" s="14"/>
    </row>
    <row r="87">
      <c r="B87" s="2"/>
      <c r="C87" s="13"/>
      <c r="D87" s="13"/>
      <c r="E87" s="13"/>
      <c r="F87" s="13"/>
      <c r="G87" s="13"/>
      <c r="H87" s="14"/>
    </row>
    <row r="88">
      <c r="B88" s="2"/>
      <c r="C88" s="13"/>
      <c r="D88" s="13"/>
      <c r="E88" s="13"/>
      <c r="F88" s="13"/>
      <c r="G88" s="13"/>
      <c r="H88" s="14"/>
    </row>
    <row r="89">
      <c r="B89" s="2"/>
      <c r="C89" s="13"/>
      <c r="D89" s="13"/>
      <c r="E89" s="13"/>
      <c r="F89" s="13"/>
      <c r="G89" s="13"/>
      <c r="H89" s="14"/>
    </row>
    <row r="90">
      <c r="B90" s="2"/>
      <c r="C90" s="13"/>
      <c r="D90" s="13"/>
      <c r="E90" s="13"/>
      <c r="F90" s="13"/>
      <c r="G90" s="13"/>
      <c r="H90" s="14"/>
    </row>
    <row r="91">
      <c r="B91" s="2"/>
      <c r="C91" s="13"/>
      <c r="D91" s="13"/>
      <c r="E91" s="13"/>
      <c r="F91" s="13"/>
      <c r="G91" s="13"/>
      <c r="H91" s="14"/>
    </row>
    <row r="92">
      <c r="B92" s="2"/>
      <c r="C92" s="13"/>
      <c r="D92" s="13"/>
      <c r="E92" s="13"/>
      <c r="F92" s="13"/>
      <c r="G92" s="13"/>
      <c r="H92" s="14"/>
    </row>
    <row r="93">
      <c r="B93" s="2"/>
      <c r="C93" s="13"/>
      <c r="D93" s="13"/>
      <c r="E93" s="13"/>
      <c r="F93" s="13"/>
      <c r="G93" s="13"/>
      <c r="H93" s="14"/>
    </row>
    <row r="94">
      <c r="B94" s="2"/>
      <c r="C94" s="13"/>
      <c r="D94" s="13"/>
      <c r="E94" s="13"/>
      <c r="F94" s="13"/>
      <c r="G94" s="13"/>
      <c r="H94" s="14"/>
    </row>
    <row r="95">
      <c r="B95" s="2"/>
      <c r="C95" s="13"/>
      <c r="D95" s="13"/>
      <c r="E95" s="13"/>
      <c r="F95" s="13"/>
      <c r="G95" s="13"/>
      <c r="H95" s="14"/>
    </row>
    <row r="96">
      <c r="B96" s="2"/>
      <c r="C96" s="13"/>
      <c r="D96" s="13"/>
      <c r="E96" s="13"/>
      <c r="F96" s="13"/>
      <c r="G96" s="13"/>
      <c r="H96" s="14"/>
    </row>
    <row r="97">
      <c r="B97" s="2"/>
      <c r="C97" s="13"/>
      <c r="D97" s="13"/>
      <c r="E97" s="13"/>
      <c r="F97" s="13"/>
      <c r="G97" s="13"/>
      <c r="H97" s="14"/>
    </row>
    <row r="98">
      <c r="B98" s="2"/>
      <c r="C98" s="13"/>
      <c r="D98" s="13"/>
      <c r="E98" s="13"/>
      <c r="F98" s="13"/>
      <c r="G98" s="13"/>
      <c r="H98" s="14"/>
    </row>
    <row r="99">
      <c r="B99" s="2"/>
      <c r="C99" s="13"/>
      <c r="D99" s="13"/>
      <c r="E99" s="13"/>
      <c r="F99" s="13"/>
      <c r="G99" s="13"/>
      <c r="H99" s="14"/>
    </row>
    <row r="100">
      <c r="B100" s="2"/>
      <c r="C100" s="13"/>
      <c r="D100" s="13"/>
      <c r="E100" s="13"/>
      <c r="F100" s="13"/>
      <c r="G100" s="13"/>
      <c r="H100" s="14"/>
    </row>
    <row r="101">
      <c r="B101" s="2"/>
      <c r="C101" s="13"/>
      <c r="D101" s="13"/>
      <c r="E101" s="13"/>
      <c r="F101" s="13"/>
      <c r="G101" s="13"/>
      <c r="H101" s="14"/>
    </row>
    <row r="102">
      <c r="B102" s="2"/>
      <c r="C102" s="13"/>
      <c r="D102" s="13"/>
      <c r="E102" s="13"/>
      <c r="F102" s="13"/>
      <c r="G102" s="13"/>
      <c r="H102" s="14"/>
    </row>
    <row r="103">
      <c r="B103" s="2"/>
      <c r="C103" s="13"/>
      <c r="D103" s="13"/>
      <c r="E103" s="13"/>
      <c r="F103" s="13"/>
      <c r="G103" s="13"/>
      <c r="H103" s="14"/>
    </row>
    <row r="104">
      <c r="B104" s="2"/>
      <c r="C104" s="13"/>
      <c r="D104" s="13"/>
      <c r="E104" s="13"/>
      <c r="F104" s="13"/>
      <c r="G104" s="13"/>
      <c r="H104" s="14"/>
    </row>
    <row r="105">
      <c r="B105" s="2"/>
      <c r="C105" s="13"/>
      <c r="D105" s="13"/>
      <c r="E105" s="13"/>
      <c r="F105" s="13"/>
      <c r="G105" s="13"/>
      <c r="H105" s="14"/>
    </row>
    <row r="106">
      <c r="H106" s="1"/>
    </row>
    <row r="107">
      <c r="H107" s="1"/>
    </row>
    <row r="108">
      <c r="H108" s="1"/>
    </row>
    <row r="109">
      <c r="H109" s="1"/>
    </row>
    <row r="110">
      <c r="H110" s="1"/>
    </row>
    <row r="111">
      <c r="H111" s="1"/>
    </row>
    <row r="112">
      <c r="H112" s="1"/>
    </row>
    <row r="113">
      <c r="H113" s="1"/>
    </row>
    <row r="114">
      <c r="H114" s="1"/>
    </row>
    <row r="115">
      <c r="H115" s="1"/>
    </row>
    <row r="116">
      <c r="H116" s="1"/>
    </row>
    <row r="117">
      <c r="H117" s="1"/>
    </row>
    <row r="118">
      <c r="H118" s="1"/>
    </row>
    <row r="119">
      <c r="H119" s="1"/>
    </row>
    <row r="120">
      <c r="H120" s="1"/>
    </row>
    <row r="121">
      <c r="H121" s="1"/>
    </row>
    <row r="122">
      <c r="H122" s="1"/>
    </row>
    <row r="123">
      <c r="H123" s="1"/>
    </row>
    <row r="124">
      <c r="H124" s="1"/>
    </row>
    <row r="125">
      <c r="H125" s="1"/>
    </row>
    <row r="126">
      <c r="H126" s="1"/>
    </row>
    <row r="127">
      <c r="H127" s="1"/>
    </row>
    <row r="128">
      <c r="H128" s="1"/>
    </row>
    <row r="129">
      <c r="H129" s="1"/>
    </row>
    <row r="130">
      <c r="H130" s="1"/>
    </row>
    <row r="131">
      <c r="H131" s="1"/>
    </row>
    <row r="132">
      <c r="H132" s="1"/>
    </row>
    <row r="133">
      <c r="H133" s="1"/>
    </row>
    <row r="134">
      <c r="H134" s="1"/>
    </row>
    <row r="135">
      <c r="H135" s="1"/>
    </row>
    <row r="136">
      <c r="H136" s="1"/>
    </row>
    <row r="137">
      <c r="H137" s="1"/>
    </row>
    <row r="138">
      <c r="H138" s="1"/>
    </row>
    <row r="139">
      <c r="H139" s="1"/>
    </row>
    <row r="140">
      <c r="H140" s="1"/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B2:H140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4" customWidth="1"/>
    <col min="3" max="8" width="14" customWidth="1"/>
  </cols>
  <sheetData>
    <row r="2">
      <c r="B2" s="2" t="s">
        <v>0</v>
      </c>
      <c r="C2" s="2"/>
      <c r="D2" s="2"/>
      <c r="E2" s="2"/>
      <c r="F2" s="2"/>
      <c r="G2" s="2"/>
      <c r="H2" s="2"/>
    </row>
    <row r="3">
      <c r="B3" s="2" t="s">
        <v>269</v>
      </c>
      <c r="C3" s="2"/>
      <c r="D3" s="2"/>
      <c r="E3" s="2"/>
      <c r="F3" s="2"/>
      <c r="G3" s="2"/>
      <c r="H3" s="2"/>
    </row>
    <row r="4">
      <c r="B4" s="2" t="s">
        <v>2</v>
      </c>
      <c r="C4" s="2"/>
      <c r="D4" s="2"/>
      <c r="E4" s="2"/>
      <c r="F4" s="2"/>
      <c r="G4" s="2"/>
      <c r="H4" s="2"/>
    </row>
    <row r="5">
      <c r="B5" s="11"/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</row>
    <row r="6">
      <c r="B6" s="11"/>
      <c r="C6" s="6">
        <v>45900</v>
      </c>
      <c r="D6" s="6">
        <v>45991</v>
      </c>
      <c r="E6" s="6">
        <v>46081</v>
      </c>
      <c r="F6" s="6">
        <v>46081</v>
      </c>
      <c r="G6" s="6">
        <v>46173</v>
      </c>
      <c r="H6" s="6">
        <v>46265</v>
      </c>
    </row>
    <row r="7">
      <c r="B7" s="11"/>
      <c r="C7" s="11">
        <v>92</v>
      </c>
      <c r="D7" s="11">
        <v>91</v>
      </c>
      <c r="E7" s="11">
        <v>90</v>
      </c>
      <c r="F7" s="11">
        <v>365</v>
      </c>
      <c r="G7" s="11">
        <v>92</v>
      </c>
      <c r="H7" s="11">
        <v>92</v>
      </c>
    </row>
    <row r="8">
      <c r="B8" s="2"/>
      <c r="C8" s="2"/>
      <c r="D8" s="2"/>
      <c r="E8" s="2"/>
      <c r="F8" s="2"/>
      <c r="G8" s="2"/>
      <c r="H8" s="4"/>
    </row>
    <row r="9">
      <c r="B9" s="3" t="s">
        <v>270</v>
      </c>
      <c r="C9" s="13"/>
      <c r="D9" s="13"/>
      <c r="E9" s="13"/>
      <c r="F9" s="13"/>
      <c r="G9" s="13"/>
      <c r="H9" s="14"/>
    </row>
    <row r="10">
      <c r="B10" s="3" t="s">
        <v>271</v>
      </c>
      <c r="C10" s="17">
        <f>Inputs!C48</f>
        <v>540.374</v>
      </c>
      <c r="D10" s="17">
        <f>Inputs!D48</f>
        <v>204.938</v>
      </c>
      <c r="E10" s="17">
        <f>Inputs!E48</f>
        <v>122.826</v>
      </c>
      <c r="F10" s="17">
        <f>Inputs!F48</f>
        <v>122.826</v>
      </c>
      <c r="G10" s="17">
        <f>Inputs!G48</f>
        <v>132.223</v>
      </c>
      <c r="H10" s="24">
        <f>G10+'Income Statement'!H34+'Income Statement'!H27+'Income Statement'!H21-'Segment - Auto Finance'!H19+SUM(Inputs!H220:H225)+Inputs!H73+Inputs!H74</f>
        <v>94.01050000000015</v>
      </c>
    </row>
    <row r="11">
      <c r="B11" s="3" t="s">
        <v>272</v>
      </c>
      <c r="C11" s="17">
        <f>Inputs!C49</f>
        <v>618.792</v>
      </c>
      <c r="D11" s="17">
        <f>Inputs!D49</f>
        <v>567.398</v>
      </c>
      <c r="E11" s="17">
        <f>Inputs!E49</f>
        <v>592.033</v>
      </c>
      <c r="F11" s="17">
        <f>Inputs!F49</f>
        <v>592.033</v>
      </c>
      <c r="G11" s="17">
        <f>Inputs!G49</f>
        <v>595.1030000000001</v>
      </c>
      <c r="H11" s="14">
        <f>G11</f>
        <v>595.1030000000001</v>
      </c>
    </row>
    <row r="12" ht="26.25">
      <c r="B12" s="3" t="s">
        <v>273</v>
      </c>
      <c r="C12" s="17">
        <f>Inputs!C62</f>
        <v>146.009</v>
      </c>
      <c r="D12" s="17">
        <f>Inputs!D62</f>
        <v>140.467</v>
      </c>
      <c r="E12" s="17">
        <f>Inputs!E62</f>
        <v>147.991</v>
      </c>
      <c r="F12" s="17">
        <f>Inputs!F62</f>
        <v>147.991</v>
      </c>
      <c r="G12" s="17">
        <f>Inputs!G62</f>
        <v>144.008</v>
      </c>
      <c r="H12" s="14">
        <f>G12</f>
        <v>144.008</v>
      </c>
    </row>
    <row r="13">
      <c r="B13" s="3" t="s">
        <v>274</v>
      </c>
      <c r="C13" s="17">
        <f>Inputs!C51</f>
        <v>921.928</v>
      </c>
      <c r="D13" s="17">
        <f>Inputs!D51</f>
        <v>0</v>
      </c>
      <c r="E13" s="17">
        <f>Inputs!E51</f>
        <v>100.491</v>
      </c>
      <c r="F13" s="17">
        <f>Inputs!F51</f>
        <v>100.491</v>
      </c>
      <c r="G13" s="17">
        <f>Inputs!G51</f>
        <v>618.979</v>
      </c>
      <c r="H13" s="24">
        <f>G13-'Cash Flow Statement'!H41</f>
        <v>678.979</v>
      </c>
    </row>
    <row r="14">
      <c r="B14" s="3" t="s">
        <v>275</v>
      </c>
      <c r="C14" s="17">
        <f>Inputs!C50</f>
        <v>173.556</v>
      </c>
      <c r="D14" s="17">
        <f>Inputs!D50</f>
        <v>151.102</v>
      </c>
      <c r="E14" s="17">
        <f>Inputs!E50</f>
        <v>204.453</v>
      </c>
      <c r="F14" s="17">
        <f>Inputs!F50</f>
        <v>204.453</v>
      </c>
      <c r="G14" s="17">
        <f>Inputs!G50</f>
        <v>263.919</v>
      </c>
      <c r="H14" s="24">
        <f>G14-'Cash Flow Statement'!H40</f>
        <v>293.919</v>
      </c>
    </row>
    <row r="15">
      <c r="B15" s="3" t="s">
        <v>276</v>
      </c>
      <c r="C15" s="17">
        <f>Inputs!C52</f>
        <v>3149.57</v>
      </c>
      <c r="D15" s="17">
        <f>Inputs!D52</f>
        <v>3127.948</v>
      </c>
      <c r="E15" s="17">
        <f>Inputs!E52</f>
        <v>4137.005</v>
      </c>
      <c r="F15" s="17">
        <f>Inputs!F52</f>
        <v>4137.005</v>
      </c>
      <c r="G15" s="17">
        <f>Inputs!G52</f>
        <v>4062.765</v>
      </c>
      <c r="H15" s="24">
        <f>G15-'Cash Flow Statement'!H42</f>
        <v>4142.764999999999</v>
      </c>
    </row>
    <row r="16">
      <c r="B16" s="3" t="s">
        <v>277</v>
      </c>
      <c r="C16" s="17">
        <f>Inputs!C53</f>
        <v>137.798</v>
      </c>
      <c r="D16" s="17">
        <f>Inputs!D53</f>
        <v>146.81900000000002</v>
      </c>
      <c r="E16" s="17">
        <f>Inputs!E53</f>
        <v>153.594</v>
      </c>
      <c r="F16" s="17">
        <f>Inputs!F53</f>
        <v>153.594</v>
      </c>
      <c r="G16" s="17">
        <f>Inputs!G53</f>
        <v>161.34</v>
      </c>
      <c r="H16" s="14">
        <f>G16</f>
        <v>161.34</v>
      </c>
    </row>
    <row r="17">
      <c r="B17" s="15" t="s">
        <v>278</v>
      </c>
      <c r="C17" s="23">
        <f>SUM(C10:C11,C13:C16)</f>
        <v>5542.018</v>
      </c>
      <c r="D17" s="23">
        <f>SUM(D10:D11,D13:D16)</f>
        <v>4198.205</v>
      </c>
      <c r="E17" s="23">
        <f>SUM(E10:E11,E13:E16)</f>
        <v>5310.402</v>
      </c>
      <c r="F17" s="23">
        <f>SUM(F10:F11,F13:F16)</f>
        <v>5310.402</v>
      </c>
      <c r="G17" s="23">
        <f>SUM(G10:G11,G13:G16)</f>
        <v>5834.329</v>
      </c>
      <c r="H17" s="18">
        <f>SUM(H10:H11,H13:H16)</f>
        <v>5966.1165</v>
      </c>
    </row>
    <row r="18" ht="26.25">
      <c r="B18" s="3" t="s">
        <v>279</v>
      </c>
      <c r="C18" s="17">
        <f>Inputs!C54</f>
        <v>16386.236</v>
      </c>
      <c r="D18" s="17">
        <f>Inputs!D54</f>
        <v>16151.162</v>
      </c>
      <c r="E18" s="17">
        <f>Inputs!E54</f>
        <v>15952.291</v>
      </c>
      <c r="F18" s="17">
        <f>Inputs!F54</f>
        <v>15952.291</v>
      </c>
      <c r="G18" s="17">
        <f>Inputs!G54</f>
        <v>15689.952</v>
      </c>
      <c r="H18" s="24">
        <f>G18-'Cash Flow Statement'!H44+'Segment - Auto Finance'!H19+Inputs!H228</f>
        <v>15623.952</v>
      </c>
    </row>
    <row r="19">
      <c r="B19" s="3" t="s">
        <v>280</v>
      </c>
      <c r="C19" s="17">
        <f>Inputs!C55</f>
        <v>3969.003</v>
      </c>
      <c r="D19" s="17">
        <f>Inputs!D55</f>
        <v>4023.465</v>
      </c>
      <c r="E19" s="17">
        <f>Inputs!E55</f>
        <v>4070.293</v>
      </c>
      <c r="F19" s="17">
        <f>Inputs!F55</f>
        <v>4070.293</v>
      </c>
      <c r="G19" s="17">
        <f>Inputs!G55</f>
        <v>4079.993</v>
      </c>
      <c r="H19" s="14">
        <f>G19</f>
        <v>4079.993</v>
      </c>
    </row>
    <row r="20">
      <c r="B20" s="3" t="s">
        <v>281</v>
      </c>
      <c r="C20" s="17">
        <f>Inputs!C56</f>
        <v>105.729</v>
      </c>
      <c r="D20" s="17">
        <f>Inputs!D56</f>
        <v>73.45100000000001</v>
      </c>
      <c r="E20" s="17">
        <f>Inputs!E56</f>
        <v>78.479</v>
      </c>
      <c r="F20" s="17">
        <f>Inputs!F56</f>
        <v>78.479</v>
      </c>
      <c r="G20" s="17">
        <f>Inputs!G56</f>
        <v>72.917</v>
      </c>
      <c r="H20" s="14">
        <f>G20</f>
        <v>72.917</v>
      </c>
    </row>
    <row r="21">
      <c r="B21" s="3" t="s">
        <v>282</v>
      </c>
      <c r="C21" s="17">
        <f>Inputs!C57</f>
        <v>476.367</v>
      </c>
      <c r="D21" s="17">
        <f>Inputs!D57</f>
        <v>475.078</v>
      </c>
      <c r="E21" s="17">
        <f>Inputs!E57</f>
        <v>459.514</v>
      </c>
      <c r="F21" s="17">
        <f>Inputs!F57</f>
        <v>459.514</v>
      </c>
      <c r="G21" s="17">
        <f>Inputs!G57</f>
        <v>451.441</v>
      </c>
      <c r="H21" s="14">
        <f>G21</f>
        <v>451.441</v>
      </c>
    </row>
    <row r="22">
      <c r="B22" s="3" t="s">
        <v>283</v>
      </c>
      <c r="C22" s="17">
        <f>Inputs!C58</f>
        <v>141.258</v>
      </c>
      <c r="D22" s="17">
        <f>Inputs!D58</f>
        <v>141.258</v>
      </c>
      <c r="E22" s="17">
        <f>Inputs!E58</f>
        <v>0</v>
      </c>
      <c r="F22" s="17">
        <f>Inputs!F58</f>
        <v>0</v>
      </c>
      <c r="G22" s="17">
        <f>Inputs!G58</f>
        <v>0</v>
      </c>
      <c r="H22" s="14">
        <f>G22</f>
        <v>0</v>
      </c>
    </row>
    <row r="23">
      <c r="B23" s="3" t="s">
        <v>284</v>
      </c>
      <c r="C23" s="17">
        <f>Inputs!C59</f>
        <v>459.033</v>
      </c>
      <c r="D23" s="17">
        <f>Inputs!D59</f>
        <v>499.736</v>
      </c>
      <c r="E23" s="17">
        <f>Inputs!E59</f>
        <v>496.924</v>
      </c>
      <c r="F23" s="17">
        <f>Inputs!F59</f>
        <v>496.924</v>
      </c>
      <c r="G23" s="17">
        <f>Inputs!G59</f>
        <v>498.266</v>
      </c>
      <c r="H23" s="14">
        <f>G23</f>
        <v>498.266</v>
      </c>
    </row>
    <row r="24">
      <c r="B24" s="15" t="s">
        <v>285</v>
      </c>
      <c r="C24" s="23">
        <f>SUM(C17:C23)</f>
        <v>27079.644</v>
      </c>
      <c r="D24" s="23">
        <f>SUM(D17:D23)</f>
        <v>25562.355</v>
      </c>
      <c r="E24" s="23">
        <f>SUM(E17:E23)</f>
        <v>26367.903</v>
      </c>
      <c r="F24" s="23">
        <f>SUM(F17:F23)</f>
        <v>26367.903</v>
      </c>
      <c r="G24" s="23">
        <f>SUM(G17:G23)</f>
        <v>26626.897999999997</v>
      </c>
      <c r="H24" s="18">
        <f>SUM(H17:H23)</f>
        <v>26692.6855</v>
      </c>
    </row>
    <row r="25" ht="26.25">
      <c r="B25" s="3" t="s">
        <v>286</v>
      </c>
      <c r="C25" s="13"/>
      <c r="D25" s="13"/>
      <c r="E25" s="13"/>
      <c r="F25" s="13"/>
      <c r="G25" s="13"/>
      <c r="H25" s="14"/>
    </row>
    <row r="26">
      <c r="B26" s="3" t="s">
        <v>287</v>
      </c>
      <c r="C26" s="17">
        <f>Inputs!C86</f>
        <v>913.35</v>
      </c>
      <c r="D26" s="17">
        <f>Inputs!D86</f>
        <v>887.496</v>
      </c>
      <c r="E26" s="17">
        <f>Inputs!E86</f>
        <v>1117.976</v>
      </c>
      <c r="F26" s="17">
        <f>Inputs!F86</f>
        <v>1117.976</v>
      </c>
      <c r="G26" s="17">
        <f>Inputs!G86</f>
        <v>1056.719</v>
      </c>
      <c r="H26" s="24">
        <f>G26+'Cash Flow Statement'!H46</f>
        <v>1076.719</v>
      </c>
    </row>
    <row r="27" ht="26.25">
      <c r="B27" s="3" t="s">
        <v>288</v>
      </c>
      <c r="C27" s="17">
        <f>Inputs!C87</f>
        <v>477.994</v>
      </c>
      <c r="D27" s="17">
        <f>Inputs!D87</f>
        <v>418.021</v>
      </c>
      <c r="E27" s="17">
        <f>Inputs!E87</f>
        <v>475.495</v>
      </c>
      <c r="F27" s="17">
        <f>Inputs!F87</f>
        <v>475.495</v>
      </c>
      <c r="G27" s="17">
        <f>Inputs!G87</f>
        <v>417.841</v>
      </c>
      <c r="H27" s="14">
        <f>G27</f>
        <v>417.841</v>
      </c>
    </row>
    <row r="28">
      <c r="B28" s="3" t="s">
        <v>289</v>
      </c>
      <c r="C28" s="17">
        <f>Inputs!C88</f>
        <v>4.871</v>
      </c>
      <c r="D28" s="17">
        <f>Inputs!D88</f>
        <v>4.079</v>
      </c>
      <c r="E28" s="17">
        <f>Inputs!E88</f>
        <v>2.019</v>
      </c>
      <c r="F28" s="17">
        <f>Inputs!F88</f>
        <v>2.019</v>
      </c>
      <c r="G28" s="17">
        <f>Inputs!G88</f>
        <v>54.191</v>
      </c>
      <c r="H28" s="14">
        <f>G28</f>
        <v>54.191</v>
      </c>
    </row>
    <row r="29" ht="26.25">
      <c r="B29" s="3" t="s">
        <v>290</v>
      </c>
      <c r="C29" s="17">
        <f>Inputs!C89</f>
        <v>57.948</v>
      </c>
      <c r="D29" s="17">
        <f>Inputs!D89</f>
        <v>57.173</v>
      </c>
      <c r="E29" s="17">
        <f>Inputs!E89</f>
        <v>57.341</v>
      </c>
      <c r="F29" s="17">
        <f>Inputs!F89</f>
        <v>57.341</v>
      </c>
      <c r="G29" s="17">
        <f>Inputs!G89</f>
        <v>56.988</v>
      </c>
      <c r="H29" s="14">
        <f>G29</f>
        <v>56.988</v>
      </c>
    </row>
    <row r="30">
      <c r="B30" s="3" t="s">
        <v>291</v>
      </c>
      <c r="C30" s="17">
        <f>Inputs!C90</f>
        <v>216.855</v>
      </c>
      <c r="D30" s="17">
        <f>Inputs!D90</f>
        <v>216.901</v>
      </c>
      <c r="E30" s="17">
        <f>Inputs!E90</f>
        <v>217.323</v>
      </c>
      <c r="F30" s="17">
        <f>Inputs!F90</f>
        <v>217.323</v>
      </c>
      <c r="G30" s="17">
        <f>Inputs!G90</f>
        <v>17.234</v>
      </c>
      <c r="H30" s="14">
        <f>G30</f>
        <v>17.234</v>
      </c>
    </row>
    <row r="31">
      <c r="B31" s="3" t="s">
        <v>292</v>
      </c>
      <c r="C31" s="17">
        <f>Inputs!C91</f>
        <v>581.018</v>
      </c>
      <c r="D31" s="17">
        <f>Inputs!D91</f>
        <v>522.571</v>
      </c>
      <c r="E31" s="17">
        <f>Inputs!E91</f>
        <v>544.651</v>
      </c>
      <c r="F31" s="17">
        <f>Inputs!F91</f>
        <v>544.651</v>
      </c>
      <c r="G31" s="17">
        <f>Inputs!G91</f>
        <v>554.081</v>
      </c>
      <c r="H31" s="14">
        <f>G31</f>
        <v>554.081</v>
      </c>
    </row>
    <row r="32">
      <c r="B32" s="15" t="s">
        <v>293</v>
      </c>
      <c r="C32" s="23">
        <f>SUM(C26:C31)</f>
        <v>2252.036</v>
      </c>
      <c r="D32" s="23">
        <f>SUM(D26:D31)</f>
        <v>2106.241</v>
      </c>
      <c r="E32" s="23">
        <f>SUM(E26:E31)</f>
        <v>2414.8050000000003</v>
      </c>
      <c r="F32" s="23">
        <f>SUM(F26:F31)</f>
        <v>2414.8050000000003</v>
      </c>
      <c r="G32" s="23">
        <f>SUM(G26:G31)</f>
        <v>2157.054</v>
      </c>
      <c r="H32" s="18">
        <f>SUM(H26:H31)</f>
        <v>2177.054</v>
      </c>
    </row>
    <row r="33">
      <c r="B33" s="3" t="s">
        <v>294</v>
      </c>
      <c r="C33" s="17">
        <f>Inputs!C92</f>
        <v>1369.764</v>
      </c>
      <c r="D33" s="17">
        <f>Inputs!D92</f>
        <v>1169.768</v>
      </c>
      <c r="E33" s="17">
        <f>Inputs!E92</f>
        <v>2006.217</v>
      </c>
      <c r="F33" s="17">
        <f>Inputs!F92</f>
        <v>2006.217</v>
      </c>
      <c r="G33" s="17">
        <f>Inputs!G92</f>
        <v>2061.271</v>
      </c>
      <c r="H33" s="24">
        <f>G33+Inputs!H74</f>
        <v>2041.2710000000002</v>
      </c>
    </row>
    <row r="34" ht="26.25">
      <c r="B34" s="3" t="s">
        <v>295</v>
      </c>
      <c r="C34" s="17">
        <f>Inputs!C93</f>
        <v>16447.623</v>
      </c>
      <c r="D34" s="17">
        <f>Inputs!D93</f>
        <v>15417.006</v>
      </c>
      <c r="E34" s="17">
        <f>Inputs!E93</f>
        <v>15254.33</v>
      </c>
      <c r="F34" s="17">
        <f>Inputs!F93</f>
        <v>15254.33</v>
      </c>
      <c r="G34" s="17">
        <f>Inputs!G93</f>
        <v>15499.705</v>
      </c>
      <c r="H34" s="14">
        <f>G34</f>
        <v>15499.705</v>
      </c>
    </row>
    <row r="35" ht="26.25">
      <c r="B35" s="3" t="s">
        <v>296</v>
      </c>
      <c r="C35" s="17">
        <f>Inputs!C94</f>
        <v>463.844</v>
      </c>
      <c r="D35" s="17">
        <f>Inputs!D94</f>
        <v>462.391</v>
      </c>
      <c r="E35" s="17">
        <f>Inputs!E94</f>
        <v>464.696</v>
      </c>
      <c r="F35" s="17">
        <f>Inputs!F94</f>
        <v>464.696</v>
      </c>
      <c r="G35" s="17">
        <f>Inputs!G94</f>
        <v>453.352</v>
      </c>
      <c r="H35" s="14">
        <f>G35</f>
        <v>453.352</v>
      </c>
    </row>
    <row r="36">
      <c r="B36" s="3" t="s">
        <v>297</v>
      </c>
      <c r="C36" s="17">
        <f>Inputs!C95</f>
        <v>345.855</v>
      </c>
      <c r="D36" s="17">
        <f>Inputs!D95</f>
        <v>342.415</v>
      </c>
      <c r="E36" s="17">
        <f>Inputs!E95</f>
        <v>338.999</v>
      </c>
      <c r="F36" s="17">
        <f>Inputs!F95</f>
        <v>338.999</v>
      </c>
      <c r="G36" s="17">
        <f>Inputs!G95</f>
        <v>336.931</v>
      </c>
      <c r="H36" s="24">
        <f>G36+'Cash Flow Statement'!H47</f>
        <v>314.931</v>
      </c>
    </row>
    <row r="37">
      <c r="B37" s="15" t="s">
        <v>298</v>
      </c>
      <c r="C37" s="23">
        <f>SUM(C32:C36)</f>
        <v>20879.122</v>
      </c>
      <c r="D37" s="23">
        <f>SUM(D32:D36)</f>
        <v>19497.821</v>
      </c>
      <c r="E37" s="23">
        <f>SUM(E32:E36)</f>
        <v>20479.047000000002</v>
      </c>
      <c r="F37" s="23">
        <f>SUM(F32:F36)</f>
        <v>20479.047000000002</v>
      </c>
      <c r="G37" s="23">
        <f>SUM(G32:G36)</f>
        <v>20508.313000000002</v>
      </c>
      <c r="H37" s="18">
        <f>SUM(H32:H36)</f>
        <v>20486.313000000002</v>
      </c>
    </row>
    <row r="38">
      <c r="B38" s="3"/>
      <c r="C38" s="13"/>
      <c r="D38" s="13"/>
      <c r="E38" s="13"/>
      <c r="F38" s="13"/>
      <c r="G38" s="13"/>
      <c r="H38" s="14"/>
    </row>
    <row r="39">
      <c r="B39" s="3" t="s">
        <v>299</v>
      </c>
      <c r="C39" s="17">
        <f>Inputs!C96</f>
        <v>73.837</v>
      </c>
      <c r="D39" s="17">
        <f>Inputs!D96</f>
        <v>71.531</v>
      </c>
      <c r="E39" s="17">
        <f>Inputs!E96</f>
        <v>70.9</v>
      </c>
      <c r="F39" s="17">
        <f>Inputs!F96</f>
        <v>70.9</v>
      </c>
      <c r="G39" s="17">
        <f>Inputs!G96</f>
        <v>70.955</v>
      </c>
      <c r="H39" s="14">
        <f>G39</f>
        <v>70.955</v>
      </c>
    </row>
    <row r="40">
      <c r="B40" s="3" t="s">
        <v>300</v>
      </c>
      <c r="C40" s="17">
        <f>Inputs!C97</f>
        <v>1873.377</v>
      </c>
      <c r="D40" s="17">
        <f>Inputs!D97</f>
        <v>1824.142</v>
      </c>
      <c r="E40" s="17">
        <f>Inputs!E97</f>
        <v>1810.223</v>
      </c>
      <c r="F40" s="17">
        <f>Inputs!F97</f>
        <v>1810.223</v>
      </c>
      <c r="G40" s="17">
        <f>Inputs!G97</f>
        <v>1834.058</v>
      </c>
      <c r="H40" s="14">
        <f>G40</f>
        <v>1834.058</v>
      </c>
    </row>
    <row r="41" ht="26.25">
      <c r="B41" s="3" t="s">
        <v>301</v>
      </c>
      <c r="C41" s="17">
        <f>Inputs!C98</f>
        <v>-21.306</v>
      </c>
      <c r="D41" s="17">
        <f>Inputs!D98</f>
        <v>-27.28</v>
      </c>
      <c r="E41" s="17">
        <f>Inputs!E98</f>
        <v>-34.126</v>
      </c>
      <c r="F41" s="17">
        <f>Inputs!F98</f>
        <v>-34.126</v>
      </c>
      <c r="G41" s="17">
        <f>Inputs!G98</f>
        <v>-13.914</v>
      </c>
      <c r="H41" s="14">
        <f>G41</f>
        <v>-13.914</v>
      </c>
    </row>
    <row r="42">
      <c r="B42" s="3" t="s">
        <v>302</v>
      </c>
      <c r="C42" s="17">
        <f>Inputs!C99</f>
        <v>4274.614</v>
      </c>
      <c r="D42" s="17">
        <f>Inputs!D99</f>
        <v>4196.141</v>
      </c>
      <c r="E42" s="17">
        <f>Inputs!E99</f>
        <v>4041.859</v>
      </c>
      <c r="F42" s="17">
        <f>Inputs!F99</f>
        <v>4041.859</v>
      </c>
      <c r="G42" s="17">
        <f>Inputs!G99</f>
        <v>4227.486</v>
      </c>
      <c r="H42" s="24">
        <f>G42+'Income Statement'!H34</f>
        <v>4315.2735</v>
      </c>
    </row>
    <row r="43">
      <c r="B43" s="15" t="s">
        <v>303</v>
      </c>
      <c r="C43" s="23">
        <f>SUM(C39:C42)</f>
        <v>6200.521999999999</v>
      </c>
      <c r="D43" s="23">
        <f>SUM(D39:D42)</f>
        <v>6064.534</v>
      </c>
      <c r="E43" s="23">
        <f>SUM(E39:E42)</f>
        <v>5888.856</v>
      </c>
      <c r="F43" s="23">
        <f>SUM(F39:F42)</f>
        <v>5888.856</v>
      </c>
      <c r="G43" s="23">
        <f>SUM(G39:G42)</f>
        <v>6118.585</v>
      </c>
      <c r="H43" s="18">
        <f>SUM(H39:H42)</f>
        <v>6206.3725</v>
      </c>
    </row>
    <row r="44" ht="26.25">
      <c r="B44" s="15" t="s">
        <v>304</v>
      </c>
      <c r="C44" s="23">
        <f>C24-C37-C43</f>
        <v>0</v>
      </c>
      <c r="D44" s="23">
        <f>D24-D37-D43</f>
        <v>0</v>
      </c>
      <c r="E44" s="23">
        <f>E24-E37-E43</f>
        <v>0</v>
      </c>
      <c r="F44" s="23">
        <f>F24-F37-F43</f>
        <v>0</v>
      </c>
      <c r="G44" s="23">
        <f>G24-G37-G43</f>
        <v>0</v>
      </c>
      <c r="H44" s="18">
        <f>H24-H37-H43</f>
        <v>0</v>
      </c>
    </row>
    <row r="45" ht="26.25">
      <c r="B45" s="3" t="s">
        <v>305</v>
      </c>
      <c r="C45" s="13">
        <f>SUM(C13,C18)</f>
        <v>17308.164</v>
      </c>
      <c r="D45" s="13">
        <f>SUM(D13,D18)</f>
        <v>16151.162</v>
      </c>
      <c r="E45" s="13">
        <f>SUM(E13,E18)</f>
        <v>16052.782</v>
      </c>
      <c r="F45" s="13">
        <f>SUM(F13,F18)</f>
        <v>16052.782</v>
      </c>
      <c r="G45" s="13">
        <f>SUM(G13,G18)</f>
        <v>16308.930999999999</v>
      </c>
      <c r="H45" s="14">
        <f>SUM(H13,H18)</f>
        <v>16302.930999999999</v>
      </c>
    </row>
    <row r="46">
      <c r="B46" s="2"/>
      <c r="C46" s="13"/>
      <c r="D46" s="13"/>
      <c r="E46" s="13"/>
      <c r="F46" s="13"/>
      <c r="G46" s="13"/>
      <c r="H46" s="14"/>
    </row>
    <row r="47">
      <c r="B47" s="2"/>
      <c r="C47" s="13"/>
      <c r="D47" s="13"/>
      <c r="E47" s="13"/>
      <c r="F47" s="13"/>
      <c r="G47" s="13"/>
      <c r="H47" s="14"/>
    </row>
    <row r="48">
      <c r="B48" s="2"/>
      <c r="C48" s="13"/>
      <c r="D48" s="13"/>
      <c r="E48" s="13"/>
      <c r="F48" s="13"/>
      <c r="G48" s="13"/>
      <c r="H48" s="14"/>
    </row>
    <row r="49">
      <c r="B49" s="2"/>
      <c r="C49" s="13"/>
      <c r="D49" s="13"/>
      <c r="E49" s="13"/>
      <c r="F49" s="13"/>
      <c r="G49" s="13"/>
      <c r="H49" s="14"/>
    </row>
    <row r="50">
      <c r="B50" s="2"/>
      <c r="C50" s="13"/>
      <c r="D50" s="13"/>
      <c r="E50" s="13"/>
      <c r="F50" s="13"/>
      <c r="G50" s="13"/>
      <c r="H50" s="14"/>
    </row>
    <row r="51">
      <c r="B51" s="2"/>
      <c r="C51" s="13"/>
      <c r="D51" s="13"/>
      <c r="E51" s="13"/>
      <c r="F51" s="13"/>
      <c r="G51" s="13"/>
      <c r="H51" s="14"/>
    </row>
    <row r="52">
      <c r="B52" s="2"/>
      <c r="C52" s="13"/>
      <c r="D52" s="13"/>
      <c r="E52" s="13"/>
      <c r="F52" s="13"/>
      <c r="G52" s="13"/>
      <c r="H52" s="14"/>
    </row>
    <row r="53">
      <c r="B53" s="2"/>
      <c r="C53" s="13"/>
      <c r="D53" s="13"/>
      <c r="E53" s="13"/>
      <c r="F53" s="13"/>
      <c r="G53" s="13"/>
      <c r="H53" s="14"/>
    </row>
    <row r="54">
      <c r="B54" s="2"/>
      <c r="C54" s="13"/>
      <c r="D54" s="13"/>
      <c r="E54" s="13"/>
      <c r="F54" s="13"/>
      <c r="G54" s="13"/>
      <c r="H54" s="14"/>
    </row>
    <row r="55">
      <c r="B55" s="2"/>
      <c r="C55" s="13"/>
      <c r="D55" s="13"/>
      <c r="E55" s="13"/>
      <c r="F55" s="13"/>
      <c r="G55" s="13"/>
      <c r="H55" s="14"/>
    </row>
    <row r="56">
      <c r="B56" s="2"/>
      <c r="C56" s="13"/>
      <c r="D56" s="13"/>
      <c r="E56" s="13"/>
      <c r="F56" s="13"/>
      <c r="G56" s="13"/>
      <c r="H56" s="14"/>
    </row>
    <row r="57">
      <c r="B57" s="2"/>
      <c r="C57" s="13"/>
      <c r="D57" s="13"/>
      <c r="E57" s="13"/>
      <c r="F57" s="13"/>
      <c r="G57" s="13"/>
      <c r="H57" s="14"/>
    </row>
    <row r="58">
      <c r="B58" s="2"/>
      <c r="C58" s="13"/>
      <c r="D58" s="13"/>
      <c r="E58" s="13"/>
      <c r="F58" s="13"/>
      <c r="G58" s="13"/>
      <c r="H58" s="14"/>
    </row>
    <row r="59">
      <c r="B59" s="2"/>
      <c r="C59" s="13"/>
      <c r="D59" s="13"/>
      <c r="E59" s="13"/>
      <c r="F59" s="13"/>
      <c r="G59" s="13"/>
      <c r="H59" s="14"/>
    </row>
    <row r="60">
      <c r="B60" s="2"/>
      <c r="C60" s="13"/>
      <c r="D60" s="13"/>
      <c r="E60" s="13"/>
      <c r="F60" s="13"/>
      <c r="G60" s="13"/>
      <c r="H60" s="14"/>
    </row>
    <row r="61">
      <c r="B61" s="2"/>
      <c r="C61" s="13"/>
      <c r="D61" s="13"/>
      <c r="E61" s="13"/>
      <c r="F61" s="13"/>
      <c r="G61" s="13"/>
      <c r="H61" s="14"/>
    </row>
    <row r="62">
      <c r="B62" s="2"/>
      <c r="C62" s="13"/>
      <c r="D62" s="13"/>
      <c r="E62" s="13"/>
      <c r="F62" s="13"/>
      <c r="G62" s="13"/>
      <c r="H62" s="14"/>
    </row>
    <row r="63">
      <c r="B63" s="2"/>
      <c r="C63" s="13"/>
      <c r="D63" s="13"/>
      <c r="E63" s="13"/>
      <c r="F63" s="13"/>
      <c r="G63" s="13"/>
      <c r="H63" s="14"/>
    </row>
    <row r="64">
      <c r="B64" s="2"/>
      <c r="C64" s="13"/>
      <c r="D64" s="13"/>
      <c r="E64" s="13"/>
      <c r="F64" s="13"/>
      <c r="G64" s="13"/>
      <c r="H64" s="14"/>
    </row>
    <row r="65">
      <c r="B65" s="2"/>
      <c r="C65" s="13"/>
      <c r="D65" s="13"/>
      <c r="E65" s="13"/>
      <c r="F65" s="13"/>
      <c r="G65" s="13"/>
      <c r="H65" s="14"/>
    </row>
    <row r="66">
      <c r="B66" s="2"/>
      <c r="C66" s="13"/>
      <c r="D66" s="13"/>
      <c r="E66" s="13"/>
      <c r="F66" s="13"/>
      <c r="G66" s="13"/>
      <c r="H66" s="14"/>
    </row>
    <row r="67">
      <c r="B67" s="2"/>
      <c r="C67" s="13"/>
      <c r="D67" s="13"/>
      <c r="E67" s="13"/>
      <c r="F67" s="13"/>
      <c r="G67" s="13"/>
      <c r="H67" s="14"/>
    </row>
    <row r="68">
      <c r="B68" s="2"/>
      <c r="C68" s="13"/>
      <c r="D68" s="13"/>
      <c r="E68" s="13"/>
      <c r="F68" s="13"/>
      <c r="G68" s="13"/>
      <c r="H68" s="14"/>
    </row>
    <row r="69">
      <c r="B69" s="2"/>
      <c r="C69" s="13"/>
      <c r="D69" s="13"/>
      <c r="E69" s="13"/>
      <c r="F69" s="13"/>
      <c r="G69" s="13"/>
      <c r="H69" s="14"/>
    </row>
    <row r="70">
      <c r="B70" s="2"/>
      <c r="C70" s="13"/>
      <c r="D70" s="13"/>
      <c r="E70" s="13"/>
      <c r="F70" s="13"/>
      <c r="G70" s="13"/>
      <c r="H70" s="14"/>
    </row>
    <row r="71">
      <c r="B71" s="2"/>
      <c r="C71" s="13"/>
      <c r="D71" s="13"/>
      <c r="E71" s="13"/>
      <c r="F71" s="13"/>
      <c r="G71" s="13"/>
      <c r="H71" s="14"/>
    </row>
    <row r="72">
      <c r="B72" s="2"/>
      <c r="C72" s="13"/>
      <c r="D72" s="13"/>
      <c r="E72" s="13"/>
      <c r="F72" s="13"/>
      <c r="G72" s="13"/>
      <c r="H72" s="14"/>
    </row>
    <row r="73">
      <c r="B73" s="2"/>
      <c r="C73" s="13"/>
      <c r="D73" s="13"/>
      <c r="E73" s="13"/>
      <c r="F73" s="13"/>
      <c r="G73" s="13"/>
      <c r="H73" s="14"/>
    </row>
    <row r="74">
      <c r="B74" s="2"/>
      <c r="C74" s="13"/>
      <c r="D74" s="13"/>
      <c r="E74" s="13"/>
      <c r="F74" s="13"/>
      <c r="G74" s="13"/>
      <c r="H74" s="14"/>
    </row>
    <row r="75">
      <c r="B75" s="2"/>
      <c r="C75" s="13"/>
      <c r="D75" s="13"/>
      <c r="E75" s="13"/>
      <c r="F75" s="13"/>
      <c r="G75" s="13"/>
      <c r="H75" s="14"/>
    </row>
    <row r="76">
      <c r="B76" s="2"/>
      <c r="C76" s="13"/>
      <c r="D76" s="13"/>
      <c r="E76" s="13"/>
      <c r="F76" s="13"/>
      <c r="G76" s="13"/>
      <c r="H76" s="14"/>
    </row>
    <row r="77">
      <c r="B77" s="2"/>
      <c r="C77" s="13"/>
      <c r="D77" s="13"/>
      <c r="E77" s="13"/>
      <c r="F77" s="13"/>
      <c r="G77" s="13"/>
      <c r="H77" s="14"/>
    </row>
    <row r="78">
      <c r="B78" s="2"/>
      <c r="C78" s="13"/>
      <c r="D78" s="13"/>
      <c r="E78" s="13"/>
      <c r="F78" s="13"/>
      <c r="G78" s="13"/>
      <c r="H78" s="14"/>
    </row>
    <row r="79">
      <c r="B79" s="2"/>
      <c r="C79" s="13"/>
      <c r="D79" s="13"/>
      <c r="E79" s="13"/>
      <c r="F79" s="13"/>
      <c r="G79" s="13"/>
      <c r="H79" s="14"/>
    </row>
    <row r="80">
      <c r="B80" s="2"/>
      <c r="C80" s="13"/>
      <c r="D80" s="13"/>
      <c r="E80" s="13"/>
      <c r="F80" s="13"/>
      <c r="G80" s="13"/>
      <c r="H80" s="14"/>
    </row>
    <row r="81">
      <c r="B81" s="2"/>
      <c r="C81" s="13"/>
      <c r="D81" s="13"/>
      <c r="E81" s="13"/>
      <c r="F81" s="13"/>
      <c r="G81" s="13"/>
      <c r="H81" s="14"/>
    </row>
    <row r="82">
      <c r="B82" s="2"/>
      <c r="C82" s="13"/>
      <c r="D82" s="13"/>
      <c r="E82" s="13"/>
      <c r="F82" s="13"/>
      <c r="G82" s="13"/>
      <c r="H82" s="14"/>
    </row>
    <row r="83">
      <c r="B83" s="2"/>
      <c r="C83" s="13"/>
      <c r="D83" s="13"/>
      <c r="E83" s="13"/>
      <c r="F83" s="13"/>
      <c r="G83" s="13"/>
      <c r="H83" s="14"/>
    </row>
    <row r="84">
      <c r="B84" s="2"/>
      <c r="C84" s="13"/>
      <c r="D84" s="13"/>
      <c r="E84" s="13"/>
      <c r="F84" s="13"/>
      <c r="G84" s="13"/>
      <c r="H84" s="14"/>
    </row>
    <row r="85">
      <c r="B85" s="2"/>
      <c r="C85" s="13"/>
      <c r="D85" s="13"/>
      <c r="E85" s="13"/>
      <c r="F85" s="13"/>
      <c r="G85" s="13"/>
      <c r="H85" s="14"/>
    </row>
    <row r="86">
      <c r="B86" s="2"/>
      <c r="C86" s="13"/>
      <c r="D86" s="13"/>
      <c r="E86" s="13"/>
      <c r="F86" s="13"/>
      <c r="G86" s="13"/>
      <c r="H86" s="14"/>
    </row>
    <row r="87">
      <c r="B87" s="2"/>
      <c r="C87" s="13"/>
      <c r="D87" s="13"/>
      <c r="E87" s="13"/>
      <c r="F87" s="13"/>
      <c r="G87" s="13"/>
      <c r="H87" s="14"/>
    </row>
    <row r="88">
      <c r="B88" s="2"/>
      <c r="C88" s="13"/>
      <c r="D88" s="13"/>
      <c r="E88" s="13"/>
      <c r="F88" s="13"/>
      <c r="G88" s="13"/>
      <c r="H88" s="14"/>
    </row>
    <row r="89">
      <c r="B89" s="2"/>
      <c r="C89" s="13"/>
      <c r="D89" s="13"/>
      <c r="E89" s="13"/>
      <c r="F89" s="13"/>
      <c r="G89" s="13"/>
      <c r="H89" s="14"/>
    </row>
    <row r="90">
      <c r="B90" s="2"/>
      <c r="C90" s="13"/>
      <c r="D90" s="13"/>
      <c r="E90" s="13"/>
      <c r="F90" s="13"/>
      <c r="G90" s="13"/>
      <c r="H90" s="14"/>
    </row>
    <row r="91">
      <c r="B91" s="2"/>
      <c r="C91" s="13"/>
      <c r="D91" s="13"/>
      <c r="E91" s="13"/>
      <c r="F91" s="13"/>
      <c r="G91" s="13"/>
      <c r="H91" s="14"/>
    </row>
    <row r="92">
      <c r="B92" s="2"/>
      <c r="C92" s="13"/>
      <c r="D92" s="13"/>
      <c r="E92" s="13"/>
      <c r="F92" s="13"/>
      <c r="G92" s="13"/>
      <c r="H92" s="14"/>
    </row>
    <row r="93">
      <c r="B93" s="2"/>
      <c r="C93" s="13"/>
      <c r="D93" s="13"/>
      <c r="E93" s="13"/>
      <c r="F93" s="13"/>
      <c r="G93" s="13"/>
      <c r="H93" s="14"/>
    </row>
    <row r="94">
      <c r="B94" s="2"/>
      <c r="C94" s="13"/>
      <c r="D94" s="13"/>
      <c r="E94" s="13"/>
      <c r="F94" s="13"/>
      <c r="G94" s="13"/>
      <c r="H94" s="14"/>
    </row>
    <row r="95">
      <c r="B95" s="2"/>
      <c r="C95" s="13"/>
      <c r="D95" s="13"/>
      <c r="E95" s="13"/>
      <c r="F95" s="13"/>
      <c r="G95" s="13"/>
      <c r="H95" s="14"/>
    </row>
    <row r="96">
      <c r="B96" s="2"/>
      <c r="C96" s="13"/>
      <c r="D96" s="13"/>
      <c r="E96" s="13"/>
      <c r="F96" s="13"/>
      <c r="G96" s="13"/>
      <c r="H96" s="14"/>
    </row>
    <row r="97">
      <c r="B97" s="2"/>
      <c r="C97" s="13"/>
      <c r="D97" s="13"/>
      <c r="E97" s="13"/>
      <c r="F97" s="13"/>
      <c r="G97" s="13"/>
      <c r="H97" s="14"/>
    </row>
    <row r="98">
      <c r="B98" s="2"/>
      <c r="C98" s="13"/>
      <c r="D98" s="13"/>
      <c r="E98" s="13"/>
      <c r="F98" s="13"/>
      <c r="G98" s="13"/>
      <c r="H98" s="14"/>
    </row>
    <row r="99">
      <c r="B99" s="2"/>
      <c r="C99" s="13"/>
      <c r="D99" s="13"/>
      <c r="E99" s="13"/>
      <c r="F99" s="13"/>
      <c r="G99" s="13"/>
      <c r="H99" s="14"/>
    </row>
    <row r="100">
      <c r="B100" s="2"/>
      <c r="C100" s="13"/>
      <c r="D100" s="13"/>
      <c r="E100" s="13"/>
      <c r="F100" s="13"/>
      <c r="G100" s="13"/>
      <c r="H100" s="14"/>
    </row>
    <row r="101">
      <c r="B101" s="2"/>
      <c r="C101" s="13"/>
      <c r="D101" s="13"/>
      <c r="E101" s="13"/>
      <c r="F101" s="13"/>
      <c r="G101" s="13"/>
      <c r="H101" s="14"/>
    </row>
    <row r="102">
      <c r="B102" s="2"/>
      <c r="C102" s="13"/>
      <c r="D102" s="13"/>
      <c r="E102" s="13"/>
      <c r="F102" s="13"/>
      <c r="G102" s="13"/>
      <c r="H102" s="14"/>
    </row>
    <row r="103">
      <c r="B103" s="2"/>
      <c r="C103" s="13"/>
      <c r="D103" s="13"/>
      <c r="E103" s="13"/>
      <c r="F103" s="13"/>
      <c r="G103" s="13"/>
      <c r="H103" s="14"/>
    </row>
    <row r="104">
      <c r="B104" s="2"/>
      <c r="C104" s="13"/>
      <c r="D104" s="13"/>
      <c r="E104" s="13"/>
      <c r="F104" s="13"/>
      <c r="G104" s="13"/>
      <c r="H104" s="14"/>
    </row>
    <row r="105">
      <c r="B105" s="2"/>
      <c r="C105" s="13"/>
      <c r="D105" s="13"/>
      <c r="E105" s="13"/>
      <c r="F105" s="13"/>
      <c r="G105" s="13"/>
      <c r="H105" s="14"/>
    </row>
    <row r="106">
      <c r="H106" s="1"/>
    </row>
    <row r="107">
      <c r="H107" s="1"/>
    </row>
    <row r="108">
      <c r="H108" s="1"/>
    </row>
    <row r="109">
      <c r="H109" s="1"/>
    </row>
    <row r="110">
      <c r="H110" s="1"/>
    </row>
    <row r="111">
      <c r="H111" s="1"/>
    </row>
    <row r="112">
      <c r="H112" s="1"/>
    </row>
    <row r="113">
      <c r="H113" s="1"/>
    </row>
    <row r="114">
      <c r="H114" s="1"/>
    </row>
    <row r="115">
      <c r="H115" s="1"/>
    </row>
    <row r="116">
      <c r="H116" s="1"/>
    </row>
    <row r="117">
      <c r="H117" s="1"/>
    </row>
    <row r="118">
      <c r="H118" s="1"/>
    </row>
    <row r="119">
      <c r="H119" s="1"/>
    </row>
    <row r="120">
      <c r="H120" s="1"/>
    </row>
    <row r="121">
      <c r="H121" s="1"/>
    </row>
    <row r="122">
      <c r="H122" s="1"/>
    </row>
    <row r="123">
      <c r="H123" s="1"/>
    </row>
    <row r="124">
      <c r="H124" s="1"/>
    </row>
    <row r="125">
      <c r="H125" s="1"/>
    </row>
    <row r="126">
      <c r="H126" s="1"/>
    </row>
    <row r="127">
      <c r="H127" s="1"/>
    </row>
    <row r="128">
      <c r="H128" s="1"/>
    </row>
    <row r="129">
      <c r="H129" s="1"/>
    </row>
    <row r="130">
      <c r="H130" s="1"/>
    </row>
    <row r="131">
      <c r="H131" s="1"/>
    </row>
    <row r="132">
      <c r="H132" s="1"/>
    </row>
    <row r="133">
      <c r="H133" s="1"/>
    </row>
    <row r="134">
      <c r="H134" s="1"/>
    </row>
    <row r="135">
      <c r="H135" s="1"/>
    </row>
    <row r="136">
      <c r="H136" s="1"/>
    </row>
    <row r="137">
      <c r="H137" s="1"/>
    </row>
    <row r="138">
      <c r="H138" s="1"/>
    </row>
    <row r="139">
      <c r="H139" s="1"/>
    </row>
    <row r="140">
      <c r="H140" s="1"/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B2:H140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4" customWidth="1"/>
    <col min="3" max="8" width="14" customWidth="1"/>
  </cols>
  <sheetData>
    <row r="2">
      <c r="B2" s="2" t="s">
        <v>0</v>
      </c>
      <c r="C2" s="2"/>
      <c r="D2" s="2"/>
      <c r="E2" s="2"/>
      <c r="F2" s="2"/>
      <c r="G2" s="2"/>
      <c r="H2" s="2"/>
    </row>
    <row r="3">
      <c r="B3" s="2" t="s">
        <v>306</v>
      </c>
      <c r="C3" s="2"/>
      <c r="D3" s="2"/>
      <c r="E3" s="2"/>
      <c r="F3" s="2"/>
      <c r="G3" s="2"/>
      <c r="H3" s="2"/>
    </row>
    <row r="4">
      <c r="B4" s="2" t="s">
        <v>2</v>
      </c>
      <c r="C4" s="2"/>
      <c r="D4" s="2"/>
      <c r="E4" s="2"/>
      <c r="F4" s="2"/>
      <c r="G4" s="2"/>
      <c r="H4" s="2"/>
    </row>
    <row r="5">
      <c r="B5" s="11"/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</row>
    <row r="6">
      <c r="B6" s="11"/>
      <c r="C6" s="6">
        <v>45900</v>
      </c>
      <c r="D6" s="6">
        <v>45991</v>
      </c>
      <c r="E6" s="6">
        <v>46081</v>
      </c>
      <c r="F6" s="6">
        <v>46081</v>
      </c>
      <c r="G6" s="6">
        <v>46173</v>
      </c>
      <c r="H6" s="6">
        <v>46265</v>
      </c>
    </row>
    <row r="7">
      <c r="B7" s="11"/>
      <c r="C7" s="11">
        <v>92</v>
      </c>
      <c r="D7" s="11">
        <v>91</v>
      </c>
      <c r="E7" s="11">
        <v>90</v>
      </c>
      <c r="F7" s="11">
        <v>365</v>
      </c>
      <c r="G7" s="11">
        <v>92</v>
      </c>
      <c r="H7" s="11">
        <v>92</v>
      </c>
    </row>
    <row r="8">
      <c r="B8" s="2"/>
      <c r="C8" s="2"/>
      <c r="D8" s="2"/>
      <c r="E8" s="2"/>
      <c r="F8" s="2"/>
      <c r="G8" s="2"/>
      <c r="H8" s="4"/>
    </row>
    <row r="9">
      <c r="B9" s="3" t="s">
        <v>307</v>
      </c>
      <c r="C9" s="13"/>
      <c r="D9" s="13"/>
      <c r="E9" s="13"/>
      <c r="F9" s="13"/>
      <c r="G9" s="13"/>
      <c r="H9" s="14"/>
    </row>
    <row r="10">
      <c r="B10" s="3" t="s">
        <v>308</v>
      </c>
      <c r="C10" s="17">
        <f>'Income Statement'!C34</f>
        <v>95.3780000000001</v>
      </c>
      <c r="D10" s="17">
        <f>'Income Statement'!D34</f>
        <v>62.21499999999995</v>
      </c>
      <c r="E10" s="17">
        <f>'Income Statement'!E34</f>
        <v>-120.68400000000004</v>
      </c>
      <c r="F10" s="17">
        <f>'Income Statement'!F34</f>
        <v>247.29000000000045</v>
      </c>
      <c r="G10" s="17">
        <f>'Income Statement'!G34</f>
        <v>185.627</v>
      </c>
      <c r="H10" s="24">
        <f>'Income Statement'!H34</f>
        <v>87.78750000000014</v>
      </c>
    </row>
    <row r="11" ht="26.25">
      <c r="B11" s="3" t="s">
        <v>309</v>
      </c>
      <c r="C11" s="17">
        <f>'Income Statement'!C27</f>
        <v>67.285</v>
      </c>
      <c r="D11" s="17">
        <f>'Income Statement'!D27</f>
        <v>68.943</v>
      </c>
      <c r="E11" s="17">
        <f>'Income Statement'!E27</f>
        <v>71.783</v>
      </c>
      <c r="F11" s="17">
        <f>'Income Statement'!F27</f>
        <v>273.75</v>
      </c>
      <c r="G11" s="17">
        <f>'Income Statement'!G27</f>
        <v>69.21300000000001</v>
      </c>
      <c r="H11" s="24">
        <f>'Income Statement'!H27</f>
        <v>69</v>
      </c>
    </row>
    <row r="12" ht="26.25">
      <c r="B12" s="3" t="s">
        <v>310</v>
      </c>
      <c r="C12" s="13">
        <f>C48-C11</f>
        <v>622.831</v>
      </c>
      <c r="D12" s="13">
        <f>D48-D11</f>
        <v>1121.9189999999999</v>
      </c>
      <c r="E12" s="13">
        <f>E48-E11</f>
        <v>-505.366</v>
      </c>
      <c r="F12" s="13">
        <f>F48-F11</f>
        <v>1262.807</v>
      </c>
      <c r="G12" s="13">
        <f>G48-G11</f>
        <v>-237.2510000000001</v>
      </c>
      <c r="H12" s="14">
        <f>H48-H11</f>
        <v>-75</v>
      </c>
    </row>
    <row r="13" ht="26.25">
      <c r="B13" s="15" t="s">
        <v>311</v>
      </c>
      <c r="C13" s="23">
        <f>SUM(C10:C12)</f>
        <v>785.4940000000001</v>
      </c>
      <c r="D13" s="23">
        <f>SUM(D10:D12)</f>
        <v>1253.0769999999998</v>
      </c>
      <c r="E13" s="23">
        <f>SUM(E10:E12)</f>
        <v>-554.267</v>
      </c>
      <c r="F13" s="23">
        <f>SUM(F10:F12)</f>
        <v>1783.8470000000004</v>
      </c>
      <c r="G13" s="23">
        <f>SUM(G10:G12)</f>
        <v>17.588999999999942</v>
      </c>
      <c r="H13" s="18">
        <f>SUM(H10:H12)</f>
        <v>81.78750000000014</v>
      </c>
    </row>
    <row r="14">
      <c r="B14" s="3" t="s">
        <v>231</v>
      </c>
      <c r="C14" s="13"/>
      <c r="D14" s="13"/>
      <c r="E14" s="13"/>
      <c r="F14" s="13"/>
      <c r="G14" s="13"/>
      <c r="H14" s="14">
        <f>H13/C13-1</f>
        <v>-0.8958776260544319</v>
      </c>
    </row>
    <row r="15">
      <c r="B15" s="3" t="s">
        <v>312</v>
      </c>
      <c r="C15" s="13"/>
      <c r="D15" s="13"/>
      <c r="E15" s="13"/>
      <c r="F15" s="13"/>
      <c r="G15" s="13"/>
      <c r="H15" s="14"/>
    </row>
    <row r="16" ht="26.25">
      <c r="B16" s="3" t="s">
        <v>313</v>
      </c>
      <c r="C16" s="13">
        <f>C56</f>
        <v>-131.27700000000002</v>
      </c>
      <c r="D16" s="13">
        <f>D56</f>
        <v>-138.81099999999998</v>
      </c>
      <c r="E16" s="13">
        <f>E56</f>
        <v>-128.76800000000003</v>
      </c>
      <c r="F16" s="13">
        <f>F56</f>
        <v>-540.0450000000001</v>
      </c>
      <c r="G16" s="13">
        <f>G56</f>
        <v>-99.62599999999999</v>
      </c>
      <c r="H16" s="14">
        <f>H56</f>
        <v>-100</v>
      </c>
    </row>
    <row r="17">
      <c r="B17" s="15" t="s">
        <v>314</v>
      </c>
      <c r="C17" s="23">
        <f>C16</f>
        <v>-131.27700000000002</v>
      </c>
      <c r="D17" s="23">
        <f>D16</f>
        <v>-138.81099999999998</v>
      </c>
      <c r="E17" s="23">
        <f>E16</f>
        <v>-128.76800000000003</v>
      </c>
      <c r="F17" s="23">
        <f>F16</f>
        <v>-540.0450000000001</v>
      </c>
      <c r="G17" s="23">
        <f>G16</f>
        <v>-99.62599999999999</v>
      </c>
      <c r="H17" s="18">
        <f>H16</f>
        <v>-100</v>
      </c>
    </row>
    <row r="18">
      <c r="B18" s="3" t="s">
        <v>315</v>
      </c>
      <c r="C18" s="13"/>
      <c r="D18" s="13"/>
      <c r="E18" s="13"/>
      <c r="F18" s="13"/>
      <c r="G18" s="13"/>
      <c r="H18" s="14"/>
    </row>
    <row r="19" ht="26.25">
      <c r="B19" s="3" t="s">
        <v>316</v>
      </c>
      <c r="C19" s="13">
        <f>C67</f>
        <v>-338.28099999999995</v>
      </c>
      <c r="D19" s="13">
        <f>D67</f>
        <v>-1506.6380000000004</v>
      </c>
      <c r="E19" s="13">
        <f>E67</f>
        <v>633.0820000000011</v>
      </c>
      <c r="F19" s="13">
        <f>F67</f>
        <v>-1341.2619999999986</v>
      </c>
      <c r="G19" s="13">
        <f>G67</f>
        <v>90.52099999999973</v>
      </c>
      <c r="H19" s="14">
        <f>H67</f>
        <v>-20</v>
      </c>
    </row>
    <row r="20">
      <c r="B20" s="15" t="s">
        <v>317</v>
      </c>
      <c r="C20" s="23">
        <f>C19</f>
        <v>-338.28099999999995</v>
      </c>
      <c r="D20" s="23">
        <f>D19</f>
        <v>-1506.6380000000004</v>
      </c>
      <c r="E20" s="23">
        <f>E19</f>
        <v>633.0820000000011</v>
      </c>
      <c r="F20" s="23">
        <f>F19</f>
        <v>-1341.2619999999986</v>
      </c>
      <c r="G20" s="23">
        <f>G19</f>
        <v>90.52099999999973</v>
      </c>
      <c r="H20" s="18">
        <f>H19</f>
        <v>-20</v>
      </c>
    </row>
    <row r="21" ht="26.25">
      <c r="B21" s="15" t="s">
        <v>318</v>
      </c>
      <c r="C21" s="23">
        <f>SUM(C13,C17,C20)</f>
        <v>315.93600000000015</v>
      </c>
      <c r="D21" s="23">
        <f>SUM(D13,D17,D20)</f>
        <v>-392.3720000000005</v>
      </c>
      <c r="E21" s="23">
        <f>SUM(E13,E17,E20)</f>
        <v>-49.95299999999895</v>
      </c>
      <c r="F21" s="23">
        <f>SUM(F13,F17,F20)</f>
        <v>-97.45999999999822</v>
      </c>
      <c r="G21" s="23">
        <f>SUM(G13,G17,G20)</f>
        <v>8.483999999999682</v>
      </c>
      <c r="H21" s="18">
        <f>SUM(H13,H17,H20)</f>
        <v>-38.212499999999864</v>
      </c>
    </row>
    <row r="22" ht="26.25">
      <c r="B22" s="3" t="s">
        <v>319</v>
      </c>
      <c r="C22" s="17">
        <f>Inputs!C66</f>
        <v>989.239</v>
      </c>
      <c r="D22" s="17">
        <f>Inputs!D66</f>
        <v>1305.175</v>
      </c>
      <c r="E22" s="17">
        <f>Inputs!E66</f>
        <v>912.803</v>
      </c>
      <c r="F22" s="17">
        <f>Inputs!F66</f>
        <v>960.31</v>
      </c>
      <c r="G22" s="17">
        <f>Inputs!G66</f>
        <v>862.85</v>
      </c>
      <c r="H22" s="14">
        <f>G23</f>
        <v>871.3339999999997</v>
      </c>
    </row>
    <row r="23" ht="26.25">
      <c r="B23" s="15" t="s">
        <v>320</v>
      </c>
      <c r="C23" s="23">
        <f>SUM(C21:C22)</f>
        <v>1305.1750000000002</v>
      </c>
      <c r="D23" s="23">
        <f>SUM(D21:D22)</f>
        <v>912.8029999999994</v>
      </c>
      <c r="E23" s="23">
        <f>SUM(E21:E22)</f>
        <v>862.850000000001</v>
      </c>
      <c r="F23" s="23">
        <f>SUM(F21:F22)</f>
        <v>862.8500000000017</v>
      </c>
      <c r="G23" s="23">
        <f>SUM(G21:G22)</f>
        <v>871.3339999999997</v>
      </c>
      <c r="H23" s="18">
        <f>SUM(H21:H22)</f>
        <v>833.1214999999999</v>
      </c>
    </row>
    <row r="24" ht="26.25">
      <c r="B24" s="3" t="s">
        <v>321</v>
      </c>
      <c r="C24" s="17">
        <f>'Balance Sheet'!C10</f>
        <v>540.374</v>
      </c>
      <c r="D24" s="17">
        <f>'Balance Sheet'!D10</f>
        <v>204.938</v>
      </c>
      <c r="E24" s="17">
        <f>'Balance Sheet'!E10</f>
        <v>122.826</v>
      </c>
      <c r="F24" s="17">
        <f>'Balance Sheet'!F10</f>
        <v>122.826</v>
      </c>
      <c r="G24" s="17">
        <f>'Balance Sheet'!G10</f>
        <v>132.223</v>
      </c>
      <c r="H24" s="24">
        <f>'Balance Sheet'!H10</f>
        <v>94.01050000000015</v>
      </c>
    </row>
    <row r="25" ht="26.25">
      <c r="B25" s="3" t="s">
        <v>322</v>
      </c>
      <c r="C25" s="17">
        <f>'Balance Sheet'!C11</f>
        <v>618.792</v>
      </c>
      <c r="D25" s="17">
        <f>'Balance Sheet'!D11</f>
        <v>567.398</v>
      </c>
      <c r="E25" s="17">
        <f>'Balance Sheet'!E11</f>
        <v>592.033</v>
      </c>
      <c r="F25" s="17">
        <f>'Balance Sheet'!F11</f>
        <v>592.033</v>
      </c>
      <c r="G25" s="17">
        <f>'Balance Sheet'!G11</f>
        <v>595.1030000000001</v>
      </c>
      <c r="H25" s="24">
        <f>'Balance Sheet'!H11</f>
        <v>595.1030000000001</v>
      </c>
    </row>
    <row r="26" ht="26.25">
      <c r="B26" s="3" t="s">
        <v>323</v>
      </c>
      <c r="C26" s="17">
        <f>'Balance Sheet'!C12</f>
        <v>146.009</v>
      </c>
      <c r="D26" s="17">
        <f>'Balance Sheet'!D12</f>
        <v>140.467</v>
      </c>
      <c r="E26" s="17">
        <f>'Balance Sheet'!E12</f>
        <v>147.991</v>
      </c>
      <c r="F26" s="17">
        <f>'Balance Sheet'!F12</f>
        <v>147.991</v>
      </c>
      <c r="G26" s="17">
        <f>'Balance Sheet'!G12</f>
        <v>144.008</v>
      </c>
      <c r="H26" s="24">
        <f>'Balance Sheet'!H12</f>
        <v>144.008</v>
      </c>
    </row>
    <row r="27">
      <c r="B27" s="15" t="s">
        <v>324</v>
      </c>
      <c r="C27" s="23">
        <f>C23-SUM(C24:C26)</f>
        <v>0</v>
      </c>
      <c r="D27" s="23">
        <f>D23-SUM(D24:D26)</f>
        <v>0</v>
      </c>
      <c r="E27" s="23">
        <f>E23-SUM(E24:E26)</f>
        <v>0</v>
      </c>
      <c r="F27" s="23">
        <f>F23-SUM(F24:F26)</f>
        <v>0</v>
      </c>
      <c r="G27" s="23">
        <f>G23-SUM(G24:G26)</f>
        <v>0</v>
      </c>
      <c r="H27" s="18">
        <f>H23-SUM(H24:H26)</f>
        <v>0</v>
      </c>
    </row>
    <row r="28">
      <c r="B28" s="15" t="s">
        <v>325</v>
      </c>
      <c r="C28" s="20">
        <f>C13-Inputs!C63</f>
        <v>0</v>
      </c>
      <c r="D28" s="20">
        <f>D13-Inputs!D63</f>
        <v>0</v>
      </c>
      <c r="E28" s="20">
        <f>E13-Inputs!E63</f>
        <v>0</v>
      </c>
      <c r="F28" s="20">
        <f>F13-Inputs!F63</f>
        <v>0</v>
      </c>
      <c r="G28" s="20">
        <f>G13-Inputs!G63</f>
        <v>0</v>
      </c>
      <c r="H28" s="18">
        <f>H13-H10-H11-H12</f>
        <v>0</v>
      </c>
    </row>
    <row r="29">
      <c r="B29" s="15" t="s">
        <v>326</v>
      </c>
      <c r="C29" s="20">
        <f>C23-Inputs!C67</f>
        <v>0</v>
      </c>
      <c r="D29" s="20">
        <f>D23-Inputs!D67</f>
        <v>0</v>
      </c>
      <c r="E29" s="20">
        <f>E23-Inputs!E67</f>
        <v>0</v>
      </c>
      <c r="F29" s="20">
        <f>F23-Inputs!F67</f>
        <v>0</v>
      </c>
      <c r="G29" s="20">
        <f>G23-Inputs!G67</f>
        <v>0</v>
      </c>
      <c r="H29" s="25">
        <f>('Balance Sheet'!H10-'Balance Sheet'!G10)+('Balance Sheet'!H11-'Balance Sheet'!G11)+('Balance Sheet'!H12-'Balance Sheet'!G12)-H21</f>
        <v>0</v>
      </c>
    </row>
    <row r="30" ht="26.25">
      <c r="B30" s="3" t="s">
        <v>327</v>
      </c>
      <c r="C30" s="13">
        <f>C51</f>
        <v>-131.46800000000002</v>
      </c>
      <c r="D30" s="13">
        <f>D51</f>
        <v>-139.75799999999998</v>
      </c>
      <c r="E30" s="13">
        <f>E51</f>
        <v>-133.02700000000004</v>
      </c>
      <c r="F30" s="13">
        <f>F51</f>
        <v>-540.989</v>
      </c>
      <c r="G30" s="13">
        <f>G51</f>
        <v>-103.335</v>
      </c>
      <c r="H30" s="14">
        <f>H51</f>
        <v>-100</v>
      </c>
    </row>
    <row r="31">
      <c r="B31" s="3" t="s">
        <v>328</v>
      </c>
      <c r="C31" s="13"/>
      <c r="D31" s="13"/>
      <c r="E31" s="13"/>
      <c r="F31" s="13"/>
      <c r="G31" s="13"/>
      <c r="H31" s="14"/>
    </row>
    <row r="32" ht="26.25">
      <c r="B32" s="3" t="s">
        <v>329</v>
      </c>
      <c r="C32" s="17">
        <f>Inputs!C190-Inputs!E190</f>
        <v>83.931</v>
      </c>
      <c r="D32" s="17">
        <f>Inputs!D190-Inputs!C190</f>
        <v>88.483</v>
      </c>
      <c r="E32" s="17">
        <f>Inputs!F190-Inputs!D190</f>
        <v>93.76399999999998</v>
      </c>
      <c r="F32" s="17">
        <f>Inputs!F190</f>
        <v>345.962</v>
      </c>
      <c r="G32" s="17">
        <f>Inputs!G190</f>
        <v>92.895</v>
      </c>
      <c r="H32" s="24">
        <f>'Income Statement'!H27</f>
        <v>69</v>
      </c>
    </row>
    <row r="33">
      <c r="B33" s="3" t="s">
        <v>241</v>
      </c>
      <c r="C33" s="17">
        <f>Inputs!C191-Inputs!E191</f>
        <v>24.273999999999994</v>
      </c>
      <c r="D33" s="17">
        <f>Inputs!D191-Inputs!C191</f>
        <v>16.10600000000001</v>
      </c>
      <c r="E33" s="17">
        <f>Inputs!F191-Inputs!D191</f>
        <v>11.656999999999996</v>
      </c>
      <c r="F33" s="17">
        <f>Inputs!F191</f>
        <v>99.018</v>
      </c>
      <c r="G33" s="17">
        <f>Inputs!G191</f>
        <v>41.946</v>
      </c>
      <c r="H33" s="24">
        <f>'Income Statement'!H21</f>
        <v>22</v>
      </c>
    </row>
    <row r="34">
      <c r="B34" s="3" t="s">
        <v>175</v>
      </c>
      <c r="C34" s="17">
        <f>Inputs!C192-Inputs!E192</f>
        <v>142.197</v>
      </c>
      <c r="D34" s="17">
        <f>Inputs!D192-Inputs!C192</f>
        <v>73.43099999999998</v>
      </c>
      <c r="E34" s="17">
        <f>Inputs!F192-Inputs!D192</f>
        <v>73.86500000000001</v>
      </c>
      <c r="F34" s="17">
        <f>Inputs!F192</f>
        <v>391.2</v>
      </c>
      <c r="G34" s="17">
        <f>Inputs!G192</f>
        <v>95.584</v>
      </c>
      <c r="H34" s="24">
        <f>-'Segment - Auto Finance'!H19</f>
        <v>120</v>
      </c>
    </row>
    <row r="35">
      <c r="B35" s="3" t="s">
        <v>330</v>
      </c>
      <c r="C35" s="17">
        <f>Inputs!C193-Inputs!E193</f>
        <v>17.093999999999998</v>
      </c>
      <c r="D35" s="17">
        <f>Inputs!D193-Inputs!C193</f>
        <v>15.259999999999998</v>
      </c>
      <c r="E35" s="17">
        <f>Inputs!F193-Inputs!D193</f>
        <v>18.67</v>
      </c>
      <c r="F35" s="17">
        <f>Inputs!F193</f>
        <v>75.827</v>
      </c>
      <c r="G35" s="17">
        <f>Inputs!G193</f>
        <v>26.166</v>
      </c>
      <c r="H35" s="24">
        <f>Inputs!H219</f>
        <v>0</v>
      </c>
    </row>
    <row r="36" ht="26.25">
      <c r="B36" s="3" t="s">
        <v>331</v>
      </c>
      <c r="C36" s="17">
        <f>Inputs!C194-Inputs!E194</f>
        <v>39.641999999999996</v>
      </c>
      <c r="D36" s="17">
        <f>Inputs!D194-Inputs!C194</f>
        <v>34.193999999999996</v>
      </c>
      <c r="E36" s="17">
        <f>Inputs!F194-Inputs!D194</f>
        <v>-2.817999999999998</v>
      </c>
      <c r="F36" s="17">
        <f>Inputs!F194</f>
        <v>73.8</v>
      </c>
      <c r="G36" s="17">
        <f>Inputs!G194</f>
        <v>-0.991</v>
      </c>
      <c r="H36" s="24">
        <f>Inputs!H219</f>
        <v>0</v>
      </c>
    </row>
    <row r="37">
      <c r="B37" s="3" t="s">
        <v>332</v>
      </c>
      <c r="C37" s="17">
        <f>Inputs!C195-Inputs!E195</f>
        <v>0</v>
      </c>
      <c r="D37" s="17">
        <f>Inputs!D195-Inputs!C195</f>
        <v>909.016</v>
      </c>
      <c r="E37" s="17">
        <f>Inputs!F195-Inputs!D195</f>
        <v>-0.08899999999994179</v>
      </c>
      <c r="F37" s="17">
        <f>Inputs!F195</f>
        <v>908.927</v>
      </c>
      <c r="G37" s="17">
        <f>Inputs!G195</f>
        <v>0</v>
      </c>
      <c r="H37" s="24">
        <f>Inputs!H219</f>
        <v>0</v>
      </c>
    </row>
    <row r="38" ht="26.25">
      <c r="B38" s="3" t="s">
        <v>333</v>
      </c>
      <c r="C38" s="17">
        <f>Inputs!C196-Inputs!E196</f>
        <v>0</v>
      </c>
      <c r="D38" s="17">
        <f>Inputs!D196-Inputs!C196</f>
        <v>0</v>
      </c>
      <c r="E38" s="17">
        <f>Inputs!F196-Inputs!D196</f>
        <v>141.258</v>
      </c>
      <c r="F38" s="17">
        <f>Inputs!F196</f>
        <v>141.258</v>
      </c>
      <c r="G38" s="17">
        <f>Inputs!G196</f>
        <v>0</v>
      </c>
      <c r="H38" s="24">
        <f>Inputs!H219</f>
        <v>0</v>
      </c>
    </row>
    <row r="39">
      <c r="B39" s="3" t="s">
        <v>334</v>
      </c>
      <c r="C39" s="17">
        <f>Inputs!C197-Inputs!E197</f>
        <v>0.08299999999999996</v>
      </c>
      <c r="D39" s="17">
        <f>Inputs!D197-Inputs!C197</f>
        <v>-20.2</v>
      </c>
      <c r="E39" s="17">
        <f>Inputs!F197-Inputs!D197</f>
        <v>28.152</v>
      </c>
      <c r="F39" s="17">
        <f>Inputs!F197</f>
        <v>9.345</v>
      </c>
      <c r="G39" s="17">
        <f>Inputs!G197</f>
        <v>-3.252</v>
      </c>
      <c r="H39" s="24">
        <f>Inputs!H219</f>
        <v>0</v>
      </c>
    </row>
    <row r="40">
      <c r="B40" s="3" t="s">
        <v>335</v>
      </c>
      <c r="C40" s="17">
        <f>Inputs!C198-Inputs!E198</f>
        <v>26.749</v>
      </c>
      <c r="D40" s="17">
        <f>Inputs!D198-Inputs!C198</f>
        <v>22.454</v>
      </c>
      <c r="E40" s="17">
        <f>Inputs!F198-Inputs!D198</f>
        <v>-53.351</v>
      </c>
      <c r="F40" s="17">
        <f>Inputs!F198</f>
        <v>-15.72</v>
      </c>
      <c r="G40" s="17">
        <f>Inputs!G198</f>
        <v>-59.466</v>
      </c>
      <c r="H40" s="24">
        <f>Inputs!H220</f>
        <v>-30</v>
      </c>
    </row>
    <row r="41">
      <c r="B41" s="3" t="s">
        <v>336</v>
      </c>
      <c r="C41" s="17">
        <f>Inputs!C199-Inputs!E199</f>
        <v>-283.981</v>
      </c>
      <c r="D41" s="17">
        <f>Inputs!D199-Inputs!C199</f>
        <v>921.928</v>
      </c>
      <c r="E41" s="17">
        <f>Inputs!F199-Inputs!D199</f>
        <v>-100.491</v>
      </c>
      <c r="F41" s="17">
        <f>Inputs!F199</f>
        <v>-100.491</v>
      </c>
      <c r="G41" s="17">
        <f>Inputs!G199</f>
        <v>-518.488</v>
      </c>
      <c r="H41" s="24">
        <f>Inputs!H221</f>
        <v>-60</v>
      </c>
    </row>
    <row r="42">
      <c r="B42" s="3" t="s">
        <v>337</v>
      </c>
      <c r="C42" s="17">
        <f>Inputs!C200-Inputs!E200</f>
        <v>474.783</v>
      </c>
      <c r="D42" s="17">
        <f>Inputs!D200-Inputs!C200</f>
        <v>21.621999999999957</v>
      </c>
      <c r="E42" s="17">
        <f>Inputs!F200-Inputs!D200</f>
        <v>-1009.057</v>
      </c>
      <c r="F42" s="17">
        <f>Inputs!F200</f>
        <v>-202.383</v>
      </c>
      <c r="G42" s="17">
        <f>Inputs!G200</f>
        <v>74.24</v>
      </c>
      <c r="H42" s="24">
        <f>Inputs!H222</f>
        <v>-80</v>
      </c>
    </row>
    <row r="43">
      <c r="B43" s="3" t="s">
        <v>338</v>
      </c>
      <c r="C43" s="17">
        <f>Inputs!C201-Inputs!E201</f>
        <v>3.6390000000000002</v>
      </c>
      <c r="D43" s="17">
        <f>Inputs!D201-Inputs!C201</f>
        <v>-9.247</v>
      </c>
      <c r="E43" s="17">
        <f>Inputs!F201-Inputs!D201</f>
        <v>-4.897</v>
      </c>
      <c r="F43" s="17">
        <f>Inputs!F201</f>
        <v>-7.813</v>
      </c>
      <c r="G43" s="17">
        <f>Inputs!G201</f>
        <v>6.487</v>
      </c>
      <c r="H43" s="24">
        <f>Inputs!H219</f>
        <v>0</v>
      </c>
    </row>
    <row r="44" ht="26.25">
      <c r="B44" s="3" t="s">
        <v>339</v>
      </c>
      <c r="C44" s="17">
        <f>Inputs!C202-Inputs!E202</f>
        <v>274.311</v>
      </c>
      <c r="D44" s="17">
        <f>Inputs!D202-Inputs!C202</f>
        <v>-768.963</v>
      </c>
      <c r="E44" s="17">
        <f>Inputs!F202-Inputs!D202</f>
        <v>125.006</v>
      </c>
      <c r="F44" s="17">
        <f>Inputs!F202</f>
        <v>-31.308</v>
      </c>
      <c r="G44" s="17">
        <f>Inputs!G202</f>
        <v>166.755</v>
      </c>
      <c r="H44" s="24">
        <f>Inputs!H223</f>
        <v>-45</v>
      </c>
    </row>
    <row r="45">
      <c r="B45" s="3" t="s">
        <v>340</v>
      </c>
      <c r="C45" s="17">
        <f>Inputs!C203-Inputs!E203</f>
        <v>-8.177</v>
      </c>
      <c r="D45" s="17">
        <f>Inputs!D203-Inputs!C203</f>
        <v>-5.7570000000000014</v>
      </c>
      <c r="E45" s="17">
        <f>Inputs!F203-Inputs!D203</f>
        <v>-12.311999999999998</v>
      </c>
      <c r="F45" s="17">
        <f>Inputs!F203</f>
        <v>-31.958</v>
      </c>
      <c r="G45" s="17">
        <f>Inputs!G203</f>
        <v>-8.146</v>
      </c>
      <c r="H45" s="24">
        <f>Inputs!H219</f>
        <v>0</v>
      </c>
    </row>
    <row r="46" ht="26.25">
      <c r="B46" s="3" t="s">
        <v>341</v>
      </c>
      <c r="C46" s="17">
        <f>Inputs!C204-Inputs!E204</f>
        <v>-88.60300000000001</v>
      </c>
      <c r="D46" s="17">
        <f>Inputs!D204-Inputs!C204</f>
        <v>-90.547</v>
      </c>
      <c r="E46" s="17">
        <f>Inputs!F204-Inputs!D204</f>
        <v>277.233</v>
      </c>
      <c r="F46" s="17">
        <f>Inputs!F204</f>
        <v>-43.784</v>
      </c>
      <c r="G46" s="17">
        <f>Inputs!G204</f>
        <v>-58.274</v>
      </c>
      <c r="H46" s="24">
        <f>Inputs!H224</f>
        <v>20</v>
      </c>
    </row>
    <row r="47">
      <c r="B47" s="3" t="s">
        <v>342</v>
      </c>
      <c r="C47" s="17">
        <f>Inputs!C205-Inputs!E205</f>
        <v>-15.826</v>
      </c>
      <c r="D47" s="17">
        <f>Inputs!D205-Inputs!C205</f>
        <v>-16.918</v>
      </c>
      <c r="E47" s="17">
        <f>Inputs!F205-Inputs!D205</f>
        <v>-20.172999999999995</v>
      </c>
      <c r="F47" s="17">
        <f>Inputs!F205</f>
        <v>-75.323</v>
      </c>
      <c r="G47" s="17">
        <f>Inputs!G205</f>
        <v>-23.494</v>
      </c>
      <c r="H47" s="24">
        <f>Inputs!H225</f>
        <v>-22</v>
      </c>
    </row>
    <row r="48" ht="26.25">
      <c r="B48" s="15" t="s">
        <v>343</v>
      </c>
      <c r="C48" s="23">
        <f>SUM(C32:C47)</f>
        <v>690.116</v>
      </c>
      <c r="D48" s="23">
        <f>SUM(D32:D47)</f>
        <v>1190.8619999999999</v>
      </c>
      <c r="E48" s="23">
        <f>SUM(E32:E47)</f>
        <v>-433.58299999999997</v>
      </c>
      <c r="F48" s="23">
        <f>SUM(F32:F47)</f>
        <v>1536.557</v>
      </c>
      <c r="G48" s="23">
        <f>SUM(G32:G47)</f>
        <v>-168.03800000000007</v>
      </c>
      <c r="H48" s="18">
        <f>SUM(H32:H47)</f>
        <v>-6</v>
      </c>
    </row>
    <row r="49">
      <c r="B49" s="3" t="s">
        <v>344</v>
      </c>
      <c r="C49" s="13">
        <f>C13-C10-C48</f>
        <v>0</v>
      </c>
      <c r="D49" s="13">
        <f>D13-D10-D48</f>
        <v>0</v>
      </c>
      <c r="E49" s="13">
        <f>E13-E10-E48</f>
        <v>0</v>
      </c>
      <c r="F49" s="13">
        <f>F13-F10-F48</f>
        <v>0</v>
      </c>
      <c r="G49" s="13">
        <f>G13-G10-G48</f>
        <v>0</v>
      </c>
      <c r="H49" s="14">
        <f>H13-H10-H48</f>
        <v>0</v>
      </c>
    </row>
    <row r="50">
      <c r="B50" s="3" t="s">
        <v>345</v>
      </c>
      <c r="C50" s="13"/>
      <c r="D50" s="13"/>
      <c r="E50" s="13"/>
      <c r="F50" s="13"/>
      <c r="G50" s="13"/>
      <c r="H50" s="14"/>
    </row>
    <row r="51">
      <c r="B51" s="3" t="s">
        <v>346</v>
      </c>
      <c r="C51" s="17">
        <f>Inputs!C206-Inputs!E206</f>
        <v>-131.46800000000002</v>
      </c>
      <c r="D51" s="17">
        <f>Inputs!D206-Inputs!C206</f>
        <v>-139.75799999999998</v>
      </c>
      <c r="E51" s="17">
        <f>Inputs!F206-Inputs!D206</f>
        <v>-133.02700000000004</v>
      </c>
      <c r="F51" s="17">
        <f>Inputs!F206</f>
        <v>-540.989</v>
      </c>
      <c r="G51" s="17">
        <f>Inputs!G206</f>
        <v>-103.335</v>
      </c>
      <c r="H51" s="24">
        <f>Inputs!H73</f>
        <v>-100</v>
      </c>
    </row>
    <row r="52">
      <c r="B52" s="3" t="s">
        <v>347</v>
      </c>
      <c r="C52" s="17">
        <f>Inputs!C207-Inputs!E207</f>
        <v>0.3</v>
      </c>
      <c r="D52" s="17">
        <f>Inputs!D207-Inputs!C207</f>
        <v>0.03700000000000003</v>
      </c>
      <c r="E52" s="17">
        <f>Inputs!F207-Inputs!D207</f>
        <v>0.032999999999999974</v>
      </c>
      <c r="F52" s="17">
        <f>Inputs!F207</f>
        <v>0.418</v>
      </c>
      <c r="G52" s="17">
        <f>Inputs!G207</f>
        <v>0.063</v>
      </c>
      <c r="H52" s="24">
        <f>Inputs!H219</f>
        <v>0</v>
      </c>
    </row>
    <row r="53">
      <c r="B53" s="3" t="s">
        <v>348</v>
      </c>
      <c r="C53" s="17">
        <f>Inputs!C208-Inputs!E208</f>
        <v>-0.8389999999999995</v>
      </c>
      <c r="D53" s="17">
        <f>Inputs!D208-Inputs!C208</f>
        <v>-2.989</v>
      </c>
      <c r="E53" s="17">
        <f>Inputs!F208-Inputs!D208</f>
        <v>-1.2530000000000001</v>
      </c>
      <c r="F53" s="17">
        <f>Inputs!F208</f>
        <v>-10.007</v>
      </c>
      <c r="G53" s="17">
        <f>Inputs!G208</f>
        <v>-1.668</v>
      </c>
      <c r="H53" s="24">
        <f>Inputs!H219</f>
        <v>0</v>
      </c>
    </row>
    <row r="54">
      <c r="B54" s="3" t="s">
        <v>349</v>
      </c>
      <c r="C54" s="17">
        <f>Inputs!C209-Inputs!E209</f>
        <v>0.73</v>
      </c>
      <c r="D54" s="17">
        <f>Inputs!D209-Inputs!C209</f>
        <v>0.7669999999999999</v>
      </c>
      <c r="E54" s="17">
        <f>Inputs!F209-Inputs!D209</f>
        <v>1.0720000000000003</v>
      </c>
      <c r="F54" s="17">
        <f>Inputs!F209</f>
        <v>2.994</v>
      </c>
      <c r="G54" s="17">
        <f>Inputs!G209</f>
        <v>0.845</v>
      </c>
      <c r="H54" s="24">
        <f>Inputs!H219</f>
        <v>0</v>
      </c>
    </row>
    <row r="55">
      <c r="B55" s="3" t="s">
        <v>350</v>
      </c>
      <c r="C55" s="17">
        <f>Inputs!C210-Inputs!E210</f>
        <v>0</v>
      </c>
      <c r="D55" s="17">
        <f>Inputs!D210-Inputs!C210</f>
        <v>3.132</v>
      </c>
      <c r="E55" s="17">
        <f>Inputs!F210-Inputs!D210</f>
        <v>4.407</v>
      </c>
      <c r="F55" s="17">
        <f>Inputs!F210</f>
        <v>7.539</v>
      </c>
      <c r="G55" s="17">
        <f>Inputs!G210</f>
        <v>4.469</v>
      </c>
      <c r="H55" s="24">
        <f>Inputs!H219</f>
        <v>0</v>
      </c>
    </row>
    <row r="56">
      <c r="B56" s="15" t="s">
        <v>351</v>
      </c>
      <c r="C56" s="23">
        <f>SUM(C51:C55)</f>
        <v>-131.27700000000002</v>
      </c>
      <c r="D56" s="23">
        <f>SUM(D51:D55)</f>
        <v>-138.81099999999998</v>
      </c>
      <c r="E56" s="23">
        <f>SUM(E51:E55)</f>
        <v>-128.76800000000003</v>
      </c>
      <c r="F56" s="23">
        <f>SUM(F51:F55)</f>
        <v>-540.0450000000001</v>
      </c>
      <c r="G56" s="23">
        <f>SUM(G51:G55)</f>
        <v>-99.62599999999999</v>
      </c>
      <c r="H56" s="18">
        <f>SUM(H51:H55)</f>
        <v>-100</v>
      </c>
    </row>
    <row r="57">
      <c r="B57" s="3" t="s">
        <v>352</v>
      </c>
      <c r="C57" s="13">
        <f>C17-C56</f>
        <v>0</v>
      </c>
      <c r="D57" s="13">
        <f>D17-D56</f>
        <v>0</v>
      </c>
      <c r="E57" s="13">
        <f>E17-E56</f>
        <v>0</v>
      </c>
      <c r="F57" s="13">
        <f>F17-F56</f>
        <v>0</v>
      </c>
      <c r="G57" s="13">
        <f>G17-G56</f>
        <v>0</v>
      </c>
      <c r="H57" s="14">
        <f>H17-H56</f>
        <v>0</v>
      </c>
    </row>
    <row r="58">
      <c r="B58" s="3" t="s">
        <v>353</v>
      </c>
      <c r="C58" s="13"/>
      <c r="D58" s="13"/>
      <c r="E58" s="13"/>
      <c r="F58" s="13"/>
      <c r="G58" s="13"/>
      <c r="H58" s="14"/>
    </row>
    <row r="59">
      <c r="B59" s="3" t="s">
        <v>354</v>
      </c>
      <c r="C59" s="17">
        <f>Inputs!C211-Inputs!E211</f>
        <v>0</v>
      </c>
      <c r="D59" s="17">
        <f>Inputs!D211-Inputs!C211</f>
        <v>0</v>
      </c>
      <c r="E59" s="17">
        <f>Inputs!F211-Inputs!D211</f>
        <v>1451.4</v>
      </c>
      <c r="F59" s="17">
        <f>Inputs!F211</f>
        <v>1538.4</v>
      </c>
      <c r="G59" s="17">
        <f>Inputs!G211</f>
        <v>1517.8</v>
      </c>
      <c r="H59" s="24">
        <f>Inputs!H219</f>
        <v>0</v>
      </c>
    </row>
    <row r="60">
      <c r="B60" s="3" t="s">
        <v>355</v>
      </c>
      <c r="C60" s="17">
        <f>Inputs!C212-Inputs!E212</f>
        <v>-4.0249999999999915</v>
      </c>
      <c r="D60" s="17">
        <f>Inputs!D212-Inputs!C212</f>
        <v>-204.05200000000002</v>
      </c>
      <c r="E60" s="17">
        <f>Inputs!F212-Inputs!D212</f>
        <v>-614.797</v>
      </c>
      <c r="F60" s="17">
        <f>Inputs!F212</f>
        <v>-913.804</v>
      </c>
      <c r="G60" s="17">
        <f>Inputs!G212</f>
        <v>-1669.622</v>
      </c>
      <c r="H60" s="24">
        <f>Inputs!H74</f>
        <v>-20</v>
      </c>
    </row>
    <row r="61">
      <c r="B61" s="3" t="s">
        <v>356</v>
      </c>
      <c r="C61" s="17">
        <f>Inputs!C213-Inputs!E213</f>
        <v>-4.384</v>
      </c>
      <c r="D61" s="17">
        <f>Inputs!D213-Inputs!C213</f>
        <v>-5.276</v>
      </c>
      <c r="E61" s="17">
        <f>Inputs!F213-Inputs!D213</f>
        <v>-5.672000000000001</v>
      </c>
      <c r="F61" s="17">
        <f>Inputs!F213</f>
        <v>-24.227</v>
      </c>
      <c r="G61" s="17">
        <f>Inputs!G213</f>
        <v>-6.048</v>
      </c>
      <c r="H61" s="24">
        <f>Inputs!H219</f>
        <v>0</v>
      </c>
    </row>
    <row r="62">
      <c r="B62" s="3" t="s">
        <v>357</v>
      </c>
      <c r="C62" s="17">
        <f>Inputs!C214-Inputs!E214</f>
        <v>-3.6620000000000004</v>
      </c>
      <c r="D62" s="17">
        <f>Inputs!D214-Inputs!C214</f>
        <v>-3.8970000000000002</v>
      </c>
      <c r="E62" s="17">
        <f>Inputs!F214-Inputs!D214</f>
        <v>-4.042</v>
      </c>
      <c r="F62" s="17">
        <f>Inputs!F214</f>
        <v>-15.044</v>
      </c>
      <c r="G62" s="17">
        <f>Inputs!G214</f>
        <v>-4.084</v>
      </c>
      <c r="H62" s="24">
        <f>Inputs!H219</f>
        <v>0</v>
      </c>
    </row>
    <row r="63">
      <c r="B63" s="3" t="s">
        <v>358</v>
      </c>
      <c r="C63" s="17">
        <f>Inputs!C215-Inputs!E215</f>
        <v>2859.305</v>
      </c>
      <c r="D63" s="17">
        <f>Inputs!D215-Inputs!C215</f>
        <v>2729.001</v>
      </c>
      <c r="E63" s="17">
        <f>Inputs!F215-Inputs!D215</f>
        <v>3483.205</v>
      </c>
      <c r="F63" s="17">
        <f>Inputs!F215</f>
        <v>13060.375</v>
      </c>
      <c r="G63" s="17">
        <f>Inputs!G215</f>
        <v>3261.564</v>
      </c>
      <c r="H63" s="24">
        <f>Inputs!H219</f>
        <v>0</v>
      </c>
    </row>
    <row r="64">
      <c r="B64" s="3" t="s">
        <v>359</v>
      </c>
      <c r="C64" s="17">
        <f>Inputs!C216-Inputs!E216</f>
        <v>-3004.689</v>
      </c>
      <c r="D64" s="17">
        <f>Inputs!D216-Inputs!C216</f>
        <v>-3818.8470000000007</v>
      </c>
      <c r="E64" s="17">
        <f>Inputs!F216-Inputs!D216</f>
        <v>-3622.664999999999</v>
      </c>
      <c r="F64" s="17">
        <f>Inputs!F216</f>
        <v>-14352.524</v>
      </c>
      <c r="G64" s="17">
        <f>Inputs!G216</f>
        <v>-3006.781</v>
      </c>
      <c r="H64" s="24">
        <f>Inputs!H219</f>
        <v>0</v>
      </c>
    </row>
    <row r="65">
      <c r="B65" s="3" t="s">
        <v>360</v>
      </c>
      <c r="C65" s="17">
        <f>Inputs!C217-Inputs!E217</f>
        <v>-180.846</v>
      </c>
      <c r="D65" s="17">
        <f>Inputs!D217-Inputs!C217</f>
        <v>-203.56700000000006</v>
      </c>
      <c r="E65" s="17">
        <f>Inputs!F217-Inputs!D217</f>
        <v>-54.34599999999989</v>
      </c>
      <c r="F65" s="17">
        <f>Inputs!F217</f>
        <v>-642.786</v>
      </c>
      <c r="G65" s="17">
        <f>Inputs!G217</f>
        <v>-2.308</v>
      </c>
      <c r="H65" s="24">
        <f>-'Share Count'!H14</f>
        <v>0</v>
      </c>
    </row>
    <row r="66">
      <c r="B66" s="3" t="s">
        <v>361</v>
      </c>
      <c r="C66" s="17">
        <f>Inputs!C218-Inputs!E218</f>
        <v>0.019999999999999574</v>
      </c>
      <c r="D66" s="17">
        <f>Inputs!D218-Inputs!C218</f>
        <v>0</v>
      </c>
      <c r="E66" s="17">
        <f>Inputs!F218-Inputs!D218</f>
        <v>-0.0009999999999994458</v>
      </c>
      <c r="F66" s="17">
        <f>Inputs!F218</f>
        <v>8.348</v>
      </c>
      <c r="G66" s="17">
        <f>Inputs!G218</f>
        <v>0</v>
      </c>
      <c r="H66" s="24">
        <f>Inputs!H219</f>
        <v>0</v>
      </c>
    </row>
    <row r="67">
      <c r="B67" s="15" t="s">
        <v>362</v>
      </c>
      <c r="C67" s="23">
        <f>SUM(C59:C66)</f>
        <v>-338.28099999999995</v>
      </c>
      <c r="D67" s="23">
        <f>SUM(D59:D66)</f>
        <v>-1506.6380000000004</v>
      </c>
      <c r="E67" s="23">
        <f>SUM(E59:E66)</f>
        <v>633.0820000000011</v>
      </c>
      <c r="F67" s="23">
        <f>SUM(F59:F66)</f>
        <v>-1341.2619999999986</v>
      </c>
      <c r="G67" s="23">
        <f>SUM(G59:G66)</f>
        <v>90.52099999999973</v>
      </c>
      <c r="H67" s="18">
        <f>SUM(H59:H66)</f>
        <v>-20</v>
      </c>
    </row>
    <row r="68">
      <c r="B68" s="3" t="s">
        <v>363</v>
      </c>
      <c r="C68" s="13">
        <f>C20-C67</f>
        <v>0</v>
      </c>
      <c r="D68" s="13">
        <f>D20-D67</f>
        <v>0</v>
      </c>
      <c r="E68" s="13">
        <f>E20-E67</f>
        <v>0</v>
      </c>
      <c r="F68" s="13">
        <f>F20-F67</f>
        <v>0</v>
      </c>
      <c r="G68" s="13">
        <f>G20-G67</f>
        <v>0</v>
      </c>
      <c r="H68" s="14">
        <f>H20-H67</f>
        <v>0</v>
      </c>
    </row>
    <row r="69">
      <c r="B69" s="2"/>
      <c r="C69" s="13"/>
      <c r="D69" s="13"/>
      <c r="E69" s="13"/>
      <c r="F69" s="13"/>
      <c r="G69" s="13"/>
      <c r="H69" s="14"/>
    </row>
    <row r="70">
      <c r="B70" s="2"/>
      <c r="C70" s="13"/>
      <c r="D70" s="13"/>
      <c r="E70" s="13"/>
      <c r="F70" s="13"/>
      <c r="G70" s="13"/>
      <c r="H70" s="14"/>
    </row>
    <row r="71">
      <c r="B71" s="2"/>
      <c r="C71" s="13"/>
      <c r="D71" s="13"/>
      <c r="E71" s="13"/>
      <c r="F71" s="13"/>
      <c r="G71" s="13"/>
      <c r="H71" s="14"/>
    </row>
    <row r="72">
      <c r="B72" s="2"/>
      <c r="C72" s="13"/>
      <c r="D72" s="13"/>
      <c r="E72" s="13"/>
      <c r="F72" s="13"/>
      <c r="G72" s="13"/>
      <c r="H72" s="14"/>
    </row>
    <row r="73">
      <c r="B73" s="2"/>
      <c r="C73" s="13"/>
      <c r="D73" s="13"/>
      <c r="E73" s="13"/>
      <c r="F73" s="13"/>
      <c r="G73" s="13"/>
      <c r="H73" s="14"/>
    </row>
    <row r="74">
      <c r="B74" s="2"/>
      <c r="C74" s="13"/>
      <c r="D74" s="13"/>
      <c r="E74" s="13"/>
      <c r="F74" s="13"/>
      <c r="G74" s="13"/>
      <c r="H74" s="14"/>
    </row>
    <row r="75">
      <c r="B75" s="2"/>
      <c r="C75" s="13"/>
      <c r="D75" s="13"/>
      <c r="E75" s="13"/>
      <c r="F75" s="13"/>
      <c r="G75" s="13"/>
      <c r="H75" s="14"/>
    </row>
    <row r="76">
      <c r="B76" s="2"/>
      <c r="C76" s="13"/>
      <c r="D76" s="13"/>
      <c r="E76" s="13"/>
      <c r="F76" s="13"/>
      <c r="G76" s="13"/>
      <c r="H76" s="14"/>
    </row>
    <row r="77">
      <c r="B77" s="2"/>
      <c r="C77" s="13"/>
      <c r="D77" s="13"/>
      <c r="E77" s="13"/>
      <c r="F77" s="13"/>
      <c r="G77" s="13"/>
      <c r="H77" s="14"/>
    </row>
    <row r="78">
      <c r="B78" s="2"/>
      <c r="C78" s="13"/>
      <c r="D78" s="13"/>
      <c r="E78" s="13"/>
      <c r="F78" s="13"/>
      <c r="G78" s="13"/>
      <c r="H78" s="14"/>
    </row>
    <row r="79">
      <c r="B79" s="2"/>
      <c r="C79" s="13"/>
      <c r="D79" s="13"/>
      <c r="E79" s="13"/>
      <c r="F79" s="13"/>
      <c r="G79" s="13"/>
      <c r="H79" s="14"/>
    </row>
    <row r="80">
      <c r="B80" s="2"/>
      <c r="C80" s="13"/>
      <c r="D80" s="13"/>
      <c r="E80" s="13"/>
      <c r="F80" s="13"/>
      <c r="G80" s="13"/>
      <c r="H80" s="14"/>
    </row>
    <row r="81">
      <c r="B81" s="2"/>
      <c r="C81" s="13"/>
      <c r="D81" s="13"/>
      <c r="E81" s="13"/>
      <c r="F81" s="13"/>
      <c r="G81" s="13"/>
      <c r="H81" s="14"/>
    </row>
    <row r="82">
      <c r="B82" s="2"/>
      <c r="C82" s="13"/>
      <c r="D82" s="13"/>
      <c r="E82" s="13"/>
      <c r="F82" s="13"/>
      <c r="G82" s="13"/>
      <c r="H82" s="14"/>
    </row>
    <row r="83">
      <c r="B83" s="2"/>
      <c r="C83" s="13"/>
      <c r="D83" s="13"/>
      <c r="E83" s="13"/>
      <c r="F83" s="13"/>
      <c r="G83" s="13"/>
      <c r="H83" s="14"/>
    </row>
    <row r="84">
      <c r="B84" s="2"/>
      <c r="C84" s="13"/>
      <c r="D84" s="13"/>
      <c r="E84" s="13"/>
      <c r="F84" s="13"/>
      <c r="G84" s="13"/>
      <c r="H84" s="14"/>
    </row>
    <row r="85">
      <c r="B85" s="2"/>
      <c r="C85" s="13"/>
      <c r="D85" s="13"/>
      <c r="E85" s="13"/>
      <c r="F85" s="13"/>
      <c r="G85" s="13"/>
      <c r="H85" s="14"/>
    </row>
    <row r="86">
      <c r="B86" s="2"/>
      <c r="C86" s="13"/>
      <c r="D86" s="13"/>
      <c r="E86" s="13"/>
      <c r="F86" s="13"/>
      <c r="G86" s="13"/>
      <c r="H86" s="14"/>
    </row>
    <row r="87">
      <c r="B87" s="2"/>
      <c r="C87" s="13"/>
      <c r="D87" s="13"/>
      <c r="E87" s="13"/>
      <c r="F87" s="13"/>
      <c r="G87" s="13"/>
      <c r="H87" s="14"/>
    </row>
    <row r="88">
      <c r="B88" s="2"/>
      <c r="C88" s="13"/>
      <c r="D88" s="13"/>
      <c r="E88" s="13"/>
      <c r="F88" s="13"/>
      <c r="G88" s="13"/>
      <c r="H88" s="14"/>
    </row>
    <row r="89">
      <c r="B89" s="2"/>
      <c r="C89" s="13"/>
      <c r="D89" s="13"/>
      <c r="E89" s="13"/>
      <c r="F89" s="13"/>
      <c r="G89" s="13"/>
      <c r="H89" s="14"/>
    </row>
    <row r="90">
      <c r="B90" s="2"/>
      <c r="C90" s="13"/>
      <c r="D90" s="13"/>
      <c r="E90" s="13"/>
      <c r="F90" s="13"/>
      <c r="G90" s="13"/>
      <c r="H90" s="14"/>
    </row>
    <row r="91">
      <c r="B91" s="2"/>
      <c r="C91" s="13"/>
      <c r="D91" s="13"/>
      <c r="E91" s="13"/>
      <c r="F91" s="13"/>
      <c r="G91" s="13"/>
      <c r="H91" s="14"/>
    </row>
    <row r="92">
      <c r="B92" s="2"/>
      <c r="C92" s="13"/>
      <c r="D92" s="13"/>
      <c r="E92" s="13"/>
      <c r="F92" s="13"/>
      <c r="G92" s="13"/>
      <c r="H92" s="14"/>
    </row>
    <row r="93">
      <c r="B93" s="2"/>
      <c r="C93" s="13"/>
      <c r="D93" s="13"/>
      <c r="E93" s="13"/>
      <c r="F93" s="13"/>
      <c r="G93" s="13"/>
      <c r="H93" s="14"/>
    </row>
    <row r="94">
      <c r="B94" s="2"/>
      <c r="C94" s="13"/>
      <c r="D94" s="13"/>
      <c r="E94" s="13"/>
      <c r="F94" s="13"/>
      <c r="G94" s="13"/>
      <c r="H94" s="14"/>
    </row>
    <row r="95">
      <c r="B95" s="2"/>
      <c r="C95" s="13"/>
      <c r="D95" s="13"/>
      <c r="E95" s="13"/>
      <c r="F95" s="13"/>
      <c r="G95" s="13"/>
      <c r="H95" s="14"/>
    </row>
    <row r="96">
      <c r="B96" s="2"/>
      <c r="C96" s="13"/>
      <c r="D96" s="13"/>
      <c r="E96" s="13"/>
      <c r="F96" s="13"/>
      <c r="G96" s="13"/>
      <c r="H96" s="14"/>
    </row>
    <row r="97">
      <c r="B97" s="2"/>
      <c r="C97" s="13"/>
      <c r="D97" s="13"/>
      <c r="E97" s="13"/>
      <c r="F97" s="13"/>
      <c r="G97" s="13"/>
      <c r="H97" s="14"/>
    </row>
    <row r="98">
      <c r="B98" s="2"/>
      <c r="C98" s="13"/>
      <c r="D98" s="13"/>
      <c r="E98" s="13"/>
      <c r="F98" s="13"/>
      <c r="G98" s="13"/>
      <c r="H98" s="14"/>
    </row>
    <row r="99">
      <c r="B99" s="2"/>
      <c r="C99" s="13"/>
      <c r="D99" s="13"/>
      <c r="E99" s="13"/>
      <c r="F99" s="13"/>
      <c r="G99" s="13"/>
      <c r="H99" s="14"/>
    </row>
    <row r="100">
      <c r="B100" s="2"/>
      <c r="C100" s="13"/>
      <c r="D100" s="13"/>
      <c r="E100" s="13"/>
      <c r="F100" s="13"/>
      <c r="G100" s="13"/>
      <c r="H100" s="14"/>
    </row>
    <row r="101">
      <c r="B101" s="2"/>
      <c r="C101" s="13"/>
      <c r="D101" s="13"/>
      <c r="E101" s="13"/>
      <c r="F101" s="13"/>
      <c r="G101" s="13"/>
      <c r="H101" s="14"/>
    </row>
    <row r="102">
      <c r="B102" s="2"/>
      <c r="C102" s="13"/>
      <c r="D102" s="13"/>
      <c r="E102" s="13"/>
      <c r="F102" s="13"/>
      <c r="G102" s="13"/>
      <c r="H102" s="14"/>
    </row>
    <row r="103">
      <c r="B103" s="2"/>
      <c r="C103" s="13"/>
      <c r="D103" s="13"/>
      <c r="E103" s="13"/>
      <c r="F103" s="13"/>
      <c r="G103" s="13"/>
      <c r="H103" s="14"/>
    </row>
    <row r="104">
      <c r="B104" s="2"/>
      <c r="C104" s="13"/>
      <c r="D104" s="13"/>
      <c r="E104" s="13"/>
      <c r="F104" s="13"/>
      <c r="G104" s="13"/>
      <c r="H104" s="14"/>
    </row>
    <row r="105">
      <c r="B105" s="2"/>
      <c r="C105" s="13"/>
      <c r="D105" s="13"/>
      <c r="E105" s="13"/>
      <c r="F105" s="13"/>
      <c r="G105" s="13"/>
      <c r="H105" s="14"/>
    </row>
    <row r="106">
      <c r="H106" s="1"/>
    </row>
    <row r="107">
      <c r="H107" s="1"/>
    </row>
    <row r="108">
      <c r="H108" s="1"/>
    </row>
    <row r="109">
      <c r="H109" s="1"/>
    </row>
    <row r="110">
      <c r="H110" s="1"/>
    </row>
    <row r="111">
      <c r="H111" s="1"/>
    </row>
    <row r="112">
      <c r="H112" s="1"/>
    </row>
    <row r="113">
      <c r="H113" s="1"/>
    </row>
    <row r="114">
      <c r="H114" s="1"/>
    </row>
    <row r="115">
      <c r="H115" s="1"/>
    </row>
    <row r="116">
      <c r="H116" s="1"/>
    </row>
    <row r="117">
      <c r="H117" s="1"/>
    </row>
    <row r="118">
      <c r="H118" s="1"/>
    </row>
    <row r="119">
      <c r="H119" s="1"/>
    </row>
    <row r="120">
      <c r="H120" s="1"/>
    </row>
    <row r="121">
      <c r="H121" s="1"/>
    </row>
    <row r="122">
      <c r="H122" s="1"/>
    </row>
    <row r="123">
      <c r="H123" s="1"/>
    </row>
    <row r="124">
      <c r="H124" s="1"/>
    </row>
    <row r="125">
      <c r="H125" s="1"/>
    </row>
    <row r="126">
      <c r="H126" s="1"/>
    </row>
    <row r="127">
      <c r="H127" s="1"/>
    </row>
    <row r="128">
      <c r="H128" s="1"/>
    </row>
    <row r="129">
      <c r="H129" s="1"/>
    </row>
    <row r="130">
      <c r="H130" s="1"/>
    </row>
    <row r="131">
      <c r="H131" s="1"/>
    </row>
    <row r="132">
      <c r="H132" s="1"/>
    </row>
    <row r="133">
      <c r="H133" s="1"/>
    </row>
    <row r="134">
      <c r="H134" s="1"/>
    </row>
    <row r="135">
      <c r="H135" s="1"/>
    </row>
    <row r="136">
      <c r="H136" s="1"/>
    </row>
    <row r="137">
      <c r="H137" s="1"/>
    </row>
    <row r="138">
      <c r="H138" s="1"/>
    </row>
    <row r="139">
      <c r="H139" s="1"/>
    </row>
    <row r="140">
      <c r="H140" s="1"/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dimension ref="B2:J140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4" customWidth="1"/>
    <col min="3" max="8" width="14" customWidth="1"/>
    <col min="10" max="10" width="75" customWidth="1"/>
  </cols>
  <sheetData>
    <row r="2">
      <c r="B2" s="2" t="s">
        <v>0</v>
      </c>
      <c r="C2" s="2"/>
      <c r="D2" s="2"/>
      <c r="E2" s="2"/>
      <c r="F2" s="2"/>
      <c r="G2" s="2"/>
      <c r="H2" s="2"/>
    </row>
    <row r="3">
      <c r="B3" s="2" t="s">
        <v>364</v>
      </c>
      <c r="C3" s="2"/>
      <c r="D3" s="2"/>
      <c r="E3" s="2"/>
      <c r="F3" s="2"/>
      <c r="G3" s="2"/>
      <c r="H3" s="2"/>
    </row>
    <row r="4">
      <c r="B4" s="2" t="s">
        <v>2</v>
      </c>
      <c r="C4" s="2"/>
      <c r="D4" s="2"/>
      <c r="E4" s="2"/>
      <c r="F4" s="2"/>
      <c r="G4" s="2"/>
      <c r="H4" s="2"/>
    </row>
    <row r="5">
      <c r="B5" s="11"/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</row>
    <row r="6">
      <c r="B6" s="11"/>
      <c r="C6" s="6">
        <v>45900</v>
      </c>
      <c r="D6" s="6">
        <v>45991</v>
      </c>
      <c r="E6" s="6">
        <v>46081</v>
      </c>
      <c r="F6" s="6">
        <v>46081</v>
      </c>
      <c r="G6" s="6">
        <v>46173</v>
      </c>
      <c r="H6" s="6">
        <v>46265</v>
      </c>
    </row>
    <row r="7">
      <c r="B7" s="11"/>
      <c r="C7" s="11">
        <v>92</v>
      </c>
      <c r="D7" s="11">
        <v>91</v>
      </c>
      <c r="E7" s="11">
        <v>90</v>
      </c>
      <c r="F7" s="11">
        <v>365</v>
      </c>
      <c r="G7" s="11">
        <v>92</v>
      </c>
      <c r="H7" s="11">
        <v>92</v>
      </c>
    </row>
    <row r="8">
      <c r="B8" s="2"/>
      <c r="C8" s="2"/>
      <c r="D8" s="2"/>
      <c r="E8" s="2"/>
      <c r="F8" s="2"/>
      <c r="G8" s="2"/>
      <c r="H8" s="4"/>
    </row>
    <row r="9">
      <c r="B9" s="3" t="s">
        <v>365</v>
      </c>
      <c r="C9" s="13"/>
      <c r="D9" s="13"/>
      <c r="E9" s="13"/>
      <c r="F9" s="13"/>
      <c r="G9" s="13"/>
      <c r="H9" s="14"/>
    </row>
    <row r="10" ht="26.25">
      <c r="B10" s="3" t="s">
        <v>257</v>
      </c>
      <c r="C10" s="17">
        <f>Inputs!C42</f>
        <v>149.291</v>
      </c>
      <c r="D10" s="17">
        <f>Inputs!D42</f>
        <v>145.548</v>
      </c>
      <c r="E10" s="17">
        <f>Inputs!E42</f>
        <v>141.923</v>
      </c>
      <c r="F10" s="17">
        <f>Inputs!F42</f>
        <v>147.258</v>
      </c>
      <c r="G10" s="17">
        <f>Inputs!G42</f>
        <v>141.847</v>
      </c>
      <c r="H10" s="24">
        <f>Inputs!H42</f>
        <v>141.85</v>
      </c>
    </row>
    <row r="11" ht="26.25">
      <c r="B11" s="3" t="s">
        <v>366</v>
      </c>
      <c r="C11" s="13">
        <f>C12-C10</f>
        <v>0.34600000000000364</v>
      </c>
      <c r="D11" s="13">
        <f>D12-D10</f>
        <v>0.3160000000000025</v>
      </c>
      <c r="E11" s="13">
        <f>E12-E10</f>
        <v>0</v>
      </c>
      <c r="F11" s="13">
        <f>F12-F10</f>
        <v>0.35499999999998977</v>
      </c>
      <c r="G11" s="13">
        <f>G12-G10</f>
        <v>0.3009999999999877</v>
      </c>
      <c r="H11" s="14">
        <f>H12-H10</f>
        <v>0.25</v>
      </c>
    </row>
    <row r="12" ht="26.25">
      <c r="B12" s="15" t="s">
        <v>367</v>
      </c>
      <c r="C12" s="20">
        <f>Inputs!C43</f>
        <v>149.637</v>
      </c>
      <c r="D12" s="20">
        <f>Inputs!D43</f>
        <v>145.864</v>
      </c>
      <c r="E12" s="20">
        <f>Inputs!E43</f>
        <v>141.923</v>
      </c>
      <c r="F12" s="20">
        <f>Inputs!F43</f>
        <v>147.613</v>
      </c>
      <c r="G12" s="20">
        <f>Inputs!G43</f>
        <v>142.148</v>
      </c>
      <c r="H12" s="25">
        <f>Inputs!H43</f>
        <v>142.1</v>
      </c>
    </row>
    <row r="13">
      <c r="B13" s="15" t="s">
        <v>368</v>
      </c>
      <c r="C13" s="23">
        <f>C12</f>
        <v>149.637</v>
      </c>
      <c r="D13" s="23">
        <f>D12</f>
        <v>145.864</v>
      </c>
      <c r="E13" s="23">
        <f>E12</f>
        <v>141.923</v>
      </c>
      <c r="F13" s="23">
        <f>F12</f>
        <v>147.613</v>
      </c>
      <c r="G13" s="23">
        <f>G12</f>
        <v>142.148</v>
      </c>
      <c r="H13" s="18">
        <f>H12</f>
        <v>142.1</v>
      </c>
    </row>
    <row r="14" ht="26.25">
      <c r="B14" s="3" t="s">
        <v>369</v>
      </c>
      <c r="C14" s="28">
        <v>180</v>
      </c>
      <c r="D14" s="28">
        <v>201.6</v>
      </c>
      <c r="E14" s="28">
        <v>50.4</v>
      </c>
      <c r="F14" s="28">
        <v>631.8</v>
      </c>
      <c r="G14" s="28">
        <v>0</v>
      </c>
      <c r="H14" s="14">
        <f>G14</f>
        <v>0</v>
      </c>
    </row>
    <row r="15" ht="26.25">
      <c r="B15" s="3" t="s">
        <v>370</v>
      </c>
      <c r="C15" s="28">
        <v>2.9</v>
      </c>
      <c r="D15" s="28">
        <v>4.6</v>
      </c>
      <c r="E15" s="28">
        <v>1.3</v>
      </c>
      <c r="F15" s="28">
        <v>11.8</v>
      </c>
      <c r="G15" s="28">
        <v>0</v>
      </c>
      <c r="H15" s="14">
        <f>G15</f>
        <v>0</v>
      </c>
    </row>
    <row r="16" ht="26.25">
      <c r="B16" s="3" t="s">
        <v>371</v>
      </c>
      <c r="C16" s="13"/>
      <c r="D16" s="13"/>
      <c r="E16" s="13"/>
      <c r="F16" s="13"/>
      <c r="G16" s="28"/>
      <c r="H16" s="14">
        <f>G16</f>
        <v>0.11002899999999727</v>
      </c>
    </row>
    <row r="17" ht="26.25">
      <c r="B17" s="15" t="s">
        <v>372</v>
      </c>
      <c r="C17" s="31">
        <v>147.673338</v>
      </c>
      <c r="D17" s="31">
        <v>143.062439</v>
      </c>
      <c r="E17" s="31">
        <v>141.79907</v>
      </c>
      <c r="F17" s="23">
        <f>E17</f>
        <v>141.79907</v>
      </c>
      <c r="G17" s="31">
        <v>141.909099</v>
      </c>
      <c r="H17" s="18">
        <f>G17+H16-H15</f>
        <v>142.019128</v>
      </c>
    </row>
    <row r="18">
      <c r="B18" s="3" t="s">
        <v>170</v>
      </c>
      <c r="C18" s="13"/>
      <c r="D18" s="13"/>
      <c r="E18" s="13"/>
      <c r="F18" s="13"/>
      <c r="G18" s="13"/>
      <c r="H18" s="14">
        <f>H17-C17</f>
        <v>-5.654210000000006</v>
      </c>
    </row>
    <row r="19">
      <c r="B19" s="3" t="s">
        <v>171</v>
      </c>
      <c r="C19" s="13"/>
      <c r="D19" s="13"/>
      <c r="E19" s="13"/>
      <c r="F19" s="13"/>
      <c r="G19" s="13"/>
      <c r="H19" s="14">
        <f>H17-G17</f>
        <v>0.11002899999999727</v>
      </c>
    </row>
    <row r="20">
      <c r="B20" s="3" t="s">
        <v>373</v>
      </c>
      <c r="C20" s="13" t="s">
        <v>374</v>
      </c>
      <c r="D20" s="13" t="s">
        <v>374</v>
      </c>
      <c r="E20" s="13" t="s">
        <v>374</v>
      </c>
      <c r="F20" s="13" t="s">
        <v>374</v>
      </c>
      <c r="G20" s="13" t="s">
        <v>375</v>
      </c>
      <c r="H20" s="14" t="str">
        <f>G20</f>
        <v>Paused</v>
      </c>
      <c r="J20" s="2" t="s">
        <v>376</v>
      </c>
    </row>
    <row r="21">
      <c r="B21" s="15" t="s">
        <v>377</v>
      </c>
      <c r="C21" s="23">
        <f>C13-C12</f>
        <v>0</v>
      </c>
      <c r="D21" s="23">
        <f>D13-D12</f>
        <v>0</v>
      </c>
      <c r="E21" s="23">
        <f>E13-E12</f>
        <v>0</v>
      </c>
      <c r="F21" s="23">
        <f>F13-F12</f>
        <v>0</v>
      </c>
      <c r="G21" s="23">
        <f>G13-G12</f>
        <v>0</v>
      </c>
      <c r="H21" s="18">
        <f>H13-H12</f>
        <v>0</v>
      </c>
    </row>
    <row r="22">
      <c r="B22" s="3"/>
      <c r="C22" s="13"/>
      <c r="D22" s="13"/>
      <c r="E22" s="13"/>
      <c r="F22" s="13"/>
      <c r="G22" s="13"/>
      <c r="H22" s="14"/>
    </row>
    <row r="23">
      <c r="B23" s="3"/>
      <c r="C23" s="13"/>
      <c r="D23" s="13"/>
      <c r="E23" s="13"/>
      <c r="F23" s="13"/>
      <c r="G23" s="13"/>
      <c r="H23" s="14"/>
    </row>
    <row r="24">
      <c r="B24" s="3"/>
      <c r="C24" s="13"/>
      <c r="D24" s="13"/>
      <c r="E24" s="13"/>
      <c r="F24" s="13"/>
      <c r="G24" s="13"/>
      <c r="H24" s="14"/>
    </row>
    <row r="25">
      <c r="B25" s="3"/>
      <c r="C25" s="13"/>
      <c r="D25" s="13"/>
      <c r="E25" s="13"/>
      <c r="F25" s="13"/>
      <c r="G25" s="13"/>
      <c r="H25" s="14"/>
    </row>
    <row r="26">
      <c r="B26" s="3"/>
      <c r="C26" s="13"/>
      <c r="D26" s="13"/>
      <c r="E26" s="13"/>
      <c r="F26" s="13"/>
      <c r="G26" s="13"/>
      <c r="H26" s="14"/>
    </row>
    <row r="27">
      <c r="B27" s="3"/>
      <c r="C27" s="13"/>
      <c r="D27" s="13"/>
      <c r="E27" s="13"/>
      <c r="F27" s="13"/>
      <c r="G27" s="13"/>
      <c r="H27" s="14"/>
    </row>
    <row r="28">
      <c r="B28" s="3"/>
      <c r="C28" s="13"/>
      <c r="D28" s="13"/>
      <c r="E28" s="13"/>
      <c r="F28" s="13"/>
      <c r="G28" s="13"/>
      <c r="H28" s="14"/>
    </row>
    <row r="29">
      <c r="B29" s="3"/>
      <c r="C29" s="13"/>
      <c r="D29" s="13"/>
      <c r="E29" s="13"/>
      <c r="F29" s="13"/>
      <c r="G29" s="13"/>
      <c r="H29" s="14"/>
    </row>
    <row r="30">
      <c r="B30" s="3"/>
      <c r="C30" s="13"/>
      <c r="D30" s="13"/>
      <c r="E30" s="13"/>
      <c r="F30" s="13"/>
      <c r="G30" s="13"/>
      <c r="H30" s="14"/>
    </row>
    <row r="31">
      <c r="B31" s="3"/>
      <c r="C31" s="13"/>
      <c r="D31" s="13"/>
      <c r="E31" s="13"/>
      <c r="F31" s="13"/>
      <c r="G31" s="13"/>
      <c r="H31" s="14"/>
    </row>
    <row r="32">
      <c r="B32" s="2"/>
      <c r="C32" s="13"/>
      <c r="D32" s="13"/>
      <c r="E32" s="13"/>
      <c r="F32" s="13"/>
      <c r="G32" s="13"/>
      <c r="H32" s="14"/>
    </row>
    <row r="33">
      <c r="B33" s="2"/>
      <c r="C33" s="13"/>
      <c r="D33" s="13"/>
      <c r="E33" s="13"/>
      <c r="F33" s="13"/>
      <c r="G33" s="13"/>
      <c r="H33" s="14"/>
    </row>
    <row r="34">
      <c r="B34" s="2"/>
      <c r="C34" s="13"/>
      <c r="D34" s="13"/>
      <c r="E34" s="13"/>
      <c r="F34" s="13"/>
      <c r="G34" s="13"/>
      <c r="H34" s="14"/>
    </row>
    <row r="35">
      <c r="B35" s="2"/>
      <c r="C35" s="13"/>
      <c r="D35" s="13"/>
      <c r="E35" s="13"/>
      <c r="F35" s="13"/>
      <c r="G35" s="13"/>
      <c r="H35" s="14"/>
    </row>
    <row r="36">
      <c r="B36" s="2"/>
      <c r="C36" s="13"/>
      <c r="D36" s="13"/>
      <c r="E36" s="13"/>
      <c r="F36" s="13"/>
      <c r="G36" s="13"/>
      <c r="H36" s="14"/>
    </row>
    <row r="37">
      <c r="B37" s="2"/>
      <c r="C37" s="13"/>
      <c r="D37" s="13"/>
      <c r="E37" s="13"/>
      <c r="F37" s="13"/>
      <c r="G37" s="13"/>
      <c r="H37" s="14"/>
    </row>
    <row r="38">
      <c r="B38" s="2"/>
      <c r="C38" s="13"/>
      <c r="D38" s="13"/>
      <c r="E38" s="13"/>
      <c r="F38" s="13"/>
      <c r="G38" s="13"/>
      <c r="H38" s="14"/>
    </row>
    <row r="39">
      <c r="B39" s="2"/>
      <c r="C39" s="13"/>
      <c r="D39" s="13"/>
      <c r="E39" s="13"/>
      <c r="F39" s="13"/>
      <c r="G39" s="13"/>
      <c r="H39" s="14"/>
    </row>
    <row r="40">
      <c r="B40" s="2"/>
      <c r="C40" s="13"/>
      <c r="D40" s="13"/>
      <c r="E40" s="13"/>
      <c r="F40" s="13"/>
      <c r="G40" s="13"/>
      <c r="H40" s="14"/>
    </row>
    <row r="41">
      <c r="B41" s="2"/>
      <c r="C41" s="13"/>
      <c r="D41" s="13"/>
      <c r="E41" s="13"/>
      <c r="F41" s="13"/>
      <c r="G41" s="13"/>
      <c r="H41" s="14"/>
    </row>
    <row r="42">
      <c r="B42" s="2"/>
      <c r="C42" s="13"/>
      <c r="D42" s="13"/>
      <c r="E42" s="13"/>
      <c r="F42" s="13"/>
      <c r="G42" s="13"/>
      <c r="H42" s="14"/>
    </row>
    <row r="43">
      <c r="B43" s="2"/>
      <c r="C43" s="13"/>
      <c r="D43" s="13"/>
      <c r="E43" s="13"/>
      <c r="F43" s="13"/>
      <c r="G43" s="13"/>
      <c r="H43" s="14"/>
    </row>
    <row r="44">
      <c r="B44" s="2"/>
      <c r="C44" s="13"/>
      <c r="D44" s="13"/>
      <c r="E44" s="13"/>
      <c r="F44" s="13"/>
      <c r="G44" s="13"/>
      <c r="H44" s="14"/>
    </row>
    <row r="45">
      <c r="B45" s="2"/>
      <c r="C45" s="13"/>
      <c r="D45" s="13"/>
      <c r="E45" s="13"/>
      <c r="F45" s="13"/>
      <c r="G45" s="13"/>
      <c r="H45" s="14"/>
    </row>
    <row r="46">
      <c r="B46" s="2"/>
      <c r="C46" s="13"/>
      <c r="D46" s="13"/>
      <c r="E46" s="13"/>
      <c r="F46" s="13"/>
      <c r="G46" s="13"/>
      <c r="H46" s="14"/>
    </row>
    <row r="47">
      <c r="B47" s="2"/>
      <c r="C47" s="13"/>
      <c r="D47" s="13"/>
      <c r="E47" s="13"/>
      <c r="F47" s="13"/>
      <c r="G47" s="13"/>
      <c r="H47" s="14"/>
    </row>
    <row r="48">
      <c r="B48" s="2"/>
      <c r="C48" s="13"/>
      <c r="D48" s="13"/>
      <c r="E48" s="13"/>
      <c r="F48" s="13"/>
      <c r="G48" s="13"/>
      <c r="H48" s="14"/>
    </row>
    <row r="49">
      <c r="B49" s="2"/>
      <c r="C49" s="13"/>
      <c r="D49" s="13"/>
      <c r="E49" s="13"/>
      <c r="F49" s="13"/>
      <c r="G49" s="13"/>
      <c r="H49" s="14"/>
    </row>
    <row r="50">
      <c r="B50" s="2"/>
      <c r="C50" s="13"/>
      <c r="D50" s="13"/>
      <c r="E50" s="13"/>
      <c r="F50" s="13"/>
      <c r="G50" s="13"/>
      <c r="H50" s="14"/>
    </row>
    <row r="51">
      <c r="B51" s="2"/>
      <c r="C51" s="13"/>
      <c r="D51" s="13"/>
      <c r="E51" s="13"/>
      <c r="F51" s="13"/>
      <c r="G51" s="13"/>
      <c r="H51" s="14"/>
    </row>
    <row r="52">
      <c r="B52" s="2"/>
      <c r="C52" s="13"/>
      <c r="D52" s="13"/>
      <c r="E52" s="13"/>
      <c r="F52" s="13"/>
      <c r="G52" s="13"/>
      <c r="H52" s="14"/>
    </row>
    <row r="53">
      <c r="B53" s="2"/>
      <c r="C53" s="13"/>
      <c r="D53" s="13"/>
      <c r="E53" s="13"/>
      <c r="F53" s="13"/>
      <c r="G53" s="13"/>
      <c r="H53" s="14"/>
    </row>
    <row r="54">
      <c r="B54" s="2"/>
      <c r="C54" s="13"/>
      <c r="D54" s="13"/>
      <c r="E54" s="13"/>
      <c r="F54" s="13"/>
      <c r="G54" s="13"/>
      <c r="H54" s="14"/>
    </row>
    <row r="55">
      <c r="B55" s="2"/>
      <c r="C55" s="13"/>
      <c r="D55" s="13"/>
      <c r="E55" s="13"/>
      <c r="F55" s="13"/>
      <c r="G55" s="13"/>
      <c r="H55" s="14"/>
    </row>
    <row r="56">
      <c r="B56" s="2"/>
      <c r="C56" s="13"/>
      <c r="D56" s="13"/>
      <c r="E56" s="13"/>
      <c r="F56" s="13"/>
      <c r="G56" s="13"/>
      <c r="H56" s="14"/>
    </row>
    <row r="57">
      <c r="B57" s="2"/>
      <c r="C57" s="13"/>
      <c r="D57" s="13"/>
      <c r="E57" s="13"/>
      <c r="F57" s="13"/>
      <c r="G57" s="13"/>
      <c r="H57" s="14"/>
    </row>
    <row r="58">
      <c r="B58" s="2"/>
      <c r="C58" s="13"/>
      <c r="D58" s="13"/>
      <c r="E58" s="13"/>
      <c r="F58" s="13"/>
      <c r="G58" s="13"/>
      <c r="H58" s="14"/>
    </row>
    <row r="59">
      <c r="B59" s="2"/>
      <c r="C59" s="13"/>
      <c r="D59" s="13"/>
      <c r="E59" s="13"/>
      <c r="F59" s="13"/>
      <c r="G59" s="13"/>
      <c r="H59" s="14"/>
    </row>
    <row r="60">
      <c r="B60" s="2"/>
      <c r="C60" s="13"/>
      <c r="D60" s="13"/>
      <c r="E60" s="13"/>
      <c r="F60" s="13"/>
      <c r="G60" s="13"/>
      <c r="H60" s="14"/>
    </row>
    <row r="61">
      <c r="B61" s="2"/>
      <c r="C61" s="13"/>
      <c r="D61" s="13"/>
      <c r="E61" s="13"/>
      <c r="F61" s="13"/>
      <c r="G61" s="13"/>
      <c r="H61" s="14"/>
    </row>
    <row r="62">
      <c r="B62" s="2"/>
      <c r="C62" s="13"/>
      <c r="D62" s="13"/>
      <c r="E62" s="13"/>
      <c r="F62" s="13"/>
      <c r="G62" s="13"/>
      <c r="H62" s="14"/>
    </row>
    <row r="63">
      <c r="B63" s="2"/>
      <c r="C63" s="13"/>
      <c r="D63" s="13"/>
      <c r="E63" s="13"/>
      <c r="F63" s="13"/>
      <c r="G63" s="13"/>
      <c r="H63" s="14"/>
    </row>
    <row r="64">
      <c r="B64" s="2"/>
      <c r="C64" s="13"/>
      <c r="D64" s="13"/>
      <c r="E64" s="13"/>
      <c r="F64" s="13"/>
      <c r="G64" s="13"/>
      <c r="H64" s="14"/>
    </row>
    <row r="65">
      <c r="B65" s="2"/>
      <c r="C65" s="13"/>
      <c r="D65" s="13"/>
      <c r="E65" s="13"/>
      <c r="F65" s="13"/>
      <c r="G65" s="13"/>
      <c r="H65" s="14"/>
    </row>
    <row r="66">
      <c r="B66" s="2"/>
      <c r="C66" s="13"/>
      <c r="D66" s="13"/>
      <c r="E66" s="13"/>
      <c r="F66" s="13"/>
      <c r="G66" s="13"/>
      <c r="H66" s="14"/>
    </row>
    <row r="67">
      <c r="B67" s="2"/>
      <c r="C67" s="13"/>
      <c r="D67" s="13"/>
      <c r="E67" s="13"/>
      <c r="F67" s="13"/>
      <c r="G67" s="13"/>
      <c r="H67" s="14"/>
    </row>
    <row r="68">
      <c r="B68" s="2"/>
      <c r="C68" s="13"/>
      <c r="D68" s="13"/>
      <c r="E68" s="13"/>
      <c r="F68" s="13"/>
      <c r="G68" s="13"/>
      <c r="H68" s="14"/>
    </row>
    <row r="69">
      <c r="B69" s="2"/>
      <c r="C69" s="13"/>
      <c r="D69" s="13"/>
      <c r="E69" s="13"/>
      <c r="F69" s="13"/>
      <c r="G69" s="13"/>
      <c r="H69" s="14"/>
    </row>
    <row r="70">
      <c r="B70" s="2"/>
      <c r="C70" s="13"/>
      <c r="D70" s="13"/>
      <c r="E70" s="13"/>
      <c r="F70" s="13"/>
      <c r="G70" s="13"/>
      <c r="H70" s="14"/>
    </row>
    <row r="71">
      <c r="B71" s="2"/>
      <c r="C71" s="13"/>
      <c r="D71" s="13"/>
      <c r="E71" s="13"/>
      <c r="F71" s="13"/>
      <c r="G71" s="13"/>
      <c r="H71" s="14"/>
    </row>
    <row r="72">
      <c r="B72" s="2"/>
      <c r="C72" s="13"/>
      <c r="D72" s="13"/>
      <c r="E72" s="13"/>
      <c r="F72" s="13"/>
      <c r="G72" s="13"/>
      <c r="H72" s="14"/>
    </row>
    <row r="73">
      <c r="B73" s="2"/>
      <c r="C73" s="13"/>
      <c r="D73" s="13"/>
      <c r="E73" s="13"/>
      <c r="F73" s="13"/>
      <c r="G73" s="13"/>
      <c r="H73" s="14"/>
    </row>
    <row r="74">
      <c r="B74" s="2"/>
      <c r="C74" s="13"/>
      <c r="D74" s="13"/>
      <c r="E74" s="13"/>
      <c r="F74" s="13"/>
      <c r="G74" s="13"/>
      <c r="H74" s="14"/>
    </row>
    <row r="75">
      <c r="B75" s="2"/>
      <c r="C75" s="13"/>
      <c r="D75" s="13"/>
      <c r="E75" s="13"/>
      <c r="F75" s="13"/>
      <c r="G75" s="13"/>
      <c r="H75" s="14"/>
    </row>
    <row r="76">
      <c r="B76" s="2"/>
      <c r="C76" s="13"/>
      <c r="D76" s="13"/>
      <c r="E76" s="13"/>
      <c r="F76" s="13"/>
      <c r="G76" s="13"/>
      <c r="H76" s="14"/>
    </row>
    <row r="77">
      <c r="B77" s="2"/>
      <c r="C77" s="13"/>
      <c r="D77" s="13"/>
      <c r="E77" s="13"/>
      <c r="F77" s="13"/>
      <c r="G77" s="13"/>
      <c r="H77" s="14"/>
    </row>
    <row r="78">
      <c r="B78" s="2"/>
      <c r="C78" s="13"/>
      <c r="D78" s="13"/>
      <c r="E78" s="13"/>
      <c r="F78" s="13"/>
      <c r="G78" s="13"/>
      <c r="H78" s="14"/>
    </row>
    <row r="79">
      <c r="B79" s="2"/>
      <c r="C79" s="13"/>
      <c r="D79" s="13"/>
      <c r="E79" s="13"/>
      <c r="F79" s="13"/>
      <c r="G79" s="13"/>
      <c r="H79" s="14"/>
    </row>
    <row r="80">
      <c r="B80" s="2"/>
      <c r="C80" s="13"/>
      <c r="D80" s="13"/>
      <c r="E80" s="13"/>
      <c r="F80" s="13"/>
      <c r="G80" s="13"/>
      <c r="H80" s="14"/>
    </row>
    <row r="81">
      <c r="B81" s="2"/>
      <c r="C81" s="13"/>
      <c r="D81" s="13"/>
      <c r="E81" s="13"/>
      <c r="F81" s="13"/>
      <c r="G81" s="13"/>
      <c r="H81" s="14"/>
    </row>
    <row r="82">
      <c r="B82" s="2"/>
      <c r="C82" s="13"/>
      <c r="D82" s="13"/>
      <c r="E82" s="13"/>
      <c r="F82" s="13"/>
      <c r="G82" s="13"/>
      <c r="H82" s="14"/>
    </row>
    <row r="83">
      <c r="B83" s="2"/>
      <c r="C83" s="13"/>
      <c r="D83" s="13"/>
      <c r="E83" s="13"/>
      <c r="F83" s="13"/>
      <c r="G83" s="13"/>
      <c r="H83" s="14"/>
    </row>
    <row r="84">
      <c r="B84" s="2"/>
      <c r="C84" s="13"/>
      <c r="D84" s="13"/>
      <c r="E84" s="13"/>
      <c r="F84" s="13"/>
      <c r="G84" s="13"/>
      <c r="H84" s="14"/>
    </row>
    <row r="85">
      <c r="B85" s="2"/>
      <c r="C85" s="13"/>
      <c r="D85" s="13"/>
      <c r="E85" s="13"/>
      <c r="F85" s="13"/>
      <c r="G85" s="13"/>
      <c r="H85" s="14"/>
    </row>
    <row r="86">
      <c r="B86" s="2"/>
      <c r="C86" s="13"/>
      <c r="D86" s="13"/>
      <c r="E86" s="13"/>
      <c r="F86" s="13"/>
      <c r="G86" s="13"/>
      <c r="H86" s="14"/>
    </row>
    <row r="87">
      <c r="B87" s="2"/>
      <c r="C87" s="13"/>
      <c r="D87" s="13"/>
      <c r="E87" s="13"/>
      <c r="F87" s="13"/>
      <c r="G87" s="13"/>
      <c r="H87" s="14"/>
    </row>
    <row r="88">
      <c r="B88" s="2"/>
      <c r="C88" s="13"/>
      <c r="D88" s="13"/>
      <c r="E88" s="13"/>
      <c r="F88" s="13"/>
      <c r="G88" s="13"/>
      <c r="H88" s="14"/>
    </row>
    <row r="89">
      <c r="B89" s="2"/>
      <c r="C89" s="13"/>
      <c r="D89" s="13"/>
      <c r="E89" s="13"/>
      <c r="F89" s="13"/>
      <c r="G89" s="13"/>
      <c r="H89" s="14"/>
    </row>
    <row r="90">
      <c r="B90" s="2"/>
      <c r="C90" s="13"/>
      <c r="D90" s="13"/>
      <c r="E90" s="13"/>
      <c r="F90" s="13"/>
      <c r="G90" s="13"/>
      <c r="H90" s="14"/>
    </row>
    <row r="91">
      <c r="B91" s="2"/>
      <c r="C91" s="13"/>
      <c r="D91" s="13"/>
      <c r="E91" s="13"/>
      <c r="F91" s="13"/>
      <c r="G91" s="13"/>
      <c r="H91" s="14"/>
    </row>
    <row r="92">
      <c r="B92" s="2"/>
      <c r="C92" s="13"/>
      <c r="D92" s="13"/>
      <c r="E92" s="13"/>
      <c r="F92" s="13"/>
      <c r="G92" s="13"/>
      <c r="H92" s="14"/>
    </row>
    <row r="93">
      <c r="B93" s="2"/>
      <c r="C93" s="13"/>
      <c r="D93" s="13"/>
      <c r="E93" s="13"/>
      <c r="F93" s="13"/>
      <c r="G93" s="13"/>
      <c r="H93" s="14"/>
    </row>
    <row r="94">
      <c r="B94" s="2"/>
      <c r="C94" s="13"/>
      <c r="D94" s="13"/>
      <c r="E94" s="13"/>
      <c r="F94" s="13"/>
      <c r="G94" s="13"/>
      <c r="H94" s="14"/>
    </row>
    <row r="95">
      <c r="B95" s="2"/>
      <c r="C95" s="13"/>
      <c r="D95" s="13"/>
      <c r="E95" s="13"/>
      <c r="F95" s="13"/>
      <c r="G95" s="13"/>
      <c r="H95" s="14"/>
    </row>
    <row r="96">
      <c r="B96" s="2"/>
      <c r="C96" s="13"/>
      <c r="D96" s="13"/>
      <c r="E96" s="13"/>
      <c r="F96" s="13"/>
      <c r="G96" s="13"/>
      <c r="H96" s="14"/>
    </row>
    <row r="97">
      <c r="B97" s="2"/>
      <c r="C97" s="13"/>
      <c r="D97" s="13"/>
      <c r="E97" s="13"/>
      <c r="F97" s="13"/>
      <c r="G97" s="13"/>
      <c r="H97" s="14"/>
    </row>
    <row r="98">
      <c r="B98" s="2"/>
      <c r="C98" s="13"/>
      <c r="D98" s="13"/>
      <c r="E98" s="13"/>
      <c r="F98" s="13"/>
      <c r="G98" s="13"/>
      <c r="H98" s="14"/>
    </row>
    <row r="99">
      <c r="B99" s="2"/>
      <c r="C99" s="13"/>
      <c r="D99" s="13"/>
      <c r="E99" s="13"/>
      <c r="F99" s="13"/>
      <c r="G99" s="13"/>
      <c r="H99" s="14"/>
    </row>
    <row r="100">
      <c r="B100" s="2"/>
      <c r="C100" s="13"/>
      <c r="D100" s="13"/>
      <c r="E100" s="13"/>
      <c r="F100" s="13"/>
      <c r="G100" s="13"/>
      <c r="H100" s="14"/>
    </row>
    <row r="101">
      <c r="B101" s="2"/>
      <c r="C101" s="13"/>
      <c r="D101" s="13"/>
      <c r="E101" s="13"/>
      <c r="F101" s="13"/>
      <c r="G101" s="13"/>
      <c r="H101" s="14"/>
    </row>
    <row r="102">
      <c r="B102" s="2"/>
      <c r="C102" s="13"/>
      <c r="D102" s="13"/>
      <c r="E102" s="13"/>
      <c r="F102" s="13"/>
      <c r="G102" s="13"/>
      <c r="H102" s="14"/>
    </row>
    <row r="103">
      <c r="B103" s="2"/>
      <c r="C103" s="13"/>
      <c r="D103" s="13"/>
      <c r="E103" s="13"/>
      <c r="F103" s="13"/>
      <c r="G103" s="13"/>
      <c r="H103" s="14"/>
    </row>
    <row r="104">
      <c r="B104" s="2"/>
      <c r="C104" s="13"/>
      <c r="D104" s="13"/>
      <c r="E104" s="13"/>
      <c r="F104" s="13"/>
      <c r="G104" s="13"/>
      <c r="H104" s="14"/>
    </row>
    <row r="105">
      <c r="B105" s="2"/>
      <c r="C105" s="13"/>
      <c r="D105" s="13"/>
      <c r="E105" s="13"/>
      <c r="F105" s="13"/>
      <c r="G105" s="13"/>
      <c r="H105" s="14"/>
    </row>
    <row r="106">
      <c r="H106" s="1"/>
    </row>
    <row r="107">
      <c r="H107" s="1"/>
    </row>
    <row r="108">
      <c r="H108" s="1"/>
    </row>
    <row r="109">
      <c r="H109" s="1"/>
    </row>
    <row r="110">
      <c r="H110" s="1"/>
    </row>
    <row r="111">
      <c r="H111" s="1"/>
    </row>
    <row r="112">
      <c r="H112" s="1"/>
    </row>
    <row r="113">
      <c r="H113" s="1"/>
    </row>
    <row r="114">
      <c r="H114" s="1"/>
    </row>
    <row r="115">
      <c r="H115" s="1"/>
    </row>
    <row r="116">
      <c r="H116" s="1"/>
    </row>
    <row r="117">
      <c r="H117" s="1"/>
    </row>
    <row r="118">
      <c r="H118" s="1"/>
    </row>
    <row r="119">
      <c r="H119" s="1"/>
    </row>
    <row r="120">
      <c r="H120" s="1"/>
    </row>
    <row r="121">
      <c r="H121" s="1"/>
    </row>
    <row r="122">
      <c r="H122" s="1"/>
    </row>
    <row r="123">
      <c r="H123" s="1"/>
    </row>
    <row r="124">
      <c r="H124" s="1"/>
    </row>
    <row r="125">
      <c r="H125" s="1"/>
    </row>
    <row r="126">
      <c r="H126" s="1"/>
    </row>
    <row r="127">
      <c r="H127" s="1"/>
    </row>
    <row r="128">
      <c r="H128" s="1"/>
    </row>
    <row r="129">
      <c r="H129" s="1"/>
    </row>
    <row r="130">
      <c r="H130" s="1"/>
    </row>
    <row r="131">
      <c r="H131" s="1"/>
    </row>
    <row r="132">
      <c r="H132" s="1"/>
    </row>
    <row r="133">
      <c r="H133" s="1"/>
    </row>
    <row r="134">
      <c r="H134" s="1"/>
    </row>
    <row r="135">
      <c r="H135" s="1"/>
    </row>
    <row r="136">
      <c r="H136" s="1"/>
    </row>
    <row r="137">
      <c r="H137" s="1"/>
    </row>
    <row r="138">
      <c r="H138" s="1"/>
    </row>
    <row r="139">
      <c r="H139" s="1"/>
    </row>
    <row r="140">
      <c r="H140" s="1"/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dimension ref="B2:J140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4" customWidth="1"/>
    <col min="3" max="8" width="14" customWidth="1"/>
  </cols>
  <sheetData>
    <row r="2">
      <c r="B2" s="2" t="s">
        <v>0</v>
      </c>
      <c r="C2" s="2"/>
      <c r="D2" s="2"/>
      <c r="E2" s="2"/>
      <c r="F2" s="2"/>
      <c r="G2" s="2"/>
      <c r="H2" s="2"/>
    </row>
    <row r="3">
      <c r="B3" s="2" t="s">
        <v>378</v>
      </c>
      <c r="C3" s="2"/>
      <c r="D3" s="2"/>
      <c r="E3" s="2"/>
      <c r="F3" s="2"/>
      <c r="G3" s="2"/>
      <c r="H3" s="2"/>
    </row>
    <row r="4">
      <c r="B4" s="2" t="s">
        <v>2</v>
      </c>
      <c r="C4" s="2"/>
      <c r="D4" s="2"/>
      <c r="E4" s="2"/>
      <c r="F4" s="2"/>
      <c r="G4" s="2"/>
      <c r="H4" s="2"/>
    </row>
    <row r="5">
      <c r="B5" s="11"/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</row>
    <row r="6">
      <c r="B6" s="11"/>
      <c r="C6" s="6">
        <v>45900</v>
      </c>
      <c r="D6" s="6">
        <v>45991</v>
      </c>
      <c r="E6" s="6">
        <v>46081</v>
      </c>
      <c r="F6" s="6">
        <v>46081</v>
      </c>
      <c r="G6" s="6">
        <v>46173</v>
      </c>
      <c r="H6" s="6">
        <v>46265</v>
      </c>
    </row>
    <row r="7">
      <c r="B7" s="11"/>
      <c r="C7" s="11">
        <v>92</v>
      </c>
      <c r="D7" s="11">
        <v>91</v>
      </c>
      <c r="E7" s="11">
        <v>90</v>
      </c>
      <c r="F7" s="11">
        <v>365</v>
      </c>
      <c r="G7" s="11">
        <v>92</v>
      </c>
      <c r="H7" s="11">
        <v>92</v>
      </c>
    </row>
    <row r="8">
      <c r="B8" s="2"/>
      <c r="C8" s="2"/>
      <c r="D8" s="2"/>
      <c r="E8" s="2"/>
      <c r="F8" s="2"/>
      <c r="G8" s="2"/>
      <c r="H8" s="4"/>
    </row>
    <row r="9">
      <c r="B9" s="2" t="s">
        <v>379</v>
      </c>
      <c r="C9" s="2" t="s">
        <v>380</v>
      </c>
      <c r="D9" s="2" t="s">
        <v>24</v>
      </c>
      <c r="E9" s="2" t="s">
        <v>381</v>
      </c>
      <c r="F9" s="2" t="s">
        <v>382</v>
      </c>
      <c r="G9" s="2" t="s">
        <v>383</v>
      </c>
      <c r="H9" s="4" t="s">
        <v>384</v>
      </c>
      <c r="I9" s="2" t="s">
        <v>385</v>
      </c>
      <c r="J9" s="2" t="s">
        <v>386</v>
      </c>
    </row>
    <row r="10">
      <c r="B10" s="26">
        <v>46126</v>
      </c>
      <c r="C10" s="2" t="s">
        <v>387</v>
      </c>
      <c r="D10" s="2" t="s">
        <v>388</v>
      </c>
      <c r="E10" s="28">
        <v>400</v>
      </c>
      <c r="F10" s="28">
        <v>400</v>
      </c>
      <c r="G10" s="13">
        <f>AVERAGE(E10:F10)</f>
        <v>400</v>
      </c>
      <c r="H10" s="14"/>
      <c r="I10" s="2"/>
      <c r="J10" s="2" t="s">
        <v>389</v>
      </c>
    </row>
    <row r="11">
      <c r="B11" s="26">
        <v>46126</v>
      </c>
      <c r="C11" s="2" t="s">
        <v>387</v>
      </c>
      <c r="D11" s="2" t="s">
        <v>390</v>
      </c>
      <c r="E11" s="28">
        <v>4</v>
      </c>
      <c r="F11" s="28">
        <v>4</v>
      </c>
      <c r="G11" s="13">
        <f>AVERAGE(E11:F11)</f>
        <v>4</v>
      </c>
      <c r="H11" s="14"/>
      <c r="I11" s="2"/>
      <c r="J11" s="2" t="s">
        <v>389</v>
      </c>
    </row>
    <row r="12">
      <c r="B12" s="26">
        <v>46126</v>
      </c>
      <c r="C12" s="2" t="s">
        <v>387</v>
      </c>
      <c r="D12" s="2" t="s">
        <v>391</v>
      </c>
      <c r="E12" s="28">
        <v>2</v>
      </c>
      <c r="F12" s="28">
        <v>2</v>
      </c>
      <c r="G12" s="13">
        <f>AVERAGE(E12:F12)</f>
        <v>2</v>
      </c>
      <c r="H12" s="14"/>
      <c r="I12" s="2"/>
      <c r="J12" s="2" t="s">
        <v>389</v>
      </c>
    </row>
    <row r="13">
      <c r="B13" s="26">
        <v>46126</v>
      </c>
      <c r="C13" s="2" t="s">
        <v>387</v>
      </c>
      <c r="D13" s="2" t="s">
        <v>392</v>
      </c>
      <c r="E13" s="28">
        <v>2</v>
      </c>
      <c r="F13" s="28">
        <v>2</v>
      </c>
      <c r="G13" s="13">
        <f>AVERAGE(E13:F13)</f>
        <v>2</v>
      </c>
      <c r="H13" s="14"/>
      <c r="I13" s="2"/>
      <c r="J13" s="2" t="s">
        <v>389</v>
      </c>
    </row>
    <row r="14">
      <c r="B14" s="26">
        <v>46190</v>
      </c>
      <c r="C14" s="2" t="s">
        <v>393</v>
      </c>
      <c r="D14" s="2" t="s">
        <v>394</v>
      </c>
      <c r="E14" s="28">
        <v>200</v>
      </c>
      <c r="F14" s="28">
        <v>200</v>
      </c>
      <c r="G14" s="13">
        <f>AVERAGE(E14:F14)</f>
        <v>200</v>
      </c>
      <c r="H14" s="14"/>
      <c r="I14" s="2"/>
      <c r="J14" s="2" t="s">
        <v>395</v>
      </c>
    </row>
    <row r="15">
      <c r="B15" s="26">
        <v>46126</v>
      </c>
      <c r="C15" s="2" t="s">
        <v>396</v>
      </c>
      <c r="D15" s="2" t="s">
        <v>397</v>
      </c>
      <c r="E15" s="13"/>
      <c r="F15" s="28">
        <v>300</v>
      </c>
      <c r="G15" s="28">
        <v>300</v>
      </c>
      <c r="H15" s="34">
        <v>230</v>
      </c>
      <c r="I15" s="2" t="str">
        <f>IF(H15&lt;G15,"BEAT","MISS")</f>
        <v>BEAT</v>
      </c>
      <c r="J15" s="2" t="s">
        <v>389</v>
      </c>
    </row>
    <row r="16">
      <c r="B16" s="26">
        <v>46190</v>
      </c>
      <c r="C16" s="2" t="s">
        <v>398</v>
      </c>
      <c r="D16" s="2" t="s">
        <v>399</v>
      </c>
      <c r="E16" s="2"/>
      <c r="F16" s="2"/>
      <c r="G16" s="2" t="s">
        <v>31</v>
      </c>
      <c r="H16" s="4"/>
      <c r="I16" s="2" t="s">
        <v>400</v>
      </c>
      <c r="J16" s="2" t="s">
        <v>395</v>
      </c>
    </row>
    <row r="17">
      <c r="B17" s="26">
        <v>46190</v>
      </c>
      <c r="C17" s="2" t="s">
        <v>398</v>
      </c>
      <c r="D17" s="2" t="s">
        <v>401</v>
      </c>
      <c r="E17" s="2"/>
      <c r="F17" s="2"/>
      <c r="G17" s="2" t="s">
        <v>31</v>
      </c>
      <c r="H17" s="4"/>
      <c r="I17" s="2" t="s">
        <v>400</v>
      </c>
      <c r="J17" s="2" t="s">
        <v>395</v>
      </c>
    </row>
    <row r="18">
      <c r="B18" s="2"/>
      <c r="C18" s="2"/>
      <c r="D18" s="2"/>
      <c r="E18" s="2"/>
      <c r="F18" s="2"/>
      <c r="G18" s="2"/>
      <c r="H18" s="4"/>
      <c r="I18" s="2"/>
      <c r="J18" s="2"/>
    </row>
    <row r="19">
      <c r="B19" s="2"/>
      <c r="C19" s="2"/>
      <c r="D19" s="2"/>
      <c r="E19" s="2"/>
      <c r="F19" s="2"/>
      <c r="G19" s="2"/>
      <c r="H19" s="4"/>
      <c r="I19" s="2"/>
      <c r="J19" s="2"/>
    </row>
    <row r="20">
      <c r="B20" s="2"/>
      <c r="C20" s="2"/>
      <c r="D20" s="2"/>
      <c r="E20" s="2"/>
      <c r="F20" s="2"/>
      <c r="G20" s="2"/>
      <c r="H20" s="4"/>
      <c r="I20" s="2"/>
      <c r="J20" s="2"/>
    </row>
    <row r="21">
      <c r="B21" s="2"/>
      <c r="C21" s="2"/>
      <c r="D21" s="2"/>
      <c r="E21" s="2"/>
      <c r="F21" s="2"/>
      <c r="G21" s="2"/>
      <c r="H21" s="4"/>
      <c r="I21" s="2"/>
      <c r="J21" s="2"/>
    </row>
    <row r="22">
      <c r="B22" s="2"/>
      <c r="C22" s="2"/>
      <c r="D22" s="2"/>
      <c r="E22" s="2"/>
      <c r="F22" s="2"/>
      <c r="G22" s="2"/>
      <c r="H22" s="4"/>
      <c r="I22" s="2"/>
      <c r="J22" s="2"/>
    </row>
    <row r="23">
      <c r="B23" s="2"/>
      <c r="C23" s="2"/>
      <c r="D23" s="2"/>
      <c r="E23" s="2"/>
      <c r="F23" s="2"/>
      <c r="G23" s="2"/>
      <c r="H23" s="4"/>
      <c r="I23" s="2"/>
      <c r="J23" s="2"/>
    </row>
    <row r="24">
      <c r="B24" s="2"/>
      <c r="C24" s="2"/>
      <c r="D24" s="2"/>
      <c r="E24" s="2"/>
      <c r="F24" s="2"/>
      <c r="G24" s="2"/>
      <c r="H24" s="4"/>
      <c r="I24" s="2"/>
      <c r="J24" s="2"/>
    </row>
    <row r="25">
      <c r="B25" s="2"/>
      <c r="C25" s="2"/>
      <c r="D25" s="2"/>
      <c r="E25" s="2"/>
      <c r="F25" s="2"/>
      <c r="G25" s="2"/>
      <c r="H25" s="4"/>
      <c r="I25" s="2"/>
      <c r="J25" s="2"/>
    </row>
    <row r="26">
      <c r="B26" s="2"/>
      <c r="C26" s="2"/>
      <c r="D26" s="2"/>
      <c r="E26" s="2"/>
      <c r="F26" s="2"/>
      <c r="G26" s="2"/>
      <c r="H26" s="4"/>
      <c r="I26" s="2"/>
      <c r="J26" s="2"/>
    </row>
    <row r="27">
      <c r="B27" s="2"/>
      <c r="C27" s="2"/>
      <c r="D27" s="2"/>
      <c r="E27" s="2"/>
      <c r="F27" s="2"/>
      <c r="G27" s="2"/>
      <c r="H27" s="4"/>
      <c r="I27" s="2"/>
      <c r="J27" s="2"/>
    </row>
    <row r="28">
      <c r="B28" s="2"/>
      <c r="C28" s="2"/>
      <c r="D28" s="2"/>
      <c r="E28" s="2"/>
      <c r="F28" s="2"/>
      <c r="G28" s="2"/>
      <c r="H28" s="4"/>
      <c r="I28" s="2"/>
      <c r="J28" s="2"/>
    </row>
    <row r="29">
      <c r="B29" s="2"/>
      <c r="C29" s="2"/>
      <c r="D29" s="2"/>
      <c r="E29" s="2"/>
      <c r="F29" s="2"/>
      <c r="G29" s="2"/>
      <c r="H29" s="4"/>
      <c r="I29" s="2"/>
      <c r="J29" s="2"/>
    </row>
    <row r="30">
      <c r="B30" s="2"/>
      <c r="C30" s="2"/>
      <c r="D30" s="2"/>
      <c r="E30" s="2"/>
      <c r="F30" s="2"/>
      <c r="G30" s="2"/>
      <c r="H30" s="4"/>
      <c r="I30" s="2"/>
      <c r="J30" s="2"/>
    </row>
    <row r="31">
      <c r="B31" s="2"/>
      <c r="C31" s="2"/>
      <c r="D31" s="2"/>
      <c r="E31" s="2"/>
      <c r="F31" s="2"/>
      <c r="G31" s="2"/>
      <c r="H31" s="4"/>
      <c r="I31" s="2"/>
      <c r="J31" s="2"/>
    </row>
    <row r="32">
      <c r="B32" s="2"/>
      <c r="C32" s="2"/>
      <c r="D32" s="2"/>
      <c r="E32" s="2"/>
      <c r="F32" s="2"/>
      <c r="G32" s="2"/>
      <c r="H32" s="4"/>
      <c r="I32" s="2"/>
      <c r="J32" s="2"/>
    </row>
    <row r="33">
      <c r="B33" s="2"/>
      <c r="C33" s="2"/>
      <c r="D33" s="2"/>
      <c r="E33" s="2"/>
      <c r="F33" s="2"/>
      <c r="G33" s="2"/>
      <c r="H33" s="4"/>
      <c r="I33" s="2"/>
      <c r="J33" s="2"/>
    </row>
    <row r="34">
      <c r="B34" s="2"/>
      <c r="C34" s="2"/>
      <c r="D34" s="2"/>
      <c r="E34" s="2"/>
      <c r="F34" s="2"/>
      <c r="G34" s="2"/>
      <c r="H34" s="4"/>
      <c r="I34" s="2"/>
      <c r="J34" s="2"/>
    </row>
    <row r="35">
      <c r="B35" s="2"/>
      <c r="C35" s="2"/>
      <c r="D35" s="2"/>
      <c r="E35" s="2"/>
      <c r="F35" s="2"/>
      <c r="G35" s="2"/>
      <c r="H35" s="4"/>
      <c r="I35" s="2"/>
      <c r="J35" s="2"/>
    </row>
    <row r="36">
      <c r="B36" s="2"/>
      <c r="C36" s="2"/>
      <c r="D36" s="2"/>
      <c r="E36" s="2"/>
      <c r="F36" s="2"/>
      <c r="G36" s="2"/>
      <c r="H36" s="4"/>
      <c r="I36" s="2"/>
      <c r="J36" s="2"/>
    </row>
    <row r="37">
      <c r="H37" s="1"/>
    </row>
    <row r="38">
      <c r="H38" s="1"/>
    </row>
    <row r="39">
      <c r="H39" s="1"/>
    </row>
    <row r="40">
      <c r="H40" s="1"/>
    </row>
    <row r="41">
      <c r="H41" s="1"/>
    </row>
    <row r="42">
      <c r="H42" s="1"/>
    </row>
    <row r="43">
      <c r="H43" s="1"/>
    </row>
    <row r="44">
      <c r="H44" s="1"/>
    </row>
    <row r="45">
      <c r="H45" s="1"/>
    </row>
    <row r="46">
      <c r="H46" s="1"/>
    </row>
    <row r="47">
      <c r="H47" s="1"/>
    </row>
    <row r="48">
      <c r="H48" s="1"/>
    </row>
    <row r="49">
      <c r="H49" s="1"/>
    </row>
    <row r="50">
      <c r="H50" s="1"/>
    </row>
    <row r="51">
      <c r="H51" s="1"/>
    </row>
    <row r="52">
      <c r="H52" s="1"/>
    </row>
    <row r="53">
      <c r="H53" s="1"/>
    </row>
    <row r="54">
      <c r="H54" s="1"/>
    </row>
    <row r="55">
      <c r="H55" s="1"/>
    </row>
    <row r="56">
      <c r="H56" s="1"/>
    </row>
    <row r="57">
      <c r="H57" s="1"/>
    </row>
    <row r="58">
      <c r="H58" s="1"/>
    </row>
    <row r="59">
      <c r="H59" s="1"/>
    </row>
    <row r="60">
      <c r="H60" s="1"/>
    </row>
    <row r="61">
      <c r="H61" s="1"/>
    </row>
    <row r="62">
      <c r="H62" s="1"/>
    </row>
    <row r="63">
      <c r="H63" s="1"/>
    </row>
    <row r="64">
      <c r="H64" s="1"/>
    </row>
    <row r="65">
      <c r="H65" s="1"/>
    </row>
    <row r="66">
      <c r="H66" s="1"/>
    </row>
    <row r="67">
      <c r="H67" s="1"/>
    </row>
    <row r="68">
      <c r="H68" s="1"/>
    </row>
    <row r="69">
      <c r="H69" s="1"/>
    </row>
    <row r="70">
      <c r="H70" s="1"/>
    </row>
    <row r="71">
      <c r="H71" s="1"/>
    </row>
    <row r="72">
      <c r="H72" s="1"/>
    </row>
    <row r="73">
      <c r="H73" s="1"/>
    </row>
    <row r="74">
      <c r="H74" s="1"/>
    </row>
    <row r="75">
      <c r="H75" s="1"/>
    </row>
    <row r="76">
      <c r="H76" s="1"/>
    </row>
    <row r="77">
      <c r="H77" s="1"/>
    </row>
    <row r="78">
      <c r="H78" s="1"/>
    </row>
    <row r="79">
      <c r="H79" s="1"/>
    </row>
    <row r="80">
      <c r="H80" s="1"/>
    </row>
    <row r="81">
      <c r="H81" s="1"/>
    </row>
    <row r="82">
      <c r="H82" s="1"/>
    </row>
    <row r="83">
      <c r="H83" s="1"/>
    </row>
    <row r="84">
      <c r="H84" s="1"/>
    </row>
    <row r="85">
      <c r="H85" s="1"/>
    </row>
    <row r="86">
      <c r="H86" s="1"/>
    </row>
    <row r="87">
      <c r="H87" s="1"/>
    </row>
    <row r="88">
      <c r="H88" s="1"/>
    </row>
    <row r="89">
      <c r="H89" s="1"/>
    </row>
    <row r="90">
      <c r="H90" s="1"/>
    </row>
    <row r="91">
      <c r="H91" s="1"/>
    </row>
    <row r="92">
      <c r="H92" s="1"/>
    </row>
    <row r="93">
      <c r="H93" s="1"/>
    </row>
    <row r="94">
      <c r="H94" s="1"/>
    </row>
    <row r="95">
      <c r="H95" s="1"/>
    </row>
    <row r="96">
      <c r="H96" s="1"/>
    </row>
    <row r="97">
      <c r="H97" s="1"/>
    </row>
    <row r="98">
      <c r="H98" s="1"/>
    </row>
    <row r="99">
      <c r="H99" s="1"/>
    </row>
    <row r="100">
      <c r="H100" s="1"/>
    </row>
    <row r="101">
      <c r="H101" s="1"/>
    </row>
    <row r="102">
      <c r="H102" s="1"/>
    </row>
    <row r="103">
      <c r="H103" s="1"/>
    </row>
    <row r="104">
      <c r="H104" s="1"/>
    </row>
    <row r="105">
      <c r="H105" s="1"/>
    </row>
    <row r="106">
      <c r="H106" s="1"/>
    </row>
    <row r="107">
      <c r="H107" s="1"/>
    </row>
    <row r="108">
      <c r="H108" s="1"/>
    </row>
    <row r="109">
      <c r="H109" s="1"/>
    </row>
    <row r="110">
      <c r="H110" s="1"/>
    </row>
    <row r="111">
      <c r="H111" s="1"/>
    </row>
    <row r="112">
      <c r="H112" s="1"/>
    </row>
    <row r="113">
      <c r="H113" s="1"/>
    </row>
    <row r="114">
      <c r="H114" s="1"/>
    </row>
    <row r="115">
      <c r="H115" s="1"/>
    </row>
    <row r="116">
      <c r="H116" s="1"/>
    </row>
    <row r="117">
      <c r="H117" s="1"/>
    </row>
    <row r="118">
      <c r="H118" s="1"/>
    </row>
    <row r="119">
      <c r="H119" s="1"/>
    </row>
    <row r="120">
      <c r="H120" s="1"/>
    </row>
    <row r="121">
      <c r="H121" s="1"/>
    </row>
    <row r="122">
      <c r="H122" s="1"/>
    </row>
    <row r="123">
      <c r="H123" s="1"/>
    </row>
    <row r="124">
      <c r="H124" s="1"/>
    </row>
    <row r="125">
      <c r="H125" s="1"/>
    </row>
    <row r="126">
      <c r="H126" s="1"/>
    </row>
    <row r="127">
      <c r="H127" s="1"/>
    </row>
    <row r="128">
      <c r="H128" s="1"/>
    </row>
    <row r="129">
      <c r="H129" s="1"/>
    </row>
    <row r="130">
      <c r="H130" s="1"/>
    </row>
    <row r="131">
      <c r="H131" s="1"/>
    </row>
    <row r="132">
      <c r="H132" s="1"/>
    </row>
    <row r="133">
      <c r="H133" s="1"/>
    </row>
    <row r="134">
      <c r="H134" s="1"/>
    </row>
    <row r="135">
      <c r="H135" s="1"/>
    </row>
    <row r="136">
      <c r="H136" s="1"/>
    </row>
    <row r="137">
      <c r="H137" s="1"/>
    </row>
    <row r="138">
      <c r="H138" s="1"/>
    </row>
    <row r="139">
      <c r="H139" s="1"/>
    </row>
    <row r="140">
      <c r="H140" s="1"/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dimension ref="B2:K140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4" customWidth="1"/>
    <col min="3" max="8" width="14" customWidth="1"/>
    <col min="10" max="10" width="98" customWidth="1"/>
    <col min="11" max="11" width="66" customWidth="1"/>
  </cols>
  <sheetData>
    <row r="2">
      <c r="B2" s="2" t="s">
        <v>0</v>
      </c>
      <c r="C2" s="2"/>
      <c r="D2" s="2"/>
      <c r="E2" s="2"/>
      <c r="F2" s="2"/>
      <c r="G2" s="2"/>
      <c r="H2" s="2"/>
    </row>
    <row r="3">
      <c r="B3" s="2" t="s">
        <v>402</v>
      </c>
      <c r="C3" s="2"/>
      <c r="D3" s="2"/>
      <c r="E3" s="2"/>
      <c r="F3" s="2"/>
      <c r="G3" s="2"/>
      <c r="H3" s="2"/>
    </row>
    <row r="4">
      <c r="B4" s="2" t="s">
        <v>2</v>
      </c>
      <c r="C4" s="2"/>
      <c r="D4" s="2"/>
      <c r="E4" s="2"/>
      <c r="F4" s="2"/>
      <c r="G4" s="2"/>
      <c r="H4" s="2"/>
    </row>
    <row r="5">
      <c r="B5" s="11"/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</row>
    <row r="6">
      <c r="B6" s="11"/>
      <c r="C6" s="6">
        <v>45900</v>
      </c>
      <c r="D6" s="6">
        <v>45991</v>
      </c>
      <c r="E6" s="6">
        <v>46081</v>
      </c>
      <c r="F6" s="6">
        <v>46081</v>
      </c>
      <c r="G6" s="6">
        <v>46173</v>
      </c>
      <c r="H6" s="6">
        <v>46265</v>
      </c>
    </row>
    <row r="7">
      <c r="B7" s="11"/>
      <c r="C7" s="11">
        <v>92</v>
      </c>
      <c r="D7" s="11">
        <v>91</v>
      </c>
      <c r="E7" s="11">
        <v>90</v>
      </c>
      <c r="F7" s="11">
        <v>365</v>
      </c>
      <c r="G7" s="11">
        <v>92</v>
      </c>
      <c r="H7" s="11">
        <v>92</v>
      </c>
    </row>
    <row r="8">
      <c r="B8" s="2"/>
      <c r="C8" s="2"/>
      <c r="D8" s="2"/>
      <c r="E8" s="2"/>
      <c r="F8" s="2"/>
      <c r="G8" s="2"/>
      <c r="H8" s="4"/>
    </row>
    <row r="9">
      <c r="B9" s="2" t="s">
        <v>403</v>
      </c>
      <c r="C9" s="2" t="s">
        <v>404</v>
      </c>
      <c r="D9" s="2" t="s">
        <v>405</v>
      </c>
      <c r="E9" s="2" t="s">
        <v>406</v>
      </c>
      <c r="F9" s="2" t="s">
        <v>407</v>
      </c>
      <c r="G9" s="2"/>
      <c r="H9" s="4"/>
      <c r="I9" s="2"/>
      <c r="J9" s="2" t="s">
        <v>408</v>
      </c>
      <c r="K9" s="2" t="s">
        <v>409</v>
      </c>
    </row>
    <row r="10">
      <c r="B10" s="2" t="s">
        <v>410</v>
      </c>
      <c r="C10" s="26">
        <v>45925</v>
      </c>
      <c r="D10" s="2" t="s">
        <v>411</v>
      </c>
      <c r="E10" s="2" t="s">
        <v>412</v>
      </c>
      <c r="F10" s="2" t="s">
        <v>413</v>
      </c>
      <c r="G10" s="2"/>
      <c r="H10" s="4"/>
      <c r="I10" s="2"/>
      <c r="J10" s="2" t="s">
        <v>414</v>
      </c>
      <c r="K10" s="2" t="s">
        <v>415</v>
      </c>
    </row>
    <row r="11">
      <c r="B11" s="2" t="s">
        <v>416</v>
      </c>
      <c r="C11" s="26">
        <v>46009</v>
      </c>
      <c r="D11" s="2" t="s">
        <v>411</v>
      </c>
      <c r="E11" s="2" t="s">
        <v>417</v>
      </c>
      <c r="F11" s="2" t="s">
        <v>418</v>
      </c>
      <c r="G11" s="2"/>
      <c r="H11" s="4"/>
      <c r="I11" s="2"/>
      <c r="J11" s="2" t="s">
        <v>419</v>
      </c>
      <c r="K11" s="2" t="s">
        <v>420</v>
      </c>
    </row>
    <row r="12">
      <c r="B12" s="2" t="s">
        <v>421</v>
      </c>
      <c r="C12" s="26">
        <v>46127</v>
      </c>
      <c r="D12" s="2" t="s">
        <v>411</v>
      </c>
      <c r="E12" s="2" t="s">
        <v>422</v>
      </c>
      <c r="F12" s="2" t="s">
        <v>423</v>
      </c>
      <c r="G12" s="2"/>
      <c r="H12" s="4"/>
      <c r="I12" s="2"/>
      <c r="J12" s="2" t="s">
        <v>424</v>
      </c>
      <c r="K12" s="2" t="s">
        <v>425</v>
      </c>
    </row>
    <row r="13">
      <c r="B13" s="2" t="s">
        <v>389</v>
      </c>
      <c r="C13" s="26">
        <v>46126</v>
      </c>
      <c r="D13" s="2" t="s">
        <v>411</v>
      </c>
      <c r="E13" s="2" t="s">
        <v>426</v>
      </c>
      <c r="F13" s="2" t="s">
        <v>427</v>
      </c>
      <c r="G13" s="2"/>
      <c r="H13" s="4"/>
      <c r="I13" s="2"/>
      <c r="J13" s="2" t="s">
        <v>428</v>
      </c>
      <c r="K13" s="2" t="s">
        <v>429</v>
      </c>
    </row>
    <row r="14">
      <c r="B14" s="2" t="s">
        <v>395</v>
      </c>
      <c r="C14" s="26">
        <v>46190</v>
      </c>
      <c r="D14" s="2" t="s">
        <v>411</v>
      </c>
      <c r="E14" s="2" t="s">
        <v>430</v>
      </c>
      <c r="F14" s="2" t="s">
        <v>431</v>
      </c>
      <c r="G14" s="2"/>
      <c r="H14" s="4"/>
      <c r="I14" s="2"/>
      <c r="J14" s="2" t="s">
        <v>432</v>
      </c>
      <c r="K14" s="2" t="s">
        <v>433</v>
      </c>
    </row>
    <row r="15">
      <c r="B15" s="2" t="s">
        <v>434</v>
      </c>
      <c r="C15" s="26">
        <v>46197</v>
      </c>
      <c r="D15" s="2" t="s">
        <v>411</v>
      </c>
      <c r="E15" s="2" t="s">
        <v>435</v>
      </c>
      <c r="F15" s="2" t="s">
        <v>436</v>
      </c>
      <c r="G15" s="2"/>
      <c r="H15" s="4"/>
      <c r="I15" s="2"/>
      <c r="J15" s="2" t="s">
        <v>437</v>
      </c>
      <c r="K15" s="2" t="s">
        <v>438</v>
      </c>
    </row>
    <row r="16">
      <c r="B16" s="2" t="s">
        <v>439</v>
      </c>
      <c r="C16" s="26">
        <v>45926</v>
      </c>
      <c r="D16" s="2" t="s">
        <v>411</v>
      </c>
      <c r="E16" s="2" t="s">
        <v>440</v>
      </c>
      <c r="F16" s="2" t="s">
        <v>441</v>
      </c>
      <c r="G16" s="2"/>
      <c r="H16" s="4"/>
      <c r="I16" s="2"/>
      <c r="J16" s="2" t="s">
        <v>442</v>
      </c>
      <c r="K16" s="2" t="s">
        <v>443</v>
      </c>
    </row>
    <row r="17">
      <c r="B17" s="2" t="s">
        <v>444</v>
      </c>
      <c r="C17" s="26">
        <v>46190</v>
      </c>
      <c r="D17" s="2" t="s">
        <v>445</v>
      </c>
      <c r="E17" s="2" t="s">
        <v>446</v>
      </c>
      <c r="F17" s="2" t="s">
        <v>447</v>
      </c>
      <c r="G17" s="2"/>
      <c r="H17" s="4"/>
      <c r="I17" s="2"/>
      <c r="J17" s="2" t="s">
        <v>448</v>
      </c>
      <c r="K17" s="2" t="s">
        <v>449</v>
      </c>
    </row>
    <row r="18">
      <c r="B18" s="2" t="s">
        <v>450</v>
      </c>
      <c r="C18" s="26">
        <v>46276</v>
      </c>
      <c r="D18" s="2" t="s">
        <v>451</v>
      </c>
      <c r="E18" s="2" t="s">
        <v>452</v>
      </c>
      <c r="F18" s="2" t="s">
        <v>453</v>
      </c>
      <c r="G18" s="2"/>
      <c r="H18" s="4"/>
      <c r="I18" s="2"/>
      <c r="J18" s="2" t="s">
        <v>454</v>
      </c>
      <c r="K18" s="2" t="s">
        <v>455</v>
      </c>
    </row>
    <row r="19">
      <c r="B19" s="2" t="s">
        <v>456</v>
      </c>
      <c r="C19" s="26">
        <v>46283</v>
      </c>
      <c r="D19" s="2" t="s">
        <v>457</v>
      </c>
      <c r="E19" s="2" t="s">
        <v>458</v>
      </c>
      <c r="F19" s="2" t="s">
        <v>459</v>
      </c>
      <c r="G19" s="2"/>
      <c r="H19" s="4"/>
      <c r="I19" s="2"/>
      <c r="J19" s="2" t="s">
        <v>460</v>
      </c>
      <c r="K19" s="2" t="s">
        <v>461</v>
      </c>
    </row>
    <row r="20">
      <c r="B20" s="2" t="s">
        <v>462</v>
      </c>
      <c r="C20" s="26">
        <v>46289</v>
      </c>
      <c r="D20" s="2" t="s">
        <v>463</v>
      </c>
      <c r="E20" s="2" t="s">
        <v>464</v>
      </c>
      <c r="F20" s="2" t="s">
        <v>465</v>
      </c>
      <c r="G20" s="2"/>
      <c r="H20" s="4"/>
      <c r="I20" s="2"/>
      <c r="J20" s="2" t="s">
        <v>466</v>
      </c>
      <c r="K20" s="2" t="s">
        <v>467</v>
      </c>
    </row>
    <row r="21">
      <c r="B21" s="2" t="s">
        <v>468</v>
      </c>
      <c r="C21" s="26">
        <v>46289</v>
      </c>
      <c r="D21" s="2" t="s">
        <v>463</v>
      </c>
      <c r="E21" s="2" t="s">
        <v>469</v>
      </c>
      <c r="F21" s="2" t="s">
        <v>470</v>
      </c>
      <c r="G21" s="2"/>
      <c r="H21" s="4"/>
      <c r="I21" s="2"/>
      <c r="J21" s="2" t="s">
        <v>471</v>
      </c>
      <c r="K21" s="2" t="s">
        <v>472</v>
      </c>
    </row>
    <row r="22">
      <c r="B22" s="2"/>
      <c r="C22" s="2"/>
      <c r="D22" s="2"/>
      <c r="E22" s="2"/>
      <c r="F22" s="2"/>
      <c r="G22" s="2"/>
      <c r="H22" s="4"/>
      <c r="I22" s="2"/>
      <c r="J22" s="2"/>
      <c r="K22" s="2"/>
    </row>
    <row r="23">
      <c r="B23" s="2" t="s">
        <v>473</v>
      </c>
      <c r="C23" s="2"/>
      <c r="D23" s="2"/>
      <c r="E23" s="2"/>
      <c r="F23" s="2"/>
      <c r="G23" s="2"/>
      <c r="H23" s="4"/>
      <c r="I23" s="2"/>
      <c r="J23" s="2"/>
      <c r="K23" s="2" t="s">
        <v>474</v>
      </c>
    </row>
    <row r="24">
      <c r="B24" s="2" t="s">
        <v>475</v>
      </c>
      <c r="C24" s="2"/>
      <c r="D24" s="2"/>
      <c r="E24" s="2"/>
      <c r="F24" s="2"/>
      <c r="G24" s="2"/>
      <c r="H24" s="4"/>
      <c r="I24" s="2"/>
      <c r="J24" s="2"/>
      <c r="K24" s="2" t="s">
        <v>476</v>
      </c>
    </row>
    <row r="25">
      <c r="B25" s="2" t="s">
        <v>477</v>
      </c>
      <c r="C25" s="2"/>
      <c r="D25" s="2"/>
      <c r="E25" s="2"/>
      <c r="F25" s="2"/>
      <c r="G25" s="2"/>
      <c r="H25" s="4"/>
      <c r="I25" s="2"/>
      <c r="J25" s="2"/>
      <c r="K25" s="2" t="s">
        <v>478</v>
      </c>
    </row>
    <row r="26">
      <c r="B26" s="2" t="s">
        <v>479</v>
      </c>
      <c r="C26" s="2"/>
      <c r="D26" s="2"/>
      <c r="E26" s="2"/>
      <c r="F26" s="2"/>
      <c r="G26" s="2"/>
      <c r="H26" s="4"/>
      <c r="I26" s="2"/>
      <c r="J26" s="2"/>
      <c r="K26" s="2" t="s">
        <v>480</v>
      </c>
    </row>
    <row r="27">
      <c r="B27" s="2" t="s">
        <v>481</v>
      </c>
      <c r="C27" s="2"/>
      <c r="D27" s="2"/>
      <c r="E27" s="2"/>
      <c r="F27" s="2"/>
      <c r="G27" s="2"/>
      <c r="H27" s="4"/>
      <c r="I27" s="2"/>
      <c r="J27" s="2"/>
      <c r="K27" s="2" t="s">
        <v>482</v>
      </c>
    </row>
    <row r="28">
      <c r="B28" s="2" t="s">
        <v>483</v>
      </c>
      <c r="C28" s="2" t="s">
        <v>484</v>
      </c>
      <c r="D28" s="2"/>
      <c r="E28" s="2"/>
      <c r="F28" s="2"/>
      <c r="G28" s="2"/>
      <c r="H28" s="4"/>
      <c r="I28" s="2"/>
      <c r="J28" s="2" t="s">
        <v>485</v>
      </c>
      <c r="K28" s="2"/>
    </row>
    <row r="29">
      <c r="B29" s="2" t="s">
        <v>486</v>
      </c>
      <c r="C29" s="2" t="s">
        <v>487</v>
      </c>
      <c r="D29" s="2"/>
      <c r="E29" s="2"/>
      <c r="F29" s="2"/>
      <c r="G29" s="2"/>
      <c r="H29" s="4"/>
      <c r="I29" s="2"/>
      <c r="J29" s="2" t="s">
        <v>488</v>
      </c>
      <c r="K29" s="2"/>
    </row>
    <row r="30">
      <c r="B30" s="2" t="s">
        <v>489</v>
      </c>
      <c r="C30" s="2" t="s">
        <v>40</v>
      </c>
      <c r="D30" s="2"/>
      <c r="E30" s="2"/>
      <c r="F30" s="2"/>
      <c r="G30" s="2"/>
      <c r="H30" s="4"/>
      <c r="I30" s="2"/>
      <c r="J30" s="2" t="s">
        <v>20</v>
      </c>
      <c r="K30" s="2"/>
    </row>
    <row r="31">
      <c r="B31" s="2"/>
      <c r="C31" s="2"/>
      <c r="D31" s="2"/>
      <c r="E31" s="2"/>
      <c r="F31" s="2"/>
      <c r="G31" s="2"/>
      <c r="H31" s="4"/>
      <c r="I31" s="2"/>
      <c r="J31" s="2"/>
      <c r="K31" s="2"/>
    </row>
    <row r="32">
      <c r="B32" s="2" t="s">
        <v>490</v>
      </c>
      <c r="C32" s="26">
        <v>46248</v>
      </c>
      <c r="D32" s="2" t="s">
        <v>451</v>
      </c>
      <c r="E32" s="2" t="s">
        <v>491</v>
      </c>
      <c r="F32" s="2" t="s">
        <v>492</v>
      </c>
      <c r="G32" s="2"/>
      <c r="H32" s="4"/>
      <c r="I32" s="2"/>
      <c r="J32" s="2" t="s">
        <v>493</v>
      </c>
      <c r="K32" s="2" t="s">
        <v>494</v>
      </c>
    </row>
    <row r="33">
      <c r="B33" s="2" t="s">
        <v>495</v>
      </c>
      <c r="C33" s="26">
        <v>46232</v>
      </c>
      <c r="D33" s="2" t="s">
        <v>496</v>
      </c>
      <c r="E33" s="2" t="s">
        <v>497</v>
      </c>
      <c r="F33" s="2" t="s">
        <v>498</v>
      </c>
      <c r="G33" s="2"/>
      <c r="H33" s="4"/>
      <c r="I33" s="2"/>
      <c r="J33" s="2" t="s">
        <v>499</v>
      </c>
      <c r="K33" s="2" t="s">
        <v>500</v>
      </c>
    </row>
    <row r="34">
      <c r="B34" s="2" t="s">
        <v>501</v>
      </c>
      <c r="C34" s="26">
        <v>46232</v>
      </c>
      <c r="D34" s="2" t="s">
        <v>502</v>
      </c>
      <c r="E34" s="2" t="s">
        <v>503</v>
      </c>
      <c r="F34" s="2" t="s">
        <v>504</v>
      </c>
      <c r="G34" s="2"/>
      <c r="H34" s="4"/>
      <c r="I34" s="2"/>
      <c r="J34" s="2" t="s">
        <v>505</v>
      </c>
      <c r="K34" s="2" t="s">
        <v>506</v>
      </c>
    </row>
    <row r="35">
      <c r="B35" s="2"/>
      <c r="C35" s="2"/>
      <c r="D35" s="2"/>
      <c r="E35" s="2"/>
      <c r="F35" s="2"/>
      <c r="G35" s="2"/>
      <c r="H35" s="4"/>
      <c r="I35" s="2"/>
      <c r="J35" s="2"/>
    </row>
    <row r="36">
      <c r="B36" s="2"/>
      <c r="C36" s="2"/>
      <c r="D36" s="2"/>
      <c r="E36" s="2"/>
      <c r="F36" s="2"/>
      <c r="G36" s="2"/>
      <c r="H36" s="4"/>
      <c r="I36" s="2"/>
      <c r="J36" s="2"/>
    </row>
    <row r="37">
      <c r="H37" s="1"/>
    </row>
    <row r="38">
      <c r="H38" s="1"/>
    </row>
    <row r="39">
      <c r="H39" s="1"/>
    </row>
    <row r="40">
      <c r="H40" s="1"/>
    </row>
    <row r="41">
      <c r="H41" s="1"/>
    </row>
    <row r="42">
      <c r="H42" s="1"/>
    </row>
    <row r="43">
      <c r="H43" s="1"/>
    </row>
    <row r="44">
      <c r="H44" s="1"/>
    </row>
    <row r="45">
      <c r="H45" s="1"/>
    </row>
    <row r="46">
      <c r="H46" s="1"/>
    </row>
    <row r="47">
      <c r="H47" s="1"/>
    </row>
    <row r="48">
      <c r="H48" s="1"/>
    </row>
    <row r="49">
      <c r="H49" s="1"/>
    </row>
    <row r="50">
      <c r="H50" s="1"/>
    </row>
    <row r="51">
      <c r="H51" s="1"/>
    </row>
    <row r="52">
      <c r="H52" s="1"/>
    </row>
    <row r="53">
      <c r="H53" s="1"/>
    </row>
    <row r="54">
      <c r="H54" s="1"/>
    </row>
    <row r="55">
      <c r="H55" s="1"/>
    </row>
    <row r="56">
      <c r="H56" s="1"/>
    </row>
    <row r="57">
      <c r="H57" s="1"/>
    </row>
    <row r="58">
      <c r="H58" s="1"/>
    </row>
    <row r="59">
      <c r="H59" s="1"/>
    </row>
    <row r="60">
      <c r="H60" s="1"/>
    </row>
    <row r="61">
      <c r="H61" s="1"/>
    </row>
    <row r="62">
      <c r="H62" s="1"/>
    </row>
    <row r="63">
      <c r="H63" s="1"/>
    </row>
    <row r="64">
      <c r="H64" s="1"/>
    </row>
    <row r="65">
      <c r="H65" s="1"/>
    </row>
    <row r="66">
      <c r="H66" s="1"/>
    </row>
    <row r="67">
      <c r="H67" s="1"/>
    </row>
    <row r="68">
      <c r="H68" s="1"/>
    </row>
    <row r="69">
      <c r="H69" s="1"/>
    </row>
    <row r="70">
      <c r="H70" s="1"/>
    </row>
    <row r="71">
      <c r="H71" s="1"/>
    </row>
    <row r="72">
      <c r="H72" s="1"/>
    </row>
    <row r="73">
      <c r="H73" s="1"/>
    </row>
    <row r="74">
      <c r="H74" s="1"/>
    </row>
    <row r="75">
      <c r="H75" s="1"/>
    </row>
    <row r="76">
      <c r="H76" s="1"/>
    </row>
    <row r="77">
      <c r="H77" s="1"/>
    </row>
    <row r="78">
      <c r="H78" s="1"/>
    </row>
    <row r="79">
      <c r="H79" s="1"/>
    </row>
    <row r="80">
      <c r="H80" s="1"/>
    </row>
    <row r="81">
      <c r="H81" s="1"/>
    </row>
    <row r="82">
      <c r="H82" s="1"/>
    </row>
    <row r="83">
      <c r="H83" s="1"/>
    </row>
    <row r="84">
      <c r="H84" s="1"/>
    </row>
    <row r="85">
      <c r="H85" s="1"/>
    </row>
    <row r="86">
      <c r="H86" s="1"/>
    </row>
    <row r="87">
      <c r="H87" s="1"/>
    </row>
    <row r="88">
      <c r="H88" s="1"/>
    </row>
    <row r="89">
      <c r="H89" s="1"/>
    </row>
    <row r="90">
      <c r="H90" s="1"/>
    </row>
    <row r="91">
      <c r="H91" s="1"/>
    </row>
    <row r="92">
      <c r="H92" s="1"/>
    </row>
    <row r="93">
      <c r="H93" s="1"/>
    </row>
    <row r="94">
      <c r="H94" s="1"/>
    </row>
    <row r="95">
      <c r="H95" s="1"/>
    </row>
    <row r="96">
      <c r="H96" s="1"/>
    </row>
    <row r="97">
      <c r="H97" s="1"/>
    </row>
    <row r="98">
      <c r="H98" s="1"/>
    </row>
    <row r="99">
      <c r="H99" s="1"/>
    </row>
    <row r="100">
      <c r="H100" s="1"/>
    </row>
    <row r="101">
      <c r="H101" s="1"/>
    </row>
    <row r="102">
      <c r="H102" s="1"/>
    </row>
    <row r="103">
      <c r="H103" s="1"/>
    </row>
    <row r="104">
      <c r="H104" s="1"/>
    </row>
    <row r="105">
      <c r="H105" s="1"/>
    </row>
    <row r="106">
      <c r="H106" s="1"/>
    </row>
    <row r="107">
      <c r="H107" s="1"/>
    </row>
    <row r="108">
      <c r="H108" s="1"/>
    </row>
    <row r="109">
      <c r="H109" s="1"/>
    </row>
    <row r="110">
      <c r="H110" s="1"/>
    </row>
    <row r="111">
      <c r="H111" s="1"/>
    </row>
    <row r="112">
      <c r="H112" s="1"/>
    </row>
    <row r="113">
      <c r="H113" s="1"/>
    </row>
    <row r="114">
      <c r="H114" s="1"/>
    </row>
    <row r="115">
      <c r="H115" s="1"/>
    </row>
    <row r="116">
      <c r="H116" s="1"/>
    </row>
    <row r="117">
      <c r="H117" s="1"/>
    </row>
    <row r="118">
      <c r="H118" s="1"/>
    </row>
    <row r="119">
      <c r="H119" s="1"/>
    </row>
    <row r="120">
      <c r="H120" s="1"/>
    </row>
    <row r="121">
      <c r="H121" s="1"/>
    </row>
    <row r="122">
      <c r="H122" s="1"/>
    </row>
    <row r="123">
      <c r="H123" s="1"/>
    </row>
    <row r="124">
      <c r="H124" s="1"/>
    </row>
    <row r="125">
      <c r="H125" s="1"/>
    </row>
    <row r="126">
      <c r="H126" s="1"/>
    </row>
    <row r="127">
      <c r="H127" s="1"/>
    </row>
    <row r="128">
      <c r="H128" s="1"/>
    </row>
    <row r="129">
      <c r="H129" s="1"/>
    </row>
    <row r="130">
      <c r="H130" s="1"/>
    </row>
    <row r="131">
      <c r="H131" s="1"/>
    </row>
    <row r="132">
      <c r="H132" s="1"/>
    </row>
    <row r="133">
      <c r="H133" s="1"/>
    </row>
    <row r="134">
      <c r="H134" s="1"/>
    </row>
    <row r="135">
      <c r="H135" s="1"/>
    </row>
    <row r="136">
      <c r="H136" s="1"/>
    </row>
    <row r="137">
      <c r="H137" s="1"/>
    </row>
    <row r="138">
      <c r="H138" s="1"/>
    </row>
    <row r="139">
      <c r="H139" s="1"/>
    </row>
    <row r="140">
      <c r="H140" s="1"/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dimension ref="B2:I231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4" customWidth="1"/>
    <col min="3" max="8" width="14" customWidth="1"/>
  </cols>
  <sheetData>
    <row r="2">
      <c r="B2" s="2" t="s">
        <v>0</v>
      </c>
      <c r="C2" s="2"/>
      <c r="D2" s="2"/>
      <c r="E2" s="2"/>
      <c r="F2" s="2"/>
      <c r="G2" s="2"/>
      <c r="H2" s="2"/>
    </row>
    <row r="3">
      <c r="B3" s="2" t="s">
        <v>507</v>
      </c>
      <c r="C3" s="2"/>
      <c r="D3" s="2"/>
      <c r="E3" s="2"/>
      <c r="F3" s="2"/>
      <c r="G3" s="2"/>
      <c r="H3" s="2"/>
    </row>
    <row r="4">
      <c r="B4" s="2" t="s">
        <v>2</v>
      </c>
      <c r="C4" s="2"/>
      <c r="D4" s="2"/>
      <c r="E4" s="2"/>
      <c r="F4" s="2"/>
      <c r="G4" s="2"/>
      <c r="H4" s="2"/>
    </row>
    <row r="5">
      <c r="B5" s="11"/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</row>
    <row r="6">
      <c r="B6" s="11"/>
      <c r="C6" s="6">
        <v>45900</v>
      </c>
      <c r="D6" s="6">
        <v>45991</v>
      </c>
      <c r="E6" s="6">
        <v>46081</v>
      </c>
      <c r="F6" s="6">
        <v>46081</v>
      </c>
      <c r="G6" s="6">
        <v>46173</v>
      </c>
      <c r="H6" s="6">
        <v>46265</v>
      </c>
    </row>
    <row r="7">
      <c r="B7" s="11"/>
      <c r="C7" s="11">
        <v>92</v>
      </c>
      <c r="D7" s="11">
        <v>91</v>
      </c>
      <c r="E7" s="11">
        <v>90</v>
      </c>
      <c r="F7" s="11">
        <v>365</v>
      </c>
      <c r="G7" s="11">
        <v>92</v>
      </c>
      <c r="H7" s="11">
        <v>92</v>
      </c>
    </row>
    <row r="8">
      <c r="B8" s="2"/>
      <c r="C8" s="2"/>
      <c r="D8" s="2"/>
      <c r="E8" s="2"/>
      <c r="F8" s="2"/>
      <c r="G8" s="2"/>
      <c r="H8" s="4"/>
    </row>
    <row r="9">
      <c r="B9" s="3"/>
      <c r="C9" s="2"/>
      <c r="D9" s="2"/>
      <c r="E9" s="2"/>
      <c r="F9" s="2"/>
      <c r="G9" s="2"/>
      <c r="H9" s="4"/>
      <c r="I9" s="2"/>
    </row>
    <row r="10">
      <c r="B10" s="3" t="s">
        <v>508</v>
      </c>
      <c r="C10" s="28">
        <v>5270.7</v>
      </c>
      <c r="D10" s="28">
        <v>4548.2</v>
      </c>
      <c r="E10" s="28">
        <v>4780</v>
      </c>
      <c r="F10" s="28">
        <v>20702.4</v>
      </c>
      <c r="G10" s="28">
        <v>6391.3</v>
      </c>
      <c r="H10" s="14"/>
      <c r="I10" s="2"/>
    </row>
    <row r="11">
      <c r="B11" s="3" t="s">
        <v>509</v>
      </c>
      <c r="C11" s="28">
        <v>1149.6</v>
      </c>
      <c r="D11" s="28">
        <v>1095.1</v>
      </c>
      <c r="E11" s="28">
        <v>1007.1</v>
      </c>
      <c r="F11" s="28">
        <v>4504.6</v>
      </c>
      <c r="G11" s="28">
        <v>1427.6</v>
      </c>
      <c r="H11" s="14"/>
      <c r="I11" s="2"/>
    </row>
    <row r="12">
      <c r="B12" s="3" t="s">
        <v>510</v>
      </c>
      <c r="C12" s="28">
        <v>115.1</v>
      </c>
      <c r="D12" s="28">
        <v>96.6</v>
      </c>
      <c r="E12" s="28">
        <v>105.3</v>
      </c>
      <c r="F12" s="28">
        <v>448.7</v>
      </c>
      <c r="G12" s="28">
        <v>133.5</v>
      </c>
      <c r="H12" s="14">
        <f>H109*H16/1000000</f>
        <v>114.99999999999999</v>
      </c>
      <c r="I12" s="2"/>
    </row>
    <row r="13">
      <c r="B13" s="3" t="s">
        <v>511</v>
      </c>
      <c r="C13" s="28">
        <v>-0.8</v>
      </c>
      <c r="D13" s="28">
        <v>-3</v>
      </c>
      <c r="E13" s="28">
        <v>-4.1</v>
      </c>
      <c r="F13" s="28">
        <v>-8.7</v>
      </c>
      <c r="G13" s="28">
        <v>-4.5</v>
      </c>
      <c r="H13" s="14">
        <f>H180*H16/1000000</f>
        <v>-2</v>
      </c>
      <c r="I13" s="2"/>
    </row>
    <row r="14">
      <c r="B14" s="3" t="s">
        <v>512</v>
      </c>
      <c r="C14" s="28">
        <v>37.9</v>
      </c>
      <c r="D14" s="28">
        <v>35.1</v>
      </c>
      <c r="E14" s="28">
        <v>34.9</v>
      </c>
      <c r="F14" s="28">
        <v>144.5</v>
      </c>
      <c r="G14" s="28">
        <v>36.7</v>
      </c>
      <c r="H14" s="14">
        <f>H181*(H16+H17)/1000000</f>
        <v>36</v>
      </c>
      <c r="I14" s="2"/>
    </row>
    <row r="15">
      <c r="B15" s="3" t="s">
        <v>513</v>
      </c>
      <c r="C15" s="28">
        <v>22.2</v>
      </c>
      <c r="D15" s="28">
        <v>21.9</v>
      </c>
      <c r="E15" s="28">
        <v>22.7</v>
      </c>
      <c r="F15" s="28">
        <v>89.7</v>
      </c>
      <c r="G15" s="28">
        <v>28.9</v>
      </c>
      <c r="H15" s="14">
        <f>H182*H16/1000000</f>
        <v>23</v>
      </c>
      <c r="I15" s="2"/>
    </row>
    <row r="16">
      <c r="B16" s="3" t="s">
        <v>514</v>
      </c>
      <c r="C16" s="28">
        <v>199729</v>
      </c>
      <c r="D16" s="28">
        <v>169557</v>
      </c>
      <c r="E16" s="28">
        <v>181188</v>
      </c>
      <c r="F16" s="28">
        <v>780684</v>
      </c>
      <c r="G16" s="28">
        <v>230293</v>
      </c>
      <c r="H16" s="34">
        <v>199500</v>
      </c>
      <c r="I16" s="2"/>
    </row>
    <row r="17">
      <c r="B17" s="3" t="s">
        <v>515</v>
      </c>
      <c r="C17" s="28">
        <v>138302</v>
      </c>
      <c r="D17" s="28">
        <v>127603</v>
      </c>
      <c r="E17" s="28">
        <v>122781</v>
      </c>
      <c r="F17" s="28">
        <v>538203</v>
      </c>
      <c r="G17" s="28">
        <v>162064</v>
      </c>
      <c r="H17" s="34">
        <v>138500</v>
      </c>
      <c r="I17" s="2"/>
    </row>
    <row r="18">
      <c r="B18" s="3" t="s">
        <v>516</v>
      </c>
      <c r="C18" s="28">
        <v>25993</v>
      </c>
      <c r="D18" s="28">
        <v>26383</v>
      </c>
      <c r="E18" s="28">
        <v>26019</v>
      </c>
      <c r="F18" s="28">
        <v>26121</v>
      </c>
      <c r="G18" s="28">
        <v>27288</v>
      </c>
      <c r="H18" s="34">
        <v>27000</v>
      </c>
      <c r="I18" s="2"/>
    </row>
    <row r="19">
      <c r="B19" s="3" t="s">
        <v>517</v>
      </c>
      <c r="C19" s="28">
        <v>7891</v>
      </c>
      <c r="D19" s="28">
        <v>8137</v>
      </c>
      <c r="E19" s="28">
        <v>7776</v>
      </c>
      <c r="F19" s="28">
        <v>7942</v>
      </c>
      <c r="G19" s="28">
        <v>8364</v>
      </c>
      <c r="H19" s="34">
        <v>8000</v>
      </c>
      <c r="I19" s="2"/>
    </row>
    <row r="20">
      <c r="B20" s="3" t="s">
        <v>518</v>
      </c>
      <c r="C20" s="28">
        <v>442.6</v>
      </c>
      <c r="D20" s="28">
        <v>378.9</v>
      </c>
      <c r="E20" s="28">
        <v>383.2</v>
      </c>
      <c r="F20" s="28">
        <v>1759</v>
      </c>
      <c r="G20" s="28">
        <v>501.4</v>
      </c>
      <c r="H20" s="34"/>
      <c r="I20" s="2"/>
    </row>
    <row r="21">
      <c r="B21" s="3" t="s">
        <v>519</v>
      </c>
      <c r="C21" s="28">
        <v>137.3</v>
      </c>
      <c r="D21" s="28">
        <v>114.8</v>
      </c>
      <c r="E21" s="28">
        <v>115.4</v>
      </c>
      <c r="F21" s="28">
        <v>524.1</v>
      </c>
      <c r="G21" s="28">
        <v>169.5</v>
      </c>
      <c r="H21" s="34"/>
      <c r="I21" s="2"/>
    </row>
    <row r="22">
      <c r="B22" s="3" t="s">
        <v>520</v>
      </c>
      <c r="C22" s="28">
        <v>137.8</v>
      </c>
      <c r="D22" s="28">
        <v>96.3</v>
      </c>
      <c r="E22" s="28">
        <v>106.7</v>
      </c>
      <c r="F22" s="28">
        <v>523.5</v>
      </c>
      <c r="G22" s="28">
        <v>183.5</v>
      </c>
      <c r="H22" s="34">
        <v>145</v>
      </c>
      <c r="I22" s="2"/>
    </row>
    <row r="23">
      <c r="B23" s="3" t="s">
        <v>521</v>
      </c>
      <c r="C23" s="28">
        <v>323.4</v>
      </c>
      <c r="D23" s="28">
        <v>307.3</v>
      </c>
      <c r="E23" s="28">
        <v>312.7</v>
      </c>
      <c r="F23" s="28">
        <v>1292.4</v>
      </c>
      <c r="G23" s="28">
        <v>329.6</v>
      </c>
      <c r="H23" s="34">
        <v>315</v>
      </c>
      <c r="I23" s="2"/>
    </row>
    <row r="24">
      <c r="B24" s="3" t="s">
        <v>522</v>
      </c>
      <c r="C24" s="28">
        <v>22.4</v>
      </c>
      <c r="D24" s="28">
        <v>14.7</v>
      </c>
      <c r="E24" s="28">
        <v>10.7</v>
      </c>
      <c r="F24" s="28">
        <v>93.4</v>
      </c>
      <c r="G24" s="28">
        <v>39.7</v>
      </c>
      <c r="H24" s="34">
        <v>22</v>
      </c>
      <c r="I24" s="2"/>
    </row>
    <row r="25">
      <c r="B25" s="3" t="s">
        <v>523</v>
      </c>
      <c r="C25" s="28">
        <v>74.1</v>
      </c>
      <c r="D25" s="28">
        <v>68.6</v>
      </c>
      <c r="E25" s="28">
        <v>93.8</v>
      </c>
      <c r="F25" s="28">
        <v>305.5</v>
      </c>
      <c r="G25" s="28">
        <v>66.8</v>
      </c>
      <c r="H25" s="34">
        <v>72</v>
      </c>
      <c r="I25" s="2"/>
    </row>
    <row r="26">
      <c r="B26" s="3" t="s">
        <v>524</v>
      </c>
      <c r="C26" s="28">
        <v>63.7</v>
      </c>
      <c r="D26" s="28">
        <v>73.4</v>
      </c>
      <c r="E26" s="28">
        <v>77.9</v>
      </c>
      <c r="F26" s="28">
        <v>283</v>
      </c>
      <c r="G26" s="28">
        <v>75.9</v>
      </c>
      <c r="H26" s="34">
        <v>72</v>
      </c>
      <c r="I26" s="2"/>
    </row>
    <row r="27">
      <c r="B27" s="3" t="s">
        <v>525</v>
      </c>
      <c r="C27" s="28">
        <v>117.5</v>
      </c>
      <c r="D27" s="28">
        <v>117.4</v>
      </c>
      <c r="E27" s="28">
        <v>116.2</v>
      </c>
      <c r="F27" s="28">
        <v>479.1</v>
      </c>
      <c r="G27" s="28">
        <v>123.2</v>
      </c>
      <c r="H27" s="34">
        <v>116</v>
      </c>
      <c r="I27" s="2"/>
    </row>
    <row r="28">
      <c r="B28" s="3" t="s">
        <v>526</v>
      </c>
      <c r="C28" s="28">
        <v>489.8</v>
      </c>
      <c r="D28" s="28">
        <v>448</v>
      </c>
      <c r="E28" s="28">
        <v>441</v>
      </c>
      <c r="F28" s="28">
        <v>1864.2</v>
      </c>
      <c r="G28" s="28">
        <v>460.9</v>
      </c>
      <c r="H28" s="34">
        <v>457</v>
      </c>
      <c r="I28" s="2"/>
    </row>
    <row r="29">
      <c r="B29" s="3" t="s">
        <v>527</v>
      </c>
      <c r="C29" s="28">
        <v>-199.2</v>
      </c>
      <c r="D29" s="28">
        <v>-188.3</v>
      </c>
      <c r="E29" s="28">
        <v>-184.2</v>
      </c>
      <c r="F29" s="28">
        <v>-769.2</v>
      </c>
      <c r="G29" s="28">
        <v>-184.2</v>
      </c>
      <c r="H29" s="34">
        <v>-190</v>
      </c>
      <c r="I29" s="2"/>
    </row>
    <row r="30">
      <c r="B30" s="3" t="s">
        <v>528</v>
      </c>
      <c r="C30" s="28">
        <v>-142.2</v>
      </c>
      <c r="D30" s="28">
        <v>-73.4</v>
      </c>
      <c r="E30" s="28">
        <v>-73.9</v>
      </c>
      <c r="F30" s="28">
        <v>-391.2</v>
      </c>
      <c r="G30" s="28">
        <v>-95.6</v>
      </c>
      <c r="H30" s="34">
        <v>-120</v>
      </c>
      <c r="I30" s="2"/>
    </row>
    <row r="31">
      <c r="B31" s="3" t="s">
        <v>529</v>
      </c>
      <c r="C31" s="28">
        <v>0</v>
      </c>
      <c r="D31" s="28">
        <v>5</v>
      </c>
      <c r="E31" s="28">
        <v>4.7</v>
      </c>
      <c r="F31" s="28">
        <v>9.7</v>
      </c>
      <c r="G31" s="28">
        <v>4.2</v>
      </c>
      <c r="H31" s="34">
        <v>5</v>
      </c>
      <c r="I31" s="2"/>
    </row>
    <row r="32">
      <c r="B32" s="3" t="s">
        <v>530</v>
      </c>
      <c r="C32" s="28">
        <v>-45.8</v>
      </c>
      <c r="D32" s="28">
        <v>-43.6</v>
      </c>
      <c r="E32" s="28">
        <v>-44</v>
      </c>
      <c r="F32" s="28">
        <v>-177.9</v>
      </c>
      <c r="G32" s="28">
        <v>-45.1</v>
      </c>
      <c r="H32" s="34">
        <v>-46</v>
      </c>
      <c r="I32" s="2"/>
    </row>
    <row r="33">
      <c r="B33" s="3" t="s">
        <v>531</v>
      </c>
      <c r="C33" s="28">
        <v>0</v>
      </c>
      <c r="D33" s="28">
        <v>27</v>
      </c>
      <c r="E33" s="28">
        <v>-0.1</v>
      </c>
      <c r="F33" s="28">
        <v>26.9</v>
      </c>
      <c r="G33" s="28">
        <v>0</v>
      </c>
      <c r="H33" s="34">
        <v>0</v>
      </c>
      <c r="I33" s="2"/>
    </row>
    <row r="34">
      <c r="B34" s="3" t="s">
        <v>532</v>
      </c>
      <c r="C34" s="28">
        <v>0</v>
      </c>
      <c r="D34" s="28">
        <v>0</v>
      </c>
      <c r="E34" s="28">
        <v>0.2</v>
      </c>
      <c r="F34" s="28">
        <v>0.2</v>
      </c>
      <c r="G34" s="28">
        <v>0</v>
      </c>
      <c r="H34" s="34">
        <v>0</v>
      </c>
      <c r="I34" s="2"/>
    </row>
    <row r="35">
      <c r="B35" s="3" t="s">
        <v>533</v>
      </c>
      <c r="C35" s="28">
        <v>17734.5</v>
      </c>
      <c r="D35" s="28">
        <v>16805.2</v>
      </c>
      <c r="E35" s="28">
        <v>16403.5</v>
      </c>
      <c r="F35" s="28">
        <v>17165.8</v>
      </c>
      <c r="G35" s="28">
        <v>16533.7</v>
      </c>
      <c r="H35" s="14"/>
      <c r="I35" s="2"/>
    </row>
    <row r="36">
      <c r="B36" s="3" t="s">
        <v>534</v>
      </c>
      <c r="C36" s="28">
        <v>2039.6</v>
      </c>
      <c r="D36" s="28">
        <v>1761.4</v>
      </c>
      <c r="E36" s="28">
        <v>1858.1</v>
      </c>
      <c r="F36" s="28">
        <v>7992.7</v>
      </c>
      <c r="G36" s="28">
        <v>2445.1</v>
      </c>
      <c r="H36" s="14"/>
      <c r="I36" s="2"/>
    </row>
    <row r="37">
      <c r="B37" s="3" t="s">
        <v>535</v>
      </c>
      <c r="C37" s="28">
        <v>42.6</v>
      </c>
      <c r="D37" s="28">
        <v>42.6</v>
      </c>
      <c r="E37" s="28">
        <v>42.8</v>
      </c>
      <c r="F37" s="28">
        <v>42.4</v>
      </c>
      <c r="G37" s="28">
        <v>43.3</v>
      </c>
      <c r="H37" s="14"/>
      <c r="I37" s="2"/>
    </row>
    <row r="38">
      <c r="B38" s="3" t="s">
        <v>536</v>
      </c>
      <c r="C38" s="28">
        <v>11.2</v>
      </c>
      <c r="D38" s="28">
        <v>11</v>
      </c>
      <c r="E38" s="28">
        <v>11.1</v>
      </c>
      <c r="F38" s="28">
        <v>11.2</v>
      </c>
      <c r="G38" s="28">
        <v>11.3</v>
      </c>
      <c r="H38" s="14"/>
      <c r="I38" s="2"/>
    </row>
    <row r="39">
      <c r="B39" s="3" t="s">
        <v>537</v>
      </c>
      <c r="C39" s="28">
        <v>507.3</v>
      </c>
      <c r="D39" s="28">
        <v>474.8</v>
      </c>
      <c r="E39" s="28">
        <v>453</v>
      </c>
      <c r="F39" s="28">
        <v>453</v>
      </c>
      <c r="G39" s="28">
        <v>475</v>
      </c>
      <c r="H39" s="14"/>
      <c r="I39" s="2"/>
    </row>
    <row r="40">
      <c r="B40" s="3" t="s">
        <v>538</v>
      </c>
      <c r="C40" s="28">
        <v>-6.3</v>
      </c>
      <c r="D40" s="28">
        <v>-9</v>
      </c>
      <c r="E40" s="28">
        <v>-1.9</v>
      </c>
      <c r="F40" s="28">
        <v>-2</v>
      </c>
      <c r="G40" s="28">
        <v>-0.8</v>
      </c>
      <c r="H40" s="14"/>
      <c r="I40" s="2"/>
    </row>
    <row r="41">
      <c r="B41" s="3" t="s">
        <v>539</v>
      </c>
      <c r="C41" s="28">
        <v>95.378</v>
      </c>
      <c r="D41" s="28">
        <v>62.215</v>
      </c>
      <c r="E41" s="28">
        <v>-120.684</v>
      </c>
      <c r="F41" s="28">
        <v>247.29</v>
      </c>
      <c r="G41" s="28">
        <v>185.627</v>
      </c>
      <c r="H41" s="14"/>
      <c r="I41" s="2"/>
    </row>
    <row r="42">
      <c r="B42" s="3" t="s">
        <v>540</v>
      </c>
      <c r="C42" s="28">
        <v>149.291</v>
      </c>
      <c r="D42" s="28">
        <v>145.548</v>
      </c>
      <c r="E42" s="28">
        <v>141.923</v>
      </c>
      <c r="F42" s="28">
        <v>147.258</v>
      </c>
      <c r="G42" s="28">
        <v>141.847</v>
      </c>
      <c r="H42" s="34">
        <v>141.85</v>
      </c>
      <c r="I42" s="2"/>
    </row>
    <row r="43">
      <c r="B43" s="3" t="s">
        <v>541</v>
      </c>
      <c r="C43" s="28">
        <v>149.637</v>
      </c>
      <c r="D43" s="28">
        <v>145.864</v>
      </c>
      <c r="E43" s="28">
        <v>141.923</v>
      </c>
      <c r="F43" s="28">
        <v>147.613</v>
      </c>
      <c r="G43" s="28">
        <v>142.148</v>
      </c>
      <c r="H43" s="34">
        <v>142.1</v>
      </c>
      <c r="I43" s="2"/>
    </row>
    <row r="44">
      <c r="B44" s="3" t="s">
        <v>542</v>
      </c>
      <c r="C44" s="28">
        <v>601.093</v>
      </c>
      <c r="D44" s="28">
        <v>581.4</v>
      </c>
      <c r="E44" s="28">
        <v>611.308</v>
      </c>
      <c r="F44" s="28">
        <v>2453.4</v>
      </c>
      <c r="G44" s="28">
        <v>635.1750000000001</v>
      </c>
      <c r="H44" s="14"/>
      <c r="I44" s="2"/>
    </row>
    <row r="45">
      <c r="B45" s="3" t="s">
        <v>543</v>
      </c>
      <c r="C45" s="28">
        <v>67.285</v>
      </c>
      <c r="D45" s="28">
        <v>68.943</v>
      </c>
      <c r="E45" s="28">
        <v>71.783</v>
      </c>
      <c r="F45" s="28">
        <v>273.75</v>
      </c>
      <c r="G45" s="28">
        <v>69.21300000000001</v>
      </c>
      <c r="H45" s="34">
        <v>69</v>
      </c>
      <c r="I45" s="2"/>
    </row>
    <row r="46">
      <c r="B46" s="3" t="s">
        <v>544</v>
      </c>
      <c r="C46" s="28">
        <v>28.453</v>
      </c>
      <c r="D46" s="28">
        <v>26.12</v>
      </c>
      <c r="E46" s="28">
        <v>28.751</v>
      </c>
      <c r="F46" s="28">
        <v>110.4</v>
      </c>
      <c r="G46" s="28">
        <v>33.811</v>
      </c>
      <c r="H46" s="34">
        <v>32</v>
      </c>
      <c r="I46" s="2"/>
    </row>
    <row r="47">
      <c r="B47" s="3" t="s">
        <v>545</v>
      </c>
      <c r="C47" s="28">
        <v>31.719</v>
      </c>
      <c r="D47" s="28">
        <v>21.672</v>
      </c>
      <c r="E47" s="28">
        <v>10.003</v>
      </c>
      <c r="F47" s="28">
        <v>136.143</v>
      </c>
      <c r="G47" s="28">
        <v>72.93</v>
      </c>
      <c r="H47" s="14"/>
      <c r="I47" s="2"/>
    </row>
    <row r="48">
      <c r="B48" s="3" t="s">
        <v>546</v>
      </c>
      <c r="C48" s="28">
        <v>540.374</v>
      </c>
      <c r="D48" s="28">
        <v>204.938</v>
      </c>
      <c r="E48" s="28">
        <v>122.826</v>
      </c>
      <c r="F48" s="28">
        <v>122.826</v>
      </c>
      <c r="G48" s="28">
        <v>132.223</v>
      </c>
      <c r="H48" s="14"/>
      <c r="I48" s="2"/>
    </row>
    <row r="49">
      <c r="B49" s="3" t="s">
        <v>547</v>
      </c>
      <c r="C49" s="28">
        <v>618.792</v>
      </c>
      <c r="D49" s="28">
        <v>567.398</v>
      </c>
      <c r="E49" s="28">
        <v>592.033</v>
      </c>
      <c r="F49" s="28">
        <v>592.033</v>
      </c>
      <c r="G49" s="28">
        <v>595.1030000000001</v>
      </c>
      <c r="H49" s="14"/>
      <c r="I49" s="2"/>
    </row>
    <row r="50">
      <c r="B50" s="3" t="s">
        <v>548</v>
      </c>
      <c r="C50" s="28">
        <v>173.556</v>
      </c>
      <c r="D50" s="28">
        <v>151.102</v>
      </c>
      <c r="E50" s="28">
        <v>204.453</v>
      </c>
      <c r="F50" s="28">
        <v>204.453</v>
      </c>
      <c r="G50" s="28">
        <v>263.919</v>
      </c>
      <c r="H50" s="14"/>
      <c r="I50" s="2"/>
    </row>
    <row r="51">
      <c r="B51" s="3" t="s">
        <v>549</v>
      </c>
      <c r="C51" s="28">
        <v>921.928</v>
      </c>
      <c r="D51" s="28">
        <v>0</v>
      </c>
      <c r="E51" s="28">
        <v>100.491</v>
      </c>
      <c r="F51" s="28">
        <v>100.491</v>
      </c>
      <c r="G51" s="28">
        <v>618.979</v>
      </c>
      <c r="H51" s="14"/>
      <c r="I51" s="2"/>
    </row>
    <row r="52">
      <c r="B52" s="3" t="s">
        <v>550</v>
      </c>
      <c r="C52" s="28">
        <v>3149.57</v>
      </c>
      <c r="D52" s="28">
        <v>3127.948</v>
      </c>
      <c r="E52" s="28">
        <v>4137.005</v>
      </c>
      <c r="F52" s="28">
        <v>4137.005</v>
      </c>
      <c r="G52" s="28">
        <v>4062.765</v>
      </c>
      <c r="H52" s="14"/>
      <c r="I52" s="2"/>
    </row>
    <row r="53">
      <c r="B53" s="3" t="s">
        <v>551</v>
      </c>
      <c r="C53" s="28">
        <v>137.798</v>
      </c>
      <c r="D53" s="28">
        <v>146.81900000000002</v>
      </c>
      <c r="E53" s="28">
        <v>153.594</v>
      </c>
      <c r="F53" s="28">
        <v>153.594</v>
      </c>
      <c r="G53" s="28">
        <v>161.34</v>
      </c>
      <c r="H53" s="14"/>
      <c r="I53" s="2"/>
    </row>
    <row r="54">
      <c r="B54" s="3" t="s">
        <v>552</v>
      </c>
      <c r="C54" s="28">
        <v>16386.236</v>
      </c>
      <c r="D54" s="28">
        <v>16151.162</v>
      </c>
      <c r="E54" s="28">
        <v>15952.291</v>
      </c>
      <c r="F54" s="28">
        <v>15952.291</v>
      </c>
      <c r="G54" s="28">
        <v>15689.952</v>
      </c>
      <c r="H54" s="14"/>
      <c r="I54" s="2"/>
    </row>
    <row r="55">
      <c r="B55" s="3" t="s">
        <v>553</v>
      </c>
      <c r="C55" s="28">
        <v>3969.003</v>
      </c>
      <c r="D55" s="28">
        <v>4023.465</v>
      </c>
      <c r="E55" s="28">
        <v>4070.293</v>
      </c>
      <c r="F55" s="28">
        <v>4070.293</v>
      </c>
      <c r="G55" s="28">
        <v>4079.993</v>
      </c>
      <c r="H55" s="14"/>
      <c r="I55" s="2"/>
    </row>
    <row r="56">
      <c r="B56" s="3" t="s">
        <v>554</v>
      </c>
      <c r="C56" s="28">
        <v>105.729</v>
      </c>
      <c r="D56" s="28">
        <v>73.45100000000001</v>
      </c>
      <c r="E56" s="28">
        <v>78.479</v>
      </c>
      <c r="F56" s="28">
        <v>78.479</v>
      </c>
      <c r="G56" s="28">
        <v>72.917</v>
      </c>
      <c r="H56" s="14"/>
      <c r="I56" s="2"/>
    </row>
    <row r="57">
      <c r="B57" s="3" t="s">
        <v>555</v>
      </c>
      <c r="C57" s="28">
        <v>476.367</v>
      </c>
      <c r="D57" s="28">
        <v>475.078</v>
      </c>
      <c r="E57" s="28">
        <v>459.514</v>
      </c>
      <c r="F57" s="28">
        <v>459.514</v>
      </c>
      <c r="G57" s="28">
        <v>451.441</v>
      </c>
      <c r="H57" s="14"/>
      <c r="I57" s="2"/>
    </row>
    <row r="58">
      <c r="B58" s="3" t="s">
        <v>556</v>
      </c>
      <c r="C58" s="28">
        <v>141.258</v>
      </c>
      <c r="D58" s="28">
        <v>141.258</v>
      </c>
      <c r="E58" s="28">
        <v>0</v>
      </c>
      <c r="F58" s="28">
        <v>0</v>
      </c>
      <c r="G58" s="28">
        <v>0</v>
      </c>
      <c r="H58" s="14"/>
      <c r="I58" s="2"/>
    </row>
    <row r="59">
      <c r="B59" s="3" t="s">
        <v>557</v>
      </c>
      <c r="C59" s="28">
        <v>459.033</v>
      </c>
      <c r="D59" s="28">
        <v>499.736</v>
      </c>
      <c r="E59" s="28">
        <v>496.924</v>
      </c>
      <c r="F59" s="28">
        <v>496.924</v>
      </c>
      <c r="G59" s="28">
        <v>498.266</v>
      </c>
      <c r="H59" s="14"/>
      <c r="I59" s="2"/>
    </row>
    <row r="60">
      <c r="B60" s="3" t="s">
        <v>558</v>
      </c>
      <c r="C60" s="28">
        <v>20879.122</v>
      </c>
      <c r="D60" s="28">
        <v>19497.821</v>
      </c>
      <c r="E60" s="28">
        <v>20479.047</v>
      </c>
      <c r="F60" s="28">
        <v>20479.047</v>
      </c>
      <c r="G60" s="28">
        <v>20508.313</v>
      </c>
      <c r="H60" s="14"/>
      <c r="I60" s="2"/>
    </row>
    <row r="61">
      <c r="B61" s="3" t="s">
        <v>559</v>
      </c>
      <c r="C61" s="28">
        <v>6200.522</v>
      </c>
      <c r="D61" s="28">
        <v>6064.534000000001</v>
      </c>
      <c r="E61" s="28">
        <v>5888.856</v>
      </c>
      <c r="F61" s="28">
        <v>5888.856</v>
      </c>
      <c r="G61" s="28">
        <v>6118.585</v>
      </c>
      <c r="H61" s="14"/>
      <c r="I61" s="2"/>
    </row>
    <row r="62">
      <c r="B62" s="3" t="s">
        <v>560</v>
      </c>
      <c r="C62" s="28">
        <v>146.009</v>
      </c>
      <c r="D62" s="28">
        <v>140.467</v>
      </c>
      <c r="E62" s="28">
        <v>147.991</v>
      </c>
      <c r="F62" s="28">
        <v>147.991</v>
      </c>
      <c r="G62" s="28">
        <v>144.008</v>
      </c>
      <c r="H62" s="14"/>
      <c r="I62" s="2"/>
    </row>
    <row r="63">
      <c r="B63" s="3" t="s">
        <v>561</v>
      </c>
      <c r="C63" s="28">
        <v>785.494</v>
      </c>
      <c r="D63" s="28">
        <v>1253.077</v>
      </c>
      <c r="E63" s="28">
        <v>-554.267</v>
      </c>
      <c r="F63" s="28">
        <v>1783.847</v>
      </c>
      <c r="G63" s="28">
        <v>17.589</v>
      </c>
      <c r="H63" s="14"/>
      <c r="I63" s="2"/>
    </row>
    <row r="64">
      <c r="B64" s="3" t="s">
        <v>562</v>
      </c>
      <c r="C64" s="28">
        <v>-131.277</v>
      </c>
      <c r="D64" s="28">
        <v>-138.811</v>
      </c>
      <c r="E64" s="28">
        <v>-128.768</v>
      </c>
      <c r="F64" s="28">
        <v>-540.045</v>
      </c>
      <c r="G64" s="28">
        <v>-99.626</v>
      </c>
      <c r="H64" s="14"/>
      <c r="I64" s="2"/>
    </row>
    <row r="65">
      <c r="B65" s="3" t="s">
        <v>563</v>
      </c>
      <c r="C65" s="28">
        <v>-338.281</v>
      </c>
      <c r="D65" s="28">
        <v>-1506.638</v>
      </c>
      <c r="E65" s="28">
        <v>633.082</v>
      </c>
      <c r="F65" s="28">
        <v>-1341.262</v>
      </c>
      <c r="G65" s="28">
        <v>90.521</v>
      </c>
      <c r="H65" s="14"/>
      <c r="I65" s="2"/>
    </row>
    <row r="66">
      <c r="B66" s="3" t="s">
        <v>564</v>
      </c>
      <c r="C66" s="28">
        <v>989.239</v>
      </c>
      <c r="D66" s="28">
        <v>1305.175</v>
      </c>
      <c r="E66" s="28">
        <v>912.803</v>
      </c>
      <c r="F66" s="28">
        <v>960.31</v>
      </c>
      <c r="G66" s="28">
        <v>862.85</v>
      </c>
      <c r="H66" s="14"/>
      <c r="I66" s="2"/>
    </row>
    <row r="67">
      <c r="B67" s="3" t="s">
        <v>565</v>
      </c>
      <c r="C67" s="28">
        <v>1305.175</v>
      </c>
      <c r="D67" s="28">
        <v>912.803</v>
      </c>
      <c r="E67" s="28">
        <v>862.85</v>
      </c>
      <c r="F67" s="28">
        <v>862.85</v>
      </c>
      <c r="G67" s="28">
        <v>871.334</v>
      </c>
      <c r="H67" s="14"/>
      <c r="I67" s="2"/>
    </row>
    <row r="68">
      <c r="B68" s="3" t="s">
        <v>566</v>
      </c>
      <c r="C68" s="13">
        <f>H118</f>
        <v>6594.68</v>
      </c>
      <c r="D68" s="13">
        <f>H119</f>
        <v>5793.95</v>
      </c>
      <c r="E68" s="13">
        <f>H120</f>
        <v>5945.96</v>
      </c>
      <c r="F68" s="28">
        <v>25881.131</v>
      </c>
      <c r="G68" s="13">
        <f>H121</f>
        <v>8013.52</v>
      </c>
      <c r="H68" s="14"/>
      <c r="I68" s="2"/>
    </row>
    <row r="69">
      <c r="B69" s="3" t="s">
        <v>567</v>
      </c>
      <c r="C69" s="13"/>
      <c r="D69" s="13"/>
      <c r="E69" s="13"/>
      <c r="F69" s="13"/>
      <c r="G69" s="13"/>
      <c r="H69" s="34">
        <v>0</v>
      </c>
      <c r="I69" s="2"/>
    </row>
    <row r="70">
      <c r="B70" s="3" t="s">
        <v>568</v>
      </c>
      <c r="C70" s="13"/>
      <c r="D70" s="13"/>
      <c r="E70" s="13"/>
      <c r="F70" s="13"/>
      <c r="G70" s="13"/>
      <c r="H70" s="34">
        <v>0</v>
      </c>
      <c r="I70" s="2"/>
    </row>
    <row r="71">
      <c r="B71" s="3" t="s">
        <v>569</v>
      </c>
      <c r="C71" s="13"/>
      <c r="D71" s="13"/>
      <c r="E71" s="13"/>
      <c r="F71" s="13"/>
      <c r="G71" s="13"/>
      <c r="H71" s="34">
        <v>0</v>
      </c>
      <c r="I71" s="2"/>
    </row>
    <row r="72">
      <c r="B72" s="3" t="s">
        <v>570</v>
      </c>
      <c r="C72" s="13"/>
      <c r="D72" s="13"/>
      <c r="E72" s="13"/>
      <c r="F72" s="13"/>
      <c r="G72" s="13"/>
      <c r="H72" s="24">
        <f>'Cash Flow Statement'!H12</f>
        <v>-75</v>
      </c>
      <c r="I72" s="2"/>
    </row>
    <row r="73">
      <c r="B73" s="3" t="s">
        <v>571</v>
      </c>
      <c r="C73" s="13"/>
      <c r="D73" s="13"/>
      <c r="E73" s="13"/>
      <c r="F73" s="13"/>
      <c r="G73" s="13"/>
      <c r="H73" s="34">
        <v>-100</v>
      </c>
      <c r="I73" s="2"/>
    </row>
    <row r="74">
      <c r="B74" s="3" t="s">
        <v>572</v>
      </c>
      <c r="C74" s="13"/>
      <c r="D74" s="13"/>
      <c r="E74" s="13"/>
      <c r="F74" s="13"/>
      <c r="G74" s="13"/>
      <c r="H74" s="34">
        <v>-20</v>
      </c>
      <c r="I74" s="2"/>
    </row>
    <row r="75">
      <c r="B75" s="3" t="s">
        <v>573</v>
      </c>
      <c r="C75" s="13"/>
      <c r="D75" s="13"/>
      <c r="E75" s="13"/>
      <c r="F75" s="13"/>
      <c r="G75" s="13"/>
      <c r="H75" s="34">
        <v>2</v>
      </c>
      <c r="I75" s="2"/>
    </row>
    <row r="76">
      <c r="B76" s="22" t="s">
        <v>574</v>
      </c>
      <c r="C76" s="32"/>
      <c r="D76" s="32"/>
      <c r="E76" s="32"/>
      <c r="F76" s="32"/>
      <c r="G76" s="32"/>
      <c r="H76" s="42">
        <v>0.25</v>
      </c>
      <c r="I76" s="2"/>
    </row>
    <row r="77">
      <c r="B77" s="22" t="s">
        <v>575</v>
      </c>
      <c r="C77" s="32"/>
      <c r="D77" s="32"/>
      <c r="E77" s="32"/>
      <c r="F77" s="32"/>
      <c r="G77" s="32"/>
      <c r="H77" s="42">
        <v>0</v>
      </c>
      <c r="I77" s="2"/>
    </row>
    <row r="78">
      <c r="B78" s="22" t="s">
        <v>576</v>
      </c>
      <c r="C78" s="32"/>
      <c r="D78" s="32"/>
      <c r="E78" s="32"/>
      <c r="F78" s="32"/>
      <c r="G78" s="32"/>
      <c r="H78" s="42">
        <v>0</v>
      </c>
      <c r="I78" s="2"/>
    </row>
    <row r="79">
      <c r="B79" s="22" t="s">
        <v>577</v>
      </c>
      <c r="C79" s="32"/>
      <c r="D79" s="32"/>
      <c r="E79" s="32"/>
      <c r="F79" s="32"/>
      <c r="G79" s="32"/>
      <c r="H79" s="42">
        <v>-0.013</v>
      </c>
      <c r="I79" s="2"/>
    </row>
    <row r="80" ht="26.25">
      <c r="B80" s="3" t="s">
        <v>578</v>
      </c>
      <c r="C80" s="28">
        <v>3.624</v>
      </c>
      <c r="D80" s="28">
        <v>-4.468</v>
      </c>
      <c r="E80" s="28">
        <v>-6.532</v>
      </c>
      <c r="F80" s="28">
        <v>-7.067</v>
      </c>
      <c r="G80" s="28">
        <v>2.101</v>
      </c>
      <c r="H80" s="14"/>
      <c r="I80" s="2"/>
    </row>
    <row r="81">
      <c r="B81" s="3" t="s">
        <v>579</v>
      </c>
      <c r="C81" s="28">
        <v>0</v>
      </c>
      <c r="D81" s="28">
        <v>0</v>
      </c>
      <c r="E81" s="28">
        <v>141.258</v>
      </c>
      <c r="F81" s="28">
        <v>141.258</v>
      </c>
      <c r="G81" s="28">
        <v>0</v>
      </c>
      <c r="H81" s="14"/>
      <c r="I81" s="2"/>
    </row>
    <row r="82">
      <c r="B82" s="3" t="s">
        <v>580</v>
      </c>
      <c r="C82" s="28">
        <v>127.097</v>
      </c>
      <c r="D82" s="28">
        <v>83.887</v>
      </c>
      <c r="E82" s="28">
        <v>-110.681</v>
      </c>
      <c r="F82" s="28">
        <v>383.433</v>
      </c>
      <c r="G82" s="28">
        <v>258.557</v>
      </c>
      <c r="H82" s="14"/>
      <c r="I82" s="2"/>
    </row>
    <row r="83">
      <c r="B83" s="3"/>
      <c r="C83" s="28">
        <v>0</v>
      </c>
      <c r="D83" s="28">
        <v>0</v>
      </c>
      <c r="E83" s="28">
        <v>0.99</v>
      </c>
      <c r="F83" s="28">
        <v>0.96</v>
      </c>
      <c r="G83" s="28">
        <v>0</v>
      </c>
      <c r="H83" s="14"/>
      <c r="I83" s="2"/>
    </row>
    <row r="84">
      <c r="B84" s="3"/>
      <c r="C84" s="28">
        <v>0</v>
      </c>
      <c r="D84" s="28">
        <v>0.08</v>
      </c>
      <c r="E84" s="28">
        <v>0.26</v>
      </c>
      <c r="F84" s="28">
        <v>0.35</v>
      </c>
      <c r="G84" s="28">
        <v>0</v>
      </c>
      <c r="H84" s="14"/>
      <c r="I84" s="2"/>
    </row>
    <row r="85">
      <c r="B85" s="3"/>
      <c r="C85" s="28">
        <v>0</v>
      </c>
      <c r="D85" s="28">
        <v>0</v>
      </c>
      <c r="E85" s="28">
        <v>-0.06</v>
      </c>
      <c r="F85" s="28">
        <v>-0.08</v>
      </c>
      <c r="G85" s="28">
        <v>0</v>
      </c>
      <c r="H85" s="14"/>
      <c r="I85" s="2"/>
    </row>
    <row r="86">
      <c r="B86" s="3" t="s">
        <v>581</v>
      </c>
      <c r="C86" s="28">
        <v>913.35</v>
      </c>
      <c r="D86" s="28">
        <v>887.496</v>
      </c>
      <c r="E86" s="28">
        <v>1117.976</v>
      </c>
      <c r="F86" s="28">
        <v>1117.976</v>
      </c>
      <c r="G86" s="28">
        <v>1056.719</v>
      </c>
      <c r="H86" s="14"/>
      <c r="I86" s="2"/>
    </row>
    <row r="87">
      <c r="B87" s="3" t="s">
        <v>582</v>
      </c>
      <c r="C87" s="28">
        <v>477.994</v>
      </c>
      <c r="D87" s="28">
        <v>418.021</v>
      </c>
      <c r="E87" s="28">
        <v>475.495</v>
      </c>
      <c r="F87" s="28">
        <v>475.495</v>
      </c>
      <c r="G87" s="28">
        <v>417.841</v>
      </c>
      <c r="H87" s="14"/>
      <c r="I87" s="2"/>
    </row>
    <row r="88">
      <c r="B88" s="3" t="s">
        <v>583</v>
      </c>
      <c r="C88" s="28">
        <v>4.871</v>
      </c>
      <c r="D88" s="28">
        <v>4.079</v>
      </c>
      <c r="E88" s="28">
        <v>2.019</v>
      </c>
      <c r="F88" s="28">
        <v>2.019</v>
      </c>
      <c r="G88" s="28">
        <v>54.191</v>
      </c>
      <c r="H88" s="14"/>
      <c r="I88" s="2"/>
    </row>
    <row r="89">
      <c r="B89" s="3" t="s">
        <v>584</v>
      </c>
      <c r="C89" s="28">
        <v>57.948</v>
      </c>
      <c r="D89" s="28">
        <v>57.173</v>
      </c>
      <c r="E89" s="28">
        <v>57.341</v>
      </c>
      <c r="F89" s="28">
        <v>57.341</v>
      </c>
      <c r="G89" s="28">
        <v>56.988</v>
      </c>
      <c r="H89" s="14"/>
      <c r="I89" s="2"/>
    </row>
    <row r="90">
      <c r="B90" s="3" t="s">
        <v>585</v>
      </c>
      <c r="C90" s="28">
        <v>216.855</v>
      </c>
      <c r="D90" s="28">
        <v>216.901</v>
      </c>
      <c r="E90" s="28">
        <v>217.323</v>
      </c>
      <c r="F90" s="28">
        <v>217.323</v>
      </c>
      <c r="G90" s="28">
        <v>17.234</v>
      </c>
      <c r="H90" s="14"/>
      <c r="I90" s="2"/>
    </row>
    <row r="91">
      <c r="B91" s="3" t="s">
        <v>586</v>
      </c>
      <c r="C91" s="28">
        <v>581.018</v>
      </c>
      <c r="D91" s="28">
        <v>522.571</v>
      </c>
      <c r="E91" s="28">
        <v>544.651</v>
      </c>
      <c r="F91" s="28">
        <v>544.651</v>
      </c>
      <c r="G91" s="28">
        <v>554.081</v>
      </c>
      <c r="H91" s="14"/>
      <c r="I91" s="2"/>
    </row>
    <row r="92">
      <c r="B92" s="3" t="s">
        <v>587</v>
      </c>
      <c r="C92" s="28">
        <v>1369.764</v>
      </c>
      <c r="D92" s="28">
        <v>1169.768</v>
      </c>
      <c r="E92" s="28">
        <v>2006.217</v>
      </c>
      <c r="F92" s="28">
        <v>2006.217</v>
      </c>
      <c r="G92" s="28">
        <v>2061.271</v>
      </c>
      <c r="H92" s="14"/>
      <c r="I92" s="2"/>
    </row>
    <row r="93">
      <c r="B93" s="3" t="s">
        <v>588</v>
      </c>
      <c r="C93" s="28">
        <v>16447.623</v>
      </c>
      <c r="D93" s="28">
        <v>15417.006</v>
      </c>
      <c r="E93" s="28">
        <v>15254.33</v>
      </c>
      <c r="F93" s="28">
        <v>15254.33</v>
      </c>
      <c r="G93" s="28">
        <v>15499.705</v>
      </c>
      <c r="H93" s="14"/>
      <c r="I93" s="2"/>
    </row>
    <row r="94">
      <c r="B94" s="3" t="s">
        <v>589</v>
      </c>
      <c r="C94" s="28">
        <v>463.844</v>
      </c>
      <c r="D94" s="28">
        <v>462.391</v>
      </c>
      <c r="E94" s="28">
        <v>464.696</v>
      </c>
      <c r="F94" s="28">
        <v>464.696</v>
      </c>
      <c r="G94" s="28">
        <v>453.352</v>
      </c>
      <c r="H94" s="14"/>
      <c r="I94" s="2"/>
    </row>
    <row r="95">
      <c r="B95" s="3" t="s">
        <v>590</v>
      </c>
      <c r="C95" s="28">
        <v>345.855</v>
      </c>
      <c r="D95" s="28">
        <v>342.415</v>
      </c>
      <c r="E95" s="28">
        <v>338.999</v>
      </c>
      <c r="F95" s="28">
        <v>338.999</v>
      </c>
      <c r="G95" s="28">
        <v>336.931</v>
      </c>
      <c r="H95" s="14"/>
      <c r="I95" s="2"/>
    </row>
    <row r="96">
      <c r="B96" s="3" t="s">
        <v>591</v>
      </c>
      <c r="C96" s="28">
        <v>73.837</v>
      </c>
      <c r="D96" s="28">
        <v>71.531</v>
      </c>
      <c r="E96" s="28">
        <v>70.9</v>
      </c>
      <c r="F96" s="28">
        <v>70.9</v>
      </c>
      <c r="G96" s="28">
        <v>70.955</v>
      </c>
      <c r="H96" s="14"/>
      <c r="I96" s="2"/>
    </row>
    <row r="97">
      <c r="B97" s="3" t="s">
        <v>592</v>
      </c>
      <c r="C97" s="28">
        <v>1873.377</v>
      </c>
      <c r="D97" s="28">
        <v>1824.142</v>
      </c>
      <c r="E97" s="28">
        <v>1810.223</v>
      </c>
      <c r="F97" s="28">
        <v>1810.223</v>
      </c>
      <c r="G97" s="28">
        <v>1834.058</v>
      </c>
      <c r="H97" s="14"/>
      <c r="I97" s="2"/>
    </row>
    <row r="98">
      <c r="B98" s="3" t="s">
        <v>593</v>
      </c>
      <c r="C98" s="28">
        <v>-21.306</v>
      </c>
      <c r="D98" s="28">
        <v>-27.28</v>
      </c>
      <c r="E98" s="28">
        <v>-34.126</v>
      </c>
      <c r="F98" s="28">
        <v>-34.126</v>
      </c>
      <c r="G98" s="28">
        <v>-13.914</v>
      </c>
      <c r="H98" s="14"/>
      <c r="I98" s="2"/>
    </row>
    <row r="99">
      <c r="B99" s="3" t="s">
        <v>594</v>
      </c>
      <c r="C99" s="28">
        <v>4274.614</v>
      </c>
      <c r="D99" s="28">
        <v>4196.141</v>
      </c>
      <c r="E99" s="28">
        <v>4041.859</v>
      </c>
      <c r="F99" s="28">
        <v>4041.859</v>
      </c>
      <c r="G99" s="28">
        <v>4227.486</v>
      </c>
      <c r="H99" s="14"/>
      <c r="I99" s="2"/>
    </row>
    <row r="100" ht="26.25">
      <c r="B100" s="3" t="s">
        <v>595</v>
      </c>
      <c r="C100" s="13"/>
      <c r="D100" s="13"/>
      <c r="E100" s="13"/>
      <c r="F100" s="13"/>
      <c r="G100" s="28">
        <v>1100</v>
      </c>
      <c r="H100" s="14"/>
      <c r="I100" s="2"/>
    </row>
    <row r="101" ht="26.25">
      <c r="B101" s="3" t="s">
        <v>596</v>
      </c>
      <c r="C101" s="2"/>
      <c r="D101" s="2"/>
      <c r="E101" s="2"/>
      <c r="F101" s="2"/>
      <c r="G101" s="2"/>
      <c r="H101" s="24">
        <f>'Segment - Auto Finance'!H37-'Segment - Auto Finance'!G37</f>
        <v>-6</v>
      </c>
      <c r="I101" s="2"/>
    </row>
    <row r="102">
      <c r="B102" s="3" t="s">
        <v>597</v>
      </c>
      <c r="C102" s="2"/>
      <c r="D102" s="2"/>
      <c r="E102" s="2"/>
      <c r="F102" s="2"/>
      <c r="G102" s="2"/>
      <c r="H102" s="14"/>
      <c r="I102" s="2"/>
    </row>
    <row r="103" ht="26.25">
      <c r="B103" s="3" t="s">
        <v>598</v>
      </c>
      <c r="C103" s="43">
        <v>80</v>
      </c>
      <c r="D103" s="43">
        <v>81</v>
      </c>
      <c r="E103" s="43">
        <v>83</v>
      </c>
      <c r="F103" s="2"/>
      <c r="G103" s="43">
        <v>84</v>
      </c>
      <c r="H103" s="14"/>
      <c r="I103" s="2"/>
    </row>
    <row r="104">
      <c r="B104" s="3" t="s">
        <v>599</v>
      </c>
      <c r="C104" s="43">
        <v>68</v>
      </c>
      <c r="D104" s="43">
        <v>69</v>
      </c>
      <c r="E104" s="43">
        <v>70</v>
      </c>
      <c r="F104" s="2"/>
      <c r="G104" s="43">
        <v>70</v>
      </c>
      <c r="H104" s="14"/>
      <c r="I104" s="2"/>
    </row>
    <row r="105">
      <c r="B105" s="3" t="s">
        <v>600</v>
      </c>
      <c r="C105" s="43">
        <v>12</v>
      </c>
      <c r="D105" s="43">
        <v>12</v>
      </c>
      <c r="E105" s="43">
        <v>13</v>
      </c>
      <c r="F105" s="2"/>
      <c r="G105" s="43">
        <v>14</v>
      </c>
      <c r="H105" s="14"/>
      <c r="I105" s="2"/>
    </row>
    <row r="106" ht="26.25">
      <c r="B106" s="3" t="s">
        <v>601</v>
      </c>
      <c r="C106" s="43">
        <v>262</v>
      </c>
      <c r="D106" s="43">
        <v>208</v>
      </c>
      <c r="E106" s="43">
        <v>229</v>
      </c>
      <c r="F106" s="2"/>
      <c r="G106" s="43">
        <v>281</v>
      </c>
      <c r="H106" s="14"/>
      <c r="I106" s="2"/>
    </row>
    <row r="107" ht="26.25">
      <c r="B107" s="3" t="s">
        <v>602</v>
      </c>
      <c r="C107" s="43">
        <v>31</v>
      </c>
      <c r="D107" s="43">
        <v>30</v>
      </c>
      <c r="E107" s="43">
        <v>41</v>
      </c>
      <c r="F107" s="2"/>
      <c r="G107" s="43">
        <v>41</v>
      </c>
      <c r="H107" s="14"/>
      <c r="I107" s="2"/>
    </row>
    <row r="108">
      <c r="B108" s="3" t="s">
        <v>603</v>
      </c>
      <c r="C108" s="2"/>
      <c r="D108" s="2"/>
      <c r="E108" s="2"/>
      <c r="F108" s="2"/>
      <c r="G108" s="2"/>
      <c r="H108" s="14"/>
      <c r="I108" s="2"/>
    </row>
    <row r="109" ht="26.25">
      <c r="B109" s="3" t="s">
        <v>604</v>
      </c>
      <c r="C109" s="2"/>
      <c r="D109" s="2"/>
      <c r="E109" s="2"/>
      <c r="F109" s="2"/>
      <c r="G109" s="2"/>
      <c r="H109" s="34">
        <v>576.4411027568922</v>
      </c>
      <c r="I109" s="2"/>
    </row>
    <row r="110" ht="26.25">
      <c r="B110" s="22" t="s">
        <v>605</v>
      </c>
      <c r="C110" s="46"/>
      <c r="D110" s="46"/>
      <c r="E110" s="46"/>
      <c r="F110" s="46"/>
      <c r="G110" s="46"/>
      <c r="H110" s="42">
        <v>0.1096607429726532</v>
      </c>
      <c r="I110" s="2"/>
    </row>
    <row r="111">
      <c r="B111" s="22" t="s">
        <v>606</v>
      </c>
      <c r="C111" s="46"/>
      <c r="D111" s="46"/>
      <c r="E111" s="46"/>
      <c r="F111" s="46"/>
      <c r="G111" s="46"/>
      <c r="H111" s="42">
        <v>-0.032</v>
      </c>
      <c r="I111" s="2"/>
    </row>
    <row r="112">
      <c r="B112" s="22" t="s">
        <v>607</v>
      </c>
      <c r="C112" s="46"/>
      <c r="D112" s="46"/>
      <c r="E112" s="46"/>
      <c r="F112" s="46"/>
      <c r="G112" s="46"/>
      <c r="H112" s="42">
        <v>0.07</v>
      </c>
      <c r="I112" s="2"/>
    </row>
    <row r="113">
      <c r="B113" s="3"/>
      <c r="C113" s="2"/>
      <c r="D113" s="2"/>
      <c r="E113" s="2"/>
      <c r="F113" s="2"/>
      <c r="G113" s="2"/>
      <c r="H113" s="4"/>
      <c r="I113" s="2"/>
    </row>
    <row r="114">
      <c r="B114" s="3"/>
      <c r="C114" s="2"/>
      <c r="D114" s="2"/>
      <c r="E114" s="2"/>
      <c r="F114" s="2"/>
      <c r="G114" s="2"/>
      <c r="H114" s="4"/>
      <c r="I114" s="2"/>
    </row>
    <row r="115">
      <c r="B115" s="3" t="s">
        <v>608</v>
      </c>
      <c r="C115" s="2" t="s">
        <v>609</v>
      </c>
      <c r="D115" s="2" t="s">
        <v>610</v>
      </c>
      <c r="E115" s="2" t="s">
        <v>611</v>
      </c>
      <c r="F115" s="2" t="s">
        <v>612</v>
      </c>
      <c r="G115" s="2" t="s">
        <v>613</v>
      </c>
      <c r="H115" s="4" t="s">
        <v>614</v>
      </c>
      <c r="I115" s="2" t="s">
        <v>615</v>
      </c>
    </row>
    <row r="116">
      <c r="B116" s="44">
        <v>45716</v>
      </c>
      <c r="C116" s="43">
        <v>0.66</v>
      </c>
      <c r="D116" s="43">
        <v>0.58</v>
      </c>
      <c r="E116" s="43">
        <v>0.66</v>
      </c>
      <c r="F116" s="43">
        <v>0.58</v>
      </c>
      <c r="G116" s="43">
        <v>5980.45</v>
      </c>
      <c r="H116" s="45">
        <v>6003.12</v>
      </c>
      <c r="I116" s="26">
        <v>45757</v>
      </c>
    </row>
    <row r="117">
      <c r="B117" s="44">
        <v>45808</v>
      </c>
      <c r="C117" s="43">
        <v>1.17</v>
      </c>
      <c r="D117" s="43">
        <v>1.38</v>
      </c>
      <c r="E117" s="43">
        <v>1.17</v>
      </c>
      <c r="F117" s="43">
        <v>1.38</v>
      </c>
      <c r="G117" s="43">
        <v>7531.15</v>
      </c>
      <c r="H117" s="45">
        <v>7546.54</v>
      </c>
      <c r="I117" s="26">
        <v>45828</v>
      </c>
    </row>
    <row r="118">
      <c r="B118" s="44">
        <v>45900</v>
      </c>
      <c r="C118" s="43">
        <v>1.05</v>
      </c>
      <c r="D118" s="43">
        <v>0.64</v>
      </c>
      <c r="E118" s="43">
        <v>1.04</v>
      </c>
      <c r="F118" s="43">
        <v>0.64</v>
      </c>
      <c r="G118" s="43">
        <v>7020.5</v>
      </c>
      <c r="H118" s="45">
        <v>6594.68</v>
      </c>
      <c r="I118" s="26">
        <v>45925</v>
      </c>
    </row>
    <row r="119">
      <c r="B119" s="44">
        <v>45991</v>
      </c>
      <c r="C119" s="43">
        <v>0.31</v>
      </c>
      <c r="D119" s="43">
        <v>0.51</v>
      </c>
      <c r="E119" s="43">
        <v>0.32</v>
      </c>
      <c r="F119" s="43">
        <v>0.43</v>
      </c>
      <c r="G119" s="43">
        <v>5632.49</v>
      </c>
      <c r="H119" s="45">
        <v>5793.95</v>
      </c>
      <c r="I119" s="26">
        <v>46009</v>
      </c>
    </row>
    <row r="120">
      <c r="B120" s="44">
        <v>46081</v>
      </c>
      <c r="C120" s="43">
        <v>0.21</v>
      </c>
      <c r="D120" s="43">
        <v>0.34</v>
      </c>
      <c r="E120" s="43">
        <v>0.22</v>
      </c>
      <c r="F120" s="43">
        <v>-0.85</v>
      </c>
      <c r="G120" s="43">
        <v>5726.32</v>
      </c>
      <c r="H120" s="45">
        <v>5945.96</v>
      </c>
      <c r="I120" s="26">
        <v>46126</v>
      </c>
    </row>
    <row r="121">
      <c r="B121" s="44">
        <v>46173</v>
      </c>
      <c r="C121" s="43">
        <v>0.98</v>
      </c>
      <c r="D121" s="43">
        <v>1.31</v>
      </c>
      <c r="E121" s="43">
        <v>0.94</v>
      </c>
      <c r="F121" s="43">
        <v>1.31</v>
      </c>
      <c r="G121" s="43">
        <v>7434.55</v>
      </c>
      <c r="H121" s="45">
        <v>8013.52</v>
      </c>
      <c r="I121" s="26">
        <v>46190</v>
      </c>
    </row>
    <row r="122">
      <c r="B122" s="3"/>
      <c r="C122" s="2"/>
      <c r="D122" s="2"/>
      <c r="E122" s="2"/>
      <c r="F122" s="2"/>
      <c r="G122" s="2"/>
      <c r="H122" s="4"/>
      <c r="I122" s="2"/>
    </row>
    <row r="123" ht="26.25">
      <c r="B123" s="3" t="s">
        <v>616</v>
      </c>
      <c r="C123" s="2"/>
      <c r="D123" s="2"/>
      <c r="E123" s="2"/>
      <c r="F123" s="2" t="s">
        <v>617</v>
      </c>
      <c r="G123" s="2">
        <f>C138</f>
        <v>10</v>
      </c>
      <c r="H123" s="4"/>
      <c r="I123" s="2"/>
    </row>
    <row r="124">
      <c r="B124" s="3" t="s">
        <v>618</v>
      </c>
      <c r="C124" s="2" t="s">
        <v>619</v>
      </c>
      <c r="D124" s="2"/>
      <c r="E124" s="2"/>
      <c r="F124" s="2"/>
      <c r="G124" s="2"/>
      <c r="H124" s="4"/>
      <c r="I124" s="2"/>
    </row>
    <row r="125">
      <c r="B125" s="3" t="s">
        <v>620</v>
      </c>
      <c r="C125" s="2" t="s">
        <v>0</v>
      </c>
      <c r="D125" s="2"/>
      <c r="E125" s="2"/>
      <c r="F125" s="2"/>
      <c r="G125" s="2"/>
      <c r="H125" s="4"/>
      <c r="I125" s="2"/>
    </row>
    <row r="126">
      <c r="B126" s="3" t="s">
        <v>621</v>
      </c>
      <c r="C126" s="2" t="s">
        <v>622</v>
      </c>
      <c r="D126" s="2"/>
      <c r="E126" s="2"/>
      <c r="F126" s="2"/>
      <c r="G126" s="2"/>
      <c r="H126" s="4"/>
      <c r="I126" s="2"/>
    </row>
    <row r="127">
      <c r="B127" s="3" t="s">
        <v>623</v>
      </c>
      <c r="C127" s="43">
        <v>356805</v>
      </c>
      <c r="D127" s="2"/>
      <c r="E127" s="2"/>
      <c r="F127" s="2"/>
      <c r="G127" s="2"/>
      <c r="H127" s="4"/>
      <c r="I127" s="2"/>
    </row>
    <row r="128">
      <c r="B128" s="3" t="s">
        <v>624</v>
      </c>
      <c r="C128" s="43">
        <v>19</v>
      </c>
      <c r="D128" s="2"/>
      <c r="E128" s="2"/>
      <c r="F128" s="2"/>
      <c r="G128" s="2"/>
      <c r="H128" s="4"/>
      <c r="I128" s="2"/>
    </row>
    <row r="129">
      <c r="B129" s="3" t="s">
        <v>625</v>
      </c>
      <c r="C129" s="2" t="s">
        <v>626</v>
      </c>
      <c r="D129" s="2"/>
      <c r="E129" s="2"/>
      <c r="F129" s="2"/>
      <c r="G129" s="2"/>
      <c r="H129" s="4"/>
      <c r="I129" s="2"/>
    </row>
    <row r="130">
      <c r="B130" s="3" t="s">
        <v>627</v>
      </c>
      <c r="C130" s="2" t="s">
        <v>628</v>
      </c>
      <c r="D130" s="2"/>
      <c r="E130" s="2"/>
      <c r="F130" s="2"/>
      <c r="G130" s="2"/>
      <c r="H130" s="4"/>
      <c r="I130" s="2"/>
    </row>
    <row r="131">
      <c r="B131" s="3" t="s">
        <v>608</v>
      </c>
      <c r="C131" s="26">
        <v>46265</v>
      </c>
      <c r="D131" s="2"/>
      <c r="E131" s="2"/>
      <c r="F131" s="2"/>
      <c r="G131" s="2"/>
      <c r="H131" s="4"/>
      <c r="I131" s="2"/>
    </row>
    <row r="132">
      <c r="B132" s="3" t="s">
        <v>629</v>
      </c>
      <c r="C132" s="26">
        <v>46294</v>
      </c>
      <c r="D132" s="2"/>
      <c r="E132" s="2"/>
      <c r="F132" s="2"/>
      <c r="G132" s="2"/>
      <c r="H132" s="4"/>
      <c r="I132" s="2"/>
    </row>
    <row r="133">
      <c r="B133" s="3" t="s">
        <v>630</v>
      </c>
      <c r="C133" s="43">
        <v>0.72</v>
      </c>
      <c r="D133" s="2"/>
      <c r="E133" s="2"/>
      <c r="F133" s="2"/>
      <c r="G133" s="2"/>
      <c r="H133" s="4"/>
      <c r="I133" s="2"/>
    </row>
    <row r="134">
      <c r="B134" s="3" t="s">
        <v>631</v>
      </c>
      <c r="C134" s="43">
        <v>0.72</v>
      </c>
      <c r="D134" s="2"/>
      <c r="E134" s="2"/>
      <c r="F134" s="2"/>
      <c r="G134" s="2"/>
      <c r="H134" s="4"/>
      <c r="I134" s="2"/>
    </row>
    <row r="135">
      <c r="B135" s="3" t="s">
        <v>632</v>
      </c>
      <c r="C135" s="43">
        <v>0.85</v>
      </c>
      <c r="D135" s="2"/>
      <c r="E135" s="2"/>
      <c r="F135" s="2"/>
      <c r="G135" s="2"/>
      <c r="H135" s="4"/>
      <c r="I135" s="2"/>
    </row>
    <row r="136">
      <c r="B136" s="3" t="s">
        <v>633</v>
      </c>
      <c r="C136" s="43">
        <v>0.62</v>
      </c>
      <c r="D136" s="2"/>
      <c r="E136" s="2"/>
      <c r="F136" s="2"/>
      <c r="G136" s="2"/>
      <c r="H136" s="4"/>
      <c r="I136" s="2"/>
    </row>
    <row r="137">
      <c r="B137" s="3" t="s">
        <v>634</v>
      </c>
      <c r="C137" s="43">
        <v>0.06</v>
      </c>
      <c r="D137" s="2"/>
      <c r="E137" s="2"/>
      <c r="F137" s="2"/>
      <c r="G137" s="2"/>
      <c r="H137" s="4"/>
      <c r="I137" s="2"/>
    </row>
    <row r="138">
      <c r="B138" s="3" t="s">
        <v>635</v>
      </c>
      <c r="C138" s="43">
        <v>10</v>
      </c>
      <c r="D138" s="2"/>
      <c r="E138" s="2"/>
      <c r="F138" s="2"/>
      <c r="G138" s="2"/>
      <c r="H138" s="4"/>
      <c r="I138" s="2"/>
    </row>
    <row r="139">
      <c r="B139" s="3" t="s">
        <v>636</v>
      </c>
      <c r="C139" s="2"/>
      <c r="D139" s="2"/>
      <c r="E139" s="2"/>
      <c r="F139" s="2"/>
      <c r="G139" s="2"/>
      <c r="H139" s="4"/>
      <c r="I139" s="2"/>
    </row>
    <row r="140">
      <c r="B140" s="3" t="s">
        <v>637</v>
      </c>
      <c r="C140" s="2"/>
      <c r="D140" s="2"/>
      <c r="E140" s="2"/>
      <c r="F140" s="2"/>
      <c r="G140" s="2"/>
      <c r="H140" s="4"/>
      <c r="I140" s="2"/>
    </row>
    <row r="141">
      <c r="B141" s="3" t="s">
        <v>638</v>
      </c>
      <c r="C141" s="2"/>
      <c r="D141" s="2"/>
      <c r="E141" s="2"/>
      <c r="F141" s="2"/>
      <c r="G141" s="2"/>
      <c r="H141" s="2"/>
      <c r="I141" s="2"/>
    </row>
    <row r="142">
      <c r="B142" s="3" t="s">
        <v>639</v>
      </c>
      <c r="C142" s="43">
        <v>0.7</v>
      </c>
      <c r="D142" s="2"/>
      <c r="E142" s="2"/>
      <c r="F142" s="2"/>
      <c r="G142" s="2"/>
      <c r="H142" s="2"/>
      <c r="I142" s="2"/>
    </row>
    <row r="143">
      <c r="B143" s="3" t="s">
        <v>640</v>
      </c>
      <c r="C143" s="43">
        <v>0.71</v>
      </c>
      <c r="D143" s="2"/>
      <c r="E143" s="2"/>
      <c r="F143" s="2"/>
      <c r="G143" s="2"/>
      <c r="H143" s="2"/>
      <c r="I143" s="2"/>
    </row>
    <row r="144">
      <c r="B144" s="3" t="s">
        <v>641</v>
      </c>
      <c r="C144" s="43">
        <v>0.85</v>
      </c>
      <c r="D144" s="2"/>
      <c r="E144" s="2"/>
      <c r="F144" s="2"/>
      <c r="G144" s="2"/>
      <c r="H144" s="2"/>
      <c r="I144" s="2"/>
    </row>
    <row r="145">
      <c r="B145" s="3" t="s">
        <v>642</v>
      </c>
      <c r="C145" s="43">
        <v>0.57</v>
      </c>
      <c r="D145" s="2"/>
      <c r="E145" s="2"/>
      <c r="F145" s="2"/>
      <c r="G145" s="2"/>
      <c r="H145" s="2"/>
      <c r="I145" s="2"/>
    </row>
    <row r="146">
      <c r="B146" s="3" t="s">
        <v>643</v>
      </c>
      <c r="C146" s="43">
        <v>0.08</v>
      </c>
      <c r="D146" s="2"/>
      <c r="E146" s="2"/>
      <c r="F146" s="2"/>
      <c r="G146" s="2"/>
      <c r="H146" s="2"/>
      <c r="I146" s="2"/>
    </row>
    <row r="147">
      <c r="B147" s="3" t="s">
        <v>644</v>
      </c>
      <c r="C147" s="43">
        <v>11</v>
      </c>
      <c r="D147" s="2"/>
      <c r="E147" s="2"/>
      <c r="F147" s="2"/>
      <c r="G147" s="2"/>
      <c r="H147" s="2"/>
      <c r="I147" s="2"/>
    </row>
    <row r="148">
      <c r="B148" s="3" t="s">
        <v>645</v>
      </c>
      <c r="C148" s="2"/>
      <c r="D148" s="2"/>
      <c r="E148" s="2"/>
      <c r="F148" s="2"/>
      <c r="G148" s="2"/>
      <c r="H148" s="2"/>
      <c r="I148" s="2"/>
    </row>
    <row r="149">
      <c r="B149" s="3" t="s">
        <v>646</v>
      </c>
      <c r="C149" s="2"/>
      <c r="D149" s="2"/>
      <c r="E149" s="2"/>
      <c r="F149" s="2"/>
      <c r="G149" s="2"/>
      <c r="H149" s="2"/>
      <c r="I149" s="2"/>
    </row>
    <row r="150">
      <c r="B150" s="3" t="s">
        <v>647</v>
      </c>
      <c r="C150" s="43">
        <v>6984.29</v>
      </c>
      <c r="D150" s="2"/>
      <c r="E150" s="2"/>
      <c r="F150" s="2"/>
      <c r="G150" s="2"/>
      <c r="H150" s="2"/>
      <c r="I150" s="2"/>
    </row>
    <row r="151">
      <c r="B151" s="3" t="s">
        <v>648</v>
      </c>
      <c r="C151" s="43">
        <v>6918.3</v>
      </c>
      <c r="D151" s="2"/>
      <c r="E151" s="2"/>
      <c r="F151" s="2"/>
      <c r="G151" s="2"/>
      <c r="H151" s="2"/>
      <c r="I151" s="2"/>
    </row>
    <row r="152">
      <c r="B152" s="3" t="s">
        <v>649</v>
      </c>
      <c r="C152" s="43">
        <v>7667</v>
      </c>
      <c r="D152" s="2"/>
      <c r="E152" s="2"/>
      <c r="F152" s="2"/>
      <c r="G152" s="2"/>
      <c r="H152" s="2"/>
      <c r="I152" s="2"/>
    </row>
    <row r="153">
      <c r="B153" s="3" t="s">
        <v>650</v>
      </c>
      <c r="C153" s="43">
        <v>6674.68</v>
      </c>
      <c r="D153" s="2"/>
      <c r="E153" s="2"/>
      <c r="F153" s="2"/>
      <c r="G153" s="2"/>
      <c r="H153" s="2"/>
      <c r="I153" s="2"/>
    </row>
    <row r="154">
      <c r="B154" s="3" t="s">
        <v>651</v>
      </c>
      <c r="C154" s="43">
        <v>263.66</v>
      </c>
      <c r="D154" s="2"/>
      <c r="E154" s="2"/>
      <c r="F154" s="2"/>
      <c r="G154" s="2"/>
      <c r="H154" s="2"/>
      <c r="I154" s="2"/>
    </row>
    <row r="155">
      <c r="B155" s="3" t="s">
        <v>652</v>
      </c>
      <c r="C155" s="43">
        <v>13</v>
      </c>
      <c r="D155" s="2"/>
      <c r="E155" s="2"/>
      <c r="F155" s="2"/>
      <c r="G155" s="2"/>
      <c r="H155" s="2"/>
      <c r="I155" s="2"/>
    </row>
    <row r="156">
      <c r="B156" s="3" t="s">
        <v>653</v>
      </c>
      <c r="C156" s="2"/>
      <c r="D156" s="2"/>
      <c r="E156" s="2"/>
      <c r="F156" s="2"/>
      <c r="G156" s="2"/>
      <c r="H156" s="2"/>
      <c r="I156" s="2"/>
    </row>
    <row r="157">
      <c r="B157" s="3" t="s">
        <v>654</v>
      </c>
      <c r="C157" s="2"/>
      <c r="D157" s="2"/>
      <c r="E157" s="2"/>
      <c r="F157" s="2"/>
      <c r="G157" s="2"/>
      <c r="H157" s="2"/>
      <c r="I157" s="2"/>
    </row>
    <row r="158">
      <c r="B158" s="3" t="s">
        <v>655</v>
      </c>
      <c r="C158" s="43">
        <v>244.63</v>
      </c>
      <c r="D158" s="2"/>
      <c r="E158" s="2"/>
      <c r="F158" s="2"/>
      <c r="G158" s="2"/>
      <c r="H158" s="2"/>
      <c r="I158" s="2"/>
    </row>
    <row r="159">
      <c r="B159" s="3" t="s">
        <v>656</v>
      </c>
      <c r="C159" s="43">
        <v>167.45</v>
      </c>
      <c r="D159" s="2"/>
      <c r="E159" s="2"/>
      <c r="F159" s="2"/>
      <c r="G159" s="2"/>
      <c r="H159" s="2"/>
      <c r="I159" s="2"/>
    </row>
    <row r="160">
      <c r="B160" s="3" t="s">
        <v>657</v>
      </c>
      <c r="C160" s="2"/>
      <c r="D160" s="2"/>
      <c r="E160" s="2"/>
      <c r="F160" s="2"/>
      <c r="G160" s="2"/>
      <c r="H160" s="2"/>
      <c r="I160" s="2"/>
    </row>
    <row r="161">
      <c r="B161" s="3" t="s">
        <v>658</v>
      </c>
      <c r="C161" s="43">
        <v>105.31</v>
      </c>
      <c r="D161" s="2"/>
      <c r="E161" s="2"/>
      <c r="F161" s="2"/>
      <c r="G161" s="2"/>
      <c r="H161" s="2"/>
      <c r="I161" s="2"/>
    </row>
    <row r="162">
      <c r="B162" s="3" t="s">
        <v>659</v>
      </c>
      <c r="C162" s="43">
        <v>10.27</v>
      </c>
      <c r="D162" s="2"/>
      <c r="E162" s="2"/>
      <c r="F162" s="2"/>
      <c r="G162" s="2"/>
      <c r="H162" s="2"/>
      <c r="I162" s="2"/>
    </row>
    <row r="163">
      <c r="B163" s="3" t="s">
        <v>660</v>
      </c>
      <c r="C163" s="2"/>
      <c r="D163" s="2"/>
      <c r="E163" s="2"/>
      <c r="F163" s="2"/>
      <c r="G163" s="2"/>
      <c r="H163" s="2"/>
      <c r="I163" s="2"/>
    </row>
    <row r="164">
      <c r="B164" s="3" t="s">
        <v>661</v>
      </c>
      <c r="C164" s="43">
        <v>-102.54</v>
      </c>
      <c r="D164" s="2"/>
      <c r="E164" s="2"/>
      <c r="F164" s="2"/>
      <c r="G164" s="2"/>
      <c r="H164" s="2"/>
      <c r="I164" s="2"/>
    </row>
    <row r="165">
      <c r="B165" s="3" t="s">
        <v>662</v>
      </c>
      <c r="C165" s="43">
        <v>107</v>
      </c>
      <c r="D165" s="2"/>
      <c r="E165" s="2"/>
      <c r="F165" s="2"/>
      <c r="G165" s="2"/>
      <c r="H165" s="2"/>
      <c r="I165" s="2"/>
    </row>
    <row r="166">
      <c r="B166" s="3" t="s">
        <v>663</v>
      </c>
      <c r="C166" s="2"/>
      <c r="D166" s="2"/>
      <c r="E166" s="2"/>
      <c r="F166" s="2"/>
      <c r="G166" s="2"/>
      <c r="H166" s="2"/>
      <c r="I166" s="2"/>
    </row>
    <row r="167">
      <c r="B167" s="3" t="s">
        <v>664</v>
      </c>
      <c r="C167" s="2"/>
      <c r="D167" s="2"/>
      <c r="E167" s="2"/>
      <c r="F167" s="2"/>
      <c r="G167" s="2"/>
      <c r="H167" s="2"/>
      <c r="I167" s="2"/>
    </row>
    <row r="168">
      <c r="B168" s="3" t="s">
        <v>665</v>
      </c>
      <c r="C168" s="43">
        <v>56.54</v>
      </c>
      <c r="D168" s="2"/>
      <c r="E168" s="2"/>
      <c r="F168" s="2"/>
      <c r="G168" s="2"/>
      <c r="H168" s="2"/>
      <c r="I168" s="2"/>
    </row>
    <row r="169">
      <c r="B169" s="3" t="s">
        <v>666</v>
      </c>
      <c r="C169" s="43">
        <v>57</v>
      </c>
      <c r="D169" s="2"/>
      <c r="E169" s="2"/>
      <c r="F169" s="2"/>
      <c r="G169" s="2"/>
      <c r="H169" s="2"/>
      <c r="I169" s="2"/>
    </row>
    <row r="170">
      <c r="B170" s="3" t="s">
        <v>667</v>
      </c>
      <c r="C170" s="43">
        <v>96</v>
      </c>
      <c r="D170" s="2"/>
      <c r="E170" s="2"/>
      <c r="F170" s="2"/>
      <c r="G170" s="2"/>
      <c r="H170" s="2"/>
      <c r="I170" s="2"/>
    </row>
    <row r="171">
      <c r="B171" s="3" t="s">
        <v>668</v>
      </c>
      <c r="C171" s="43">
        <v>33</v>
      </c>
      <c r="D171" s="2"/>
      <c r="E171" s="2"/>
      <c r="F171" s="2"/>
      <c r="G171" s="2"/>
      <c r="H171" s="2"/>
      <c r="I171" s="2"/>
    </row>
    <row r="172">
      <c r="B172" s="3" t="s">
        <v>669</v>
      </c>
      <c r="C172" s="43">
        <v>15.3</v>
      </c>
      <c r="D172" s="2"/>
      <c r="E172" s="2"/>
      <c r="F172" s="2"/>
      <c r="G172" s="2"/>
      <c r="H172" s="2"/>
      <c r="I172" s="2"/>
    </row>
    <row r="173">
      <c r="B173" s="3" t="s">
        <v>670</v>
      </c>
      <c r="C173" s="43">
        <v>13</v>
      </c>
      <c r="D173" s="2"/>
      <c r="E173" s="2"/>
      <c r="F173" s="2"/>
      <c r="G173" s="2"/>
      <c r="H173" s="2"/>
      <c r="I173" s="2"/>
    </row>
    <row r="174">
      <c r="B174" s="3" t="s">
        <v>671</v>
      </c>
      <c r="C174" s="2" t="s">
        <v>672</v>
      </c>
      <c r="D174" s="2"/>
      <c r="E174" s="2"/>
      <c r="F174" s="2"/>
      <c r="G174" s="2"/>
      <c r="H174" s="2"/>
      <c r="I174" s="2"/>
    </row>
    <row r="175">
      <c r="B175" s="3" t="s">
        <v>673</v>
      </c>
      <c r="C175" s="43">
        <v>2.84</v>
      </c>
      <c r="D175" s="2"/>
      <c r="E175" s="2"/>
      <c r="F175" s="2"/>
      <c r="G175" s="2"/>
      <c r="H175" s="2"/>
      <c r="I175" s="2"/>
    </row>
    <row r="176">
      <c r="B176" s="3" t="s">
        <v>674</v>
      </c>
      <c r="C176" s="43">
        <v>56.36</v>
      </c>
      <c r="D176" s="2"/>
      <c r="E176" s="2"/>
      <c r="F176" s="2"/>
      <c r="G176" s="2"/>
      <c r="H176" s="2"/>
      <c r="I176" s="2"/>
    </row>
    <row r="177">
      <c r="B177" s="3" t="s">
        <v>675</v>
      </c>
      <c r="C177" s="2" t="s">
        <v>676</v>
      </c>
      <c r="D177" s="2"/>
      <c r="E177" s="2"/>
      <c r="F177" s="2"/>
      <c r="G177" s="2"/>
      <c r="H177" s="2"/>
      <c r="I177" s="2"/>
    </row>
    <row r="178">
      <c r="B178" s="3"/>
      <c r="C178" s="2"/>
      <c r="D178" s="2"/>
      <c r="E178" s="2"/>
      <c r="F178" s="2"/>
      <c r="G178" s="2"/>
      <c r="H178" s="2"/>
    </row>
    <row r="179">
      <c r="B179" s="3"/>
      <c r="C179" s="2"/>
      <c r="D179" s="2"/>
      <c r="E179" s="2"/>
      <c r="F179" s="2"/>
      <c r="G179" s="2"/>
      <c r="H179" s="2"/>
    </row>
    <row r="180" ht="26.25">
      <c r="B180" s="3" t="s">
        <v>677</v>
      </c>
      <c r="C180" s="13"/>
      <c r="D180" s="13"/>
      <c r="E180" s="13"/>
      <c r="F180" s="13"/>
      <c r="G180" s="13"/>
      <c r="H180" s="34">
        <v>-10.025062656641603</v>
      </c>
      <c r="I180" s="2"/>
    </row>
    <row r="181" ht="26.25">
      <c r="B181" s="3" t="s">
        <v>678</v>
      </c>
      <c r="C181" s="13"/>
      <c r="D181" s="13"/>
      <c r="E181" s="13"/>
      <c r="F181" s="13"/>
      <c r="G181" s="13"/>
      <c r="H181" s="34">
        <v>106.50887573964496</v>
      </c>
      <c r="I181" s="2"/>
    </row>
    <row r="182" ht="26.25">
      <c r="B182" s="3" t="s">
        <v>679</v>
      </c>
      <c r="C182" s="13"/>
      <c r="D182" s="13"/>
      <c r="E182" s="13"/>
      <c r="F182" s="13"/>
      <c r="G182" s="13"/>
      <c r="H182" s="34">
        <v>115.28822055137844</v>
      </c>
      <c r="I182" s="2"/>
    </row>
    <row r="183">
      <c r="B183" s="3"/>
      <c r="C183" s="13"/>
      <c r="D183" s="13"/>
      <c r="E183" s="13"/>
      <c r="F183" s="13"/>
      <c r="G183" s="13"/>
      <c r="H183" s="14"/>
      <c r="I183" s="2"/>
    </row>
    <row r="184">
      <c r="B184" s="3"/>
      <c r="C184" s="13"/>
      <c r="D184" s="13"/>
      <c r="E184" s="13"/>
      <c r="F184" s="13"/>
      <c r="G184" s="13"/>
      <c r="H184" s="14"/>
      <c r="I184" s="2"/>
    </row>
    <row r="185">
      <c r="B185" s="3"/>
      <c r="C185" s="13"/>
      <c r="D185" s="13"/>
      <c r="E185" s="13"/>
      <c r="F185" s="13"/>
      <c r="G185" s="13"/>
      <c r="H185" s="14"/>
      <c r="I185" s="2"/>
    </row>
    <row r="186">
      <c r="B186" s="3"/>
      <c r="C186" s="13"/>
      <c r="D186" s="13"/>
      <c r="E186" s="13"/>
      <c r="F186" s="13"/>
      <c r="G186" s="13"/>
      <c r="H186" s="14"/>
      <c r="I186" s="2"/>
    </row>
    <row r="187">
      <c r="B187" s="3"/>
      <c r="C187" s="13"/>
      <c r="D187" s="13"/>
      <c r="E187" s="13"/>
      <c r="F187" s="13"/>
      <c r="G187" s="13"/>
      <c r="H187" s="14"/>
      <c r="I187" s="2"/>
    </row>
    <row r="188" ht="48.75">
      <c r="B188" s="3" t="s">
        <v>680</v>
      </c>
      <c r="C188" s="13"/>
      <c r="D188" s="13"/>
      <c r="E188" s="13"/>
      <c r="F188" s="13"/>
      <c r="G188" s="13"/>
      <c r="H188" s="14"/>
      <c r="I188" s="2"/>
    </row>
    <row r="189">
      <c r="B189" s="3"/>
      <c r="C189" s="13"/>
      <c r="D189" s="13"/>
      <c r="E189" s="13"/>
      <c r="F189" s="13"/>
      <c r="G189" s="13"/>
      <c r="H189" s="14"/>
      <c r="I189" s="2"/>
    </row>
    <row r="190">
      <c r="B190" s="3" t="s">
        <v>543</v>
      </c>
      <c r="C190" s="28">
        <v>163.715</v>
      </c>
      <c r="D190" s="28">
        <v>252.198</v>
      </c>
      <c r="E190" s="28">
        <v>79.784</v>
      </c>
      <c r="F190" s="28">
        <v>345.962</v>
      </c>
      <c r="G190" s="28">
        <v>92.895</v>
      </c>
      <c r="H190" s="14"/>
      <c r="I190" s="2"/>
    </row>
    <row r="191">
      <c r="B191" s="3" t="s">
        <v>681</v>
      </c>
      <c r="C191" s="28">
        <v>71.255</v>
      </c>
      <c r="D191" s="28">
        <v>87.361</v>
      </c>
      <c r="E191" s="28">
        <v>46.981</v>
      </c>
      <c r="F191" s="28">
        <v>99.018</v>
      </c>
      <c r="G191" s="28">
        <v>41.946</v>
      </c>
      <c r="H191" s="14"/>
      <c r="I191" s="2"/>
    </row>
    <row r="192">
      <c r="B192" s="3" t="s">
        <v>682</v>
      </c>
      <c r="C192" s="28">
        <v>243.904</v>
      </c>
      <c r="D192" s="28">
        <v>317.335</v>
      </c>
      <c r="E192" s="28">
        <v>101.707</v>
      </c>
      <c r="F192" s="28">
        <v>391.2</v>
      </c>
      <c r="G192" s="28">
        <v>95.584</v>
      </c>
      <c r="H192" s="14"/>
      <c r="I192" s="2"/>
    </row>
    <row r="193">
      <c r="B193" s="3" t="s">
        <v>683</v>
      </c>
      <c r="C193" s="28">
        <v>41.897</v>
      </c>
      <c r="D193" s="28">
        <v>57.157</v>
      </c>
      <c r="E193" s="28">
        <v>24.803</v>
      </c>
      <c r="F193" s="28">
        <v>75.827</v>
      </c>
      <c r="G193" s="28">
        <v>26.166</v>
      </c>
      <c r="H193" s="14"/>
      <c r="I193" s="2"/>
    </row>
    <row r="194">
      <c r="B194" s="3" t="s">
        <v>684</v>
      </c>
      <c r="C194" s="28">
        <v>42.424</v>
      </c>
      <c r="D194" s="28">
        <v>76.618</v>
      </c>
      <c r="E194" s="28">
        <v>2.782</v>
      </c>
      <c r="F194" s="28">
        <v>73.8</v>
      </c>
      <c r="G194" s="28">
        <v>-0.991</v>
      </c>
      <c r="H194" s="14"/>
      <c r="I194" s="2"/>
    </row>
    <row r="195">
      <c r="B195" s="3" t="s">
        <v>685</v>
      </c>
      <c r="C195" s="28">
        <v>0</v>
      </c>
      <c r="D195" s="28">
        <v>909.016</v>
      </c>
      <c r="E195" s="28">
        <v>0</v>
      </c>
      <c r="F195" s="28">
        <v>908.927</v>
      </c>
      <c r="G195" s="28">
        <v>0</v>
      </c>
      <c r="H195" s="14"/>
      <c r="I195" s="2"/>
    </row>
    <row r="196">
      <c r="B196" s="3" t="s">
        <v>686</v>
      </c>
      <c r="C196" s="28">
        <v>0</v>
      </c>
      <c r="D196" s="28">
        <v>0</v>
      </c>
      <c r="E196" s="28">
        <v>0</v>
      </c>
      <c r="F196" s="28">
        <v>141.258</v>
      </c>
      <c r="G196" s="28">
        <v>0</v>
      </c>
      <c r="H196" s="14"/>
      <c r="I196" s="2"/>
    </row>
    <row r="197">
      <c r="B197" s="3" t="s">
        <v>687</v>
      </c>
      <c r="C197" s="28">
        <v>1.393</v>
      </c>
      <c r="D197" s="28">
        <v>-18.807</v>
      </c>
      <c r="E197" s="28">
        <v>1.31</v>
      </c>
      <c r="F197" s="28">
        <v>9.345</v>
      </c>
      <c r="G197" s="28">
        <v>-3.252</v>
      </c>
      <c r="H197" s="14"/>
      <c r="I197" s="2"/>
    </row>
    <row r="198">
      <c r="B198" s="3" t="s">
        <v>688</v>
      </c>
      <c r="C198" s="28">
        <v>15.177</v>
      </c>
      <c r="D198" s="28">
        <v>37.631</v>
      </c>
      <c r="E198" s="28">
        <v>-11.572</v>
      </c>
      <c r="F198" s="28">
        <v>-15.72</v>
      </c>
      <c r="G198" s="28">
        <v>-59.466</v>
      </c>
      <c r="H198" s="14"/>
      <c r="I198" s="2"/>
    </row>
    <row r="199">
      <c r="B199" s="3" t="s">
        <v>689</v>
      </c>
      <c r="C199" s="28">
        <v>-921.928</v>
      </c>
      <c r="D199" s="28">
        <v>0</v>
      </c>
      <c r="E199" s="28">
        <v>-637.947</v>
      </c>
      <c r="F199" s="28">
        <v>-100.491</v>
      </c>
      <c r="G199" s="28">
        <v>-518.488</v>
      </c>
      <c r="H199" s="14"/>
      <c r="I199" s="2"/>
    </row>
    <row r="200">
      <c r="B200" s="3" t="s">
        <v>690</v>
      </c>
      <c r="C200" s="28">
        <v>785.052</v>
      </c>
      <c r="D200" s="28">
        <v>806.674</v>
      </c>
      <c r="E200" s="28">
        <v>310.269</v>
      </c>
      <c r="F200" s="28">
        <v>-202.383</v>
      </c>
      <c r="G200" s="28">
        <v>74.24</v>
      </c>
      <c r="H200" s="14"/>
      <c r="I200" s="2"/>
    </row>
    <row r="201">
      <c r="B201" s="3" t="s">
        <v>691</v>
      </c>
      <c r="C201" s="28">
        <v>6.331</v>
      </c>
      <c r="D201" s="28">
        <v>-2.916</v>
      </c>
      <c r="E201" s="28">
        <v>2.692</v>
      </c>
      <c r="F201" s="28">
        <v>-7.813</v>
      </c>
      <c r="G201" s="28">
        <v>6.487</v>
      </c>
      <c r="H201" s="14"/>
      <c r="I201" s="2"/>
    </row>
    <row r="202">
      <c r="B202" s="3" t="s">
        <v>692</v>
      </c>
      <c r="C202" s="28">
        <v>612.649</v>
      </c>
      <c r="D202" s="28">
        <v>-156.314</v>
      </c>
      <c r="E202" s="28">
        <v>338.338</v>
      </c>
      <c r="F202" s="28">
        <v>-31.308</v>
      </c>
      <c r="G202" s="28">
        <v>166.755</v>
      </c>
      <c r="H202" s="14"/>
      <c r="I202" s="2"/>
    </row>
    <row r="203">
      <c r="B203" s="3" t="s">
        <v>693</v>
      </c>
      <c r="C203" s="28">
        <v>-13.889</v>
      </c>
      <c r="D203" s="28">
        <v>-19.646</v>
      </c>
      <c r="E203" s="28">
        <v>-5.712</v>
      </c>
      <c r="F203" s="28">
        <v>-31.958</v>
      </c>
      <c r="G203" s="28">
        <v>-8.146</v>
      </c>
      <c r="H203" s="14"/>
      <c r="I203" s="2"/>
    </row>
    <row r="204">
      <c r="B204" s="3" t="s">
        <v>694</v>
      </c>
      <c r="C204" s="28">
        <v>-230.47</v>
      </c>
      <c r="D204" s="28">
        <v>-321.017</v>
      </c>
      <c r="E204" s="28">
        <v>-141.867</v>
      </c>
      <c r="F204" s="28">
        <v>-43.784</v>
      </c>
      <c r="G204" s="28">
        <v>-58.274</v>
      </c>
      <c r="H204" s="14"/>
      <c r="I204" s="2"/>
    </row>
    <row r="205">
      <c r="B205" s="3" t="s">
        <v>695</v>
      </c>
      <c r="C205" s="28">
        <v>-38.232</v>
      </c>
      <c r="D205" s="28">
        <v>-55.15</v>
      </c>
      <c r="E205" s="28">
        <v>-22.406</v>
      </c>
      <c r="F205" s="28">
        <v>-75.323</v>
      </c>
      <c r="G205" s="28">
        <v>-23.494</v>
      </c>
      <c r="H205" s="14"/>
      <c r="I205" s="2"/>
    </row>
    <row r="206">
      <c r="B206" s="3" t="s">
        <v>696</v>
      </c>
      <c r="C206" s="28">
        <v>-268.204</v>
      </c>
      <c r="D206" s="28">
        <v>-407.962</v>
      </c>
      <c r="E206" s="28">
        <v>-136.736</v>
      </c>
      <c r="F206" s="28">
        <v>-540.989</v>
      </c>
      <c r="G206" s="28">
        <v>-103.335</v>
      </c>
      <c r="H206" s="14"/>
      <c r="I206" s="2"/>
    </row>
    <row r="207">
      <c r="B207" s="3" t="s">
        <v>697</v>
      </c>
      <c r="C207" s="28">
        <v>0.348</v>
      </c>
      <c r="D207" s="28">
        <v>0.385</v>
      </c>
      <c r="E207" s="28">
        <v>0.048</v>
      </c>
      <c r="F207" s="28">
        <v>0.418</v>
      </c>
      <c r="G207" s="28">
        <v>0.063</v>
      </c>
      <c r="H207" s="14"/>
      <c r="I207" s="2"/>
    </row>
    <row r="208">
      <c r="B208" s="3" t="s">
        <v>698</v>
      </c>
      <c r="C208" s="28">
        <v>-5.765</v>
      </c>
      <c r="D208" s="28">
        <v>-8.754</v>
      </c>
      <c r="E208" s="28">
        <v>-4.926</v>
      </c>
      <c r="F208" s="28">
        <v>-10.007</v>
      </c>
      <c r="G208" s="28">
        <v>-1.668</v>
      </c>
      <c r="H208" s="14"/>
      <c r="I208" s="2"/>
    </row>
    <row r="209">
      <c r="B209" s="3" t="s">
        <v>699</v>
      </c>
      <c r="C209" s="28">
        <v>1.155</v>
      </c>
      <c r="D209" s="28">
        <v>1.922</v>
      </c>
      <c r="E209" s="28">
        <v>0.425</v>
      </c>
      <c r="F209" s="28">
        <v>2.994</v>
      </c>
      <c r="G209" s="28">
        <v>0.845</v>
      </c>
      <c r="H209" s="14"/>
      <c r="I209" s="2"/>
    </row>
    <row r="210">
      <c r="B210" s="3" t="s">
        <v>700</v>
      </c>
      <c r="C210" s="28">
        <v>0</v>
      </c>
      <c r="D210" s="28">
        <v>3.132</v>
      </c>
      <c r="E210" s="28">
        <v>0</v>
      </c>
      <c r="F210" s="28">
        <v>7.539</v>
      </c>
      <c r="G210" s="28">
        <v>4.469</v>
      </c>
      <c r="H210" s="14"/>
      <c r="I210" s="2"/>
    </row>
    <row r="211">
      <c r="B211" s="3" t="s">
        <v>701</v>
      </c>
      <c r="C211" s="28">
        <v>87</v>
      </c>
      <c r="D211" s="28">
        <v>87</v>
      </c>
      <c r="E211" s="28">
        <v>87</v>
      </c>
      <c r="F211" s="28">
        <v>1538.4</v>
      </c>
      <c r="G211" s="28">
        <v>1517.8</v>
      </c>
      <c r="H211" s="14"/>
      <c r="I211" s="2"/>
    </row>
    <row r="212">
      <c r="B212" s="3" t="s">
        <v>702</v>
      </c>
      <c r="C212" s="28">
        <v>-94.955</v>
      </c>
      <c r="D212" s="28">
        <v>-299.007</v>
      </c>
      <c r="E212" s="28">
        <v>-90.93</v>
      </c>
      <c r="F212" s="28">
        <v>-913.804</v>
      </c>
      <c r="G212" s="28">
        <v>-1669.622</v>
      </c>
      <c r="H212" s="14"/>
      <c r="I212" s="2"/>
    </row>
    <row r="213">
      <c r="B213" s="3" t="s">
        <v>703</v>
      </c>
      <c r="C213" s="28">
        <v>-13.279</v>
      </c>
      <c r="D213" s="28">
        <v>-18.555</v>
      </c>
      <c r="E213" s="28">
        <v>-8.895</v>
      </c>
      <c r="F213" s="28">
        <v>-24.227</v>
      </c>
      <c r="G213" s="28">
        <v>-6.048</v>
      </c>
      <c r="H213" s="14"/>
      <c r="I213" s="2"/>
    </row>
    <row r="214">
      <c r="B214" s="3" t="s">
        <v>704</v>
      </c>
      <c r="C214" s="28">
        <v>-7.105</v>
      </c>
      <c r="D214" s="28">
        <v>-11.002</v>
      </c>
      <c r="E214" s="28">
        <v>-3.443</v>
      </c>
      <c r="F214" s="28">
        <v>-15.044</v>
      </c>
      <c r="G214" s="28">
        <v>-4.084</v>
      </c>
      <c r="H214" s="14"/>
      <c r="I214" s="2"/>
    </row>
    <row r="215">
      <c r="B215" s="3" t="s">
        <v>705</v>
      </c>
      <c r="C215" s="28">
        <v>6848.169</v>
      </c>
      <c r="D215" s="28">
        <v>9577.17</v>
      </c>
      <c r="E215" s="28">
        <v>3988.864</v>
      </c>
      <c r="F215" s="28">
        <v>13060.375</v>
      </c>
      <c r="G215" s="28">
        <v>3261.564</v>
      </c>
      <c r="H215" s="14"/>
      <c r="I215" s="2"/>
    </row>
    <row r="216">
      <c r="B216" s="3" t="s">
        <v>706</v>
      </c>
      <c r="C216" s="28">
        <v>-6911.012</v>
      </c>
      <c r="D216" s="28">
        <v>-10729.859</v>
      </c>
      <c r="E216" s="28">
        <v>-3906.323</v>
      </c>
      <c r="F216" s="28">
        <v>-14352.524</v>
      </c>
      <c r="G216" s="28">
        <v>-3006.781</v>
      </c>
      <c r="H216" s="14"/>
      <c r="I216" s="2"/>
    </row>
    <row r="217">
      <c r="B217" s="3" t="s">
        <v>707</v>
      </c>
      <c r="C217" s="28">
        <v>-384.873</v>
      </c>
      <c r="D217" s="28">
        <v>-588.44</v>
      </c>
      <c r="E217" s="28">
        <v>-204.027</v>
      </c>
      <c r="F217" s="28">
        <v>-642.786</v>
      </c>
      <c r="G217" s="28">
        <v>-2.308</v>
      </c>
      <c r="H217" s="14"/>
      <c r="I217" s="2"/>
    </row>
    <row r="218">
      <c r="B218" s="3" t="s">
        <v>708</v>
      </c>
      <c r="C218" s="28">
        <v>8.349</v>
      </c>
      <c r="D218" s="28">
        <v>8.349</v>
      </c>
      <c r="E218" s="28">
        <v>8.329</v>
      </c>
      <c r="F218" s="28">
        <v>8.348</v>
      </c>
      <c r="G218" s="28">
        <v>0</v>
      </c>
      <c r="H218" s="14"/>
      <c r="I218" s="2"/>
    </row>
    <row r="219">
      <c r="B219" s="3" t="s">
        <v>709</v>
      </c>
      <c r="C219" s="13"/>
      <c r="D219" s="13"/>
      <c r="E219" s="13"/>
      <c r="F219" s="13"/>
      <c r="G219" s="13"/>
      <c r="H219" s="34">
        <v>0</v>
      </c>
      <c r="I219" s="2"/>
    </row>
    <row r="220" ht="26.25">
      <c r="B220" s="3" t="s">
        <v>710</v>
      </c>
      <c r="C220" s="13"/>
      <c r="D220" s="13"/>
      <c r="E220" s="13"/>
      <c r="F220" s="13"/>
      <c r="G220" s="13"/>
      <c r="H220" s="34">
        <v>-30</v>
      </c>
      <c r="I220" s="2"/>
    </row>
    <row r="221" ht="26.25">
      <c r="B221" s="3" t="s">
        <v>711</v>
      </c>
      <c r="C221" s="13"/>
      <c r="D221" s="13"/>
      <c r="E221" s="13"/>
      <c r="F221" s="13"/>
      <c r="G221" s="13"/>
      <c r="H221" s="34">
        <v>-60</v>
      </c>
      <c r="I221" s="2"/>
    </row>
    <row r="222" ht="26.25">
      <c r="B222" s="3" t="s">
        <v>712</v>
      </c>
      <c r="C222" s="13"/>
      <c r="D222" s="13"/>
      <c r="E222" s="13"/>
      <c r="F222" s="13"/>
      <c r="G222" s="13"/>
      <c r="H222" s="34">
        <v>-80</v>
      </c>
      <c r="I222" s="2"/>
    </row>
    <row r="223" ht="26.25">
      <c r="B223" s="3" t="s">
        <v>713</v>
      </c>
      <c r="C223" s="13"/>
      <c r="D223" s="13"/>
      <c r="E223" s="13"/>
      <c r="F223" s="13"/>
      <c r="G223" s="13"/>
      <c r="H223" s="34">
        <v>-45</v>
      </c>
      <c r="I223" s="2"/>
    </row>
    <row r="224">
      <c r="B224" s="3" t="s">
        <v>714</v>
      </c>
      <c r="C224" s="13"/>
      <c r="D224" s="13"/>
      <c r="E224" s="13"/>
      <c r="F224" s="13"/>
      <c r="G224" s="13"/>
      <c r="H224" s="34">
        <v>20</v>
      </c>
      <c r="I224" s="2"/>
    </row>
    <row r="225" ht="26.25">
      <c r="B225" s="3" t="s">
        <v>715</v>
      </c>
      <c r="C225" s="13"/>
      <c r="D225" s="13"/>
      <c r="E225" s="13"/>
      <c r="F225" s="13"/>
      <c r="G225" s="13"/>
      <c r="H225" s="34">
        <v>-22</v>
      </c>
      <c r="I225" s="2"/>
    </row>
    <row r="226">
      <c r="B226" s="3"/>
      <c r="C226" s="13"/>
      <c r="D226" s="13"/>
      <c r="E226" s="13"/>
      <c r="F226" s="13"/>
      <c r="G226" s="13"/>
      <c r="H226" s="14"/>
      <c r="I226" s="2"/>
    </row>
    <row r="227">
      <c r="B227" s="3"/>
      <c r="C227" s="13"/>
      <c r="D227" s="13"/>
      <c r="E227" s="13"/>
      <c r="F227" s="13"/>
      <c r="G227" s="13"/>
      <c r="H227" s="14"/>
      <c r="I227" s="2"/>
    </row>
    <row r="228" ht="26.25">
      <c r="B228" s="3" t="s">
        <v>716</v>
      </c>
      <c r="C228" s="13"/>
      <c r="D228" s="13"/>
      <c r="E228" s="13"/>
      <c r="F228" s="13"/>
      <c r="G228" s="13"/>
      <c r="H228" s="34">
        <v>9</v>
      </c>
      <c r="I228" s="2"/>
    </row>
    <row r="229">
      <c r="B229" s="3" t="s">
        <v>717</v>
      </c>
      <c r="C229" s="48"/>
      <c r="D229" s="48"/>
      <c r="E229" s="48"/>
      <c r="F229" s="48"/>
      <c r="G229" s="48"/>
      <c r="H229" s="47">
        <v>2130</v>
      </c>
    </row>
    <row r="230">
      <c r="B230" s="3" t="s">
        <v>718</v>
      </c>
      <c r="C230" s="48"/>
      <c r="D230" s="48"/>
      <c r="E230" s="48"/>
      <c r="F230" s="48"/>
      <c r="G230" s="48"/>
      <c r="H230" s="47">
        <v>990</v>
      </c>
    </row>
    <row r="231" ht="34.5">
      <c r="B231" s="3" t="s">
        <v>719</v>
      </c>
      <c r="C231" s="3"/>
      <c r="D231" s="3"/>
      <c r="E231" s="3"/>
      <c r="F231" s="3"/>
      <c r="G231" s="3"/>
      <c r="H231" s="47">
        <v>2076.737617076773</v>
      </c>
    </row>
  </sheetData>
</worksheet>
</file>