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Mountain" sheetId="3" r:id="rId4"/>
    <sheet name="Segment - Lodging" sheetId="4" r:id="rId5"/>
    <sheet name="Segment - Real Estate" sheetId="5" r:id="rId6"/>
    <sheet name="Income Statement" sheetId="6" r:id="rId7"/>
    <sheet name="Balance Sheet" sheetId="7" r:id="rId8"/>
    <sheet name="Cash Flow Statement" sheetId="8" r:id="rId9"/>
    <sheet name="Geo" sheetId="9" r:id="rId10"/>
    <sheet name="Share Count" sheetId="10" r:id="rId11"/>
    <sheet name="Guidance" sheetId="11" r:id="rId12"/>
    <sheet name="Sources" sheetId="12" r:id="rId13"/>
    <sheet name="Inputs" sheetId="13" r:id="rId14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H64" authorId="0">
      <text>
        <t>Vail June 8 2026 earnings release | Page 5 | approximately 26%</t>
      </text>
    </comment>
    <comment ref="H81" authorId="0">
      <text>
        <t>Vail June 8 2026 earnings release | Page 5 | approximately 31%</t>
      </text>
    </comment>
    <comment ref="H87" authorId="0">
      <text>
        <t>Alpine Observer | Page 1 | 610,000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F12" authorId="0">
      <text>
        <t>Vail June 8 2026 earnings release | Page 5 | 739,000</t>
      </text>
    </comment>
    <comment ref="G12" authorId="0">
      <text>
        <t>Vail June 8 2026 earnings release | Page 5 | 761,000</t>
      </text>
    </comment>
    <comment ref="F10" authorId="0">
      <text>
        <t>Vail June 8 2026 earnings release | Page 5 | 128,000</t>
      </text>
    </comment>
    <comment ref="G10" authorId="0">
      <text>
        <t>Vail June 8 2026 earnings release | Page 5 | 162,000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29" authorId="0">
      <text>
        <t>MTN_consensus.json | Page 1 | -5.37</t>
      </text>
    </comment>
    <comment ref="C34" authorId="0">
      <text>
        <t>MTN_consensus.json | Page 1 | 10</t>
      </text>
    </comment>
    <comment ref="C38" authorId="0">
      <text>
        <t>MTN_consensus.json | Page 1 | -5.35</t>
      </text>
    </comment>
    <comment ref="C46" authorId="0">
      <text>
        <t>MTN_consensus.json | Page 1 | 269.3</t>
      </text>
    </comment>
    <comment ref="H11" authorId="0">
      <text>
        <t>MTN_history.csv | Page 1 | 271.29</t>
      </text>
    </comment>
    <comment ref="H12" authorId="0">
      <text>
        <t>MTN_history.csv | Page 1 | 271.03</t>
      </text>
    </comment>
    <comment ref="H13" authorId="0">
      <text>
        <t>MTN_history.csv | Page 1 | 1083.93</t>
      </text>
    </comment>
    <comment ref="H14" authorId="0">
      <text>
        <t>MTN_history.csv | Page 1 | 1205.18</t>
      </text>
    </comment>
  </commentList>
</comments>
</file>

<file path=xl/sharedStrings.xml><?xml version="1.0" encoding="utf-8"?>
<sst xmlns="http://schemas.openxmlformats.org/spreadsheetml/2006/main" count="849" uniqueCount="581">
  <si>
    <t>Vail Resorts, Inc.</t>
  </si>
  <si>
    <t>Company Model — built by Shortcut</t>
  </si>
  <si>
    <t>$ millions, except per share</t>
  </si>
  <si>
    <t>Period</t>
  </si>
  <si>
    <t>4Q25A</t>
  </si>
  <si>
    <t>FY25A</t>
  </si>
  <si>
    <t>1Q26A</t>
  </si>
  <si>
    <t>2Q26A</t>
  </si>
  <si>
    <t>3Q26A</t>
  </si>
  <si>
    <t>4Q26E</t>
  </si>
  <si>
    <t>Period end</t>
  </si>
  <si>
    <t>Days in period</t>
  </si>
  <si>
    <t>Company / ticker / exchange</t>
  </si>
  <si>
    <t>Vail Resorts, Inc. / NYSE:MTN</t>
  </si>
  <si>
    <t>Fiscal year end / reporting basis</t>
  </si>
  <si>
    <t>July 31 / USD per common share</t>
  </si>
  <si>
    <t>Information cutoff / report date</t>
  </si>
  <si>
    <t>2026-09-26 18:44 UTC / 2026-09-28</t>
  </si>
  <si>
    <t>ESTIMATE / CONSENSUS</t>
  </si>
  <si>
    <t>Shortcut estimate</t>
  </si>
  <si>
    <t>CapIQ Sep 24</t>
  </si>
  <si>
    <t>Variance</t>
  </si>
  <si>
    <t>FY26 guide → Q4</t>
  </si>
  <si>
    <t>Revenue, USD millions</t>
  </si>
  <si>
    <t>Not issued</t>
  </si>
  <si>
    <t>Management did not give FY2026 or Q4 revenue guidance; no midpoint can be calculated.</t>
  </si>
  <si>
    <t>Normalized net income</t>
  </si>
  <si>
    <t>Net-income consensus is implied from CapIQ normalized EPS × 35.633m forecast shares; CapIQ provides no standalone net-income consensus.</t>
  </si>
  <si>
    <t>Normalized diluted EPS, USD</t>
  </si>
  <si>
    <t>OVERALL MODEL CHECK</t>
  </si>
  <si>
    <t>P(beat consensus EPS)</t>
  </si>
  <si>
    <t>Confidence</t>
  </si>
  <si>
    <t>low</t>
  </si>
  <si>
    <t>GAAP diluted EPS, USD</t>
  </si>
  <si>
    <t>EPS basis explanation</t>
  </si>
  <si>
    <t>Issuer reports GAAP USD/common share; CapIQ normalized actuals equal GAAP for the six supplied historical quarters.</t>
  </si>
  <si>
    <t>Notes</t>
  </si>
  <si>
    <t>FY26 guidance context</t>
  </si>
  <si>
    <t>FY26 Total reported EBITDA guide 739–761 million; resort guide 735–755 million.</t>
  </si>
  <si>
    <t>Weather risk</t>
  </si>
  <si>
    <t>Australian 2026 winter skiing was unusually poor; June FY guidance assumed normal Australian weather.</t>
  </si>
  <si>
    <t>Revenue summary</t>
  </si>
  <si>
    <t>Mountain revenue</t>
  </si>
  <si>
    <t xml:space="preserve">  Y/Y growth</t>
  </si>
  <si>
    <t xml:space="preserve">  Q/Q growth</t>
  </si>
  <si>
    <t xml:space="preserve">  % of total revenue</t>
  </si>
  <si>
    <t>Lodging revenue</t>
  </si>
  <si>
    <t>Real Estate revenue</t>
  </si>
  <si>
    <t>Total net revenue</t>
  </si>
  <si>
    <t xml:space="preserve">  Segment reconciliation</t>
  </si>
  <si>
    <t xml:space="preserve">  Compared with CapIQ historical actual</t>
  </si>
  <si>
    <t>Australia winter visit indicator</t>
  </si>
  <si>
    <t xml:space="preserve">  Perisher seasonal visits (000; through Sep)</t>
  </si>
  <si>
    <t xml:space="preserve">  Perisher decade-average visits (000)</t>
  </si>
  <si>
    <t xml:space="preserve">  FY26 vs decade average</t>
  </si>
  <si>
    <t xml:space="preserve">  International operations meaningful: Geo tab</t>
  </si>
  <si>
    <t>Segment - Mountain</t>
  </si>
  <si>
    <t>Lift</t>
  </si>
  <si>
    <t xml:space="preserve">  Organic growth</t>
  </si>
  <si>
    <t xml:space="preserve">  M&amp;A / scope</t>
  </si>
  <si>
    <t xml:space="preserve">  FX impact</t>
  </si>
  <si>
    <t xml:space="preserve">  Total Y/Y</t>
  </si>
  <si>
    <t>Ski School</t>
  </si>
  <si>
    <t>Mountain Dining</t>
  </si>
  <si>
    <t>Retail/Rental</t>
  </si>
  <si>
    <t>Mountain Other</t>
  </si>
  <si>
    <t>Mountain net revenue</t>
  </si>
  <si>
    <t xml:space="preserve">  Reported EBITDA margin</t>
  </si>
  <si>
    <t xml:space="preserve">  Labor / benefits</t>
  </si>
  <si>
    <t xml:space="preserve">  Retail cost of sales</t>
  </si>
  <si>
    <t xml:space="preserve">  Resort related fees</t>
  </si>
  <si>
    <t xml:space="preserve">  General and administrative</t>
  </si>
  <si>
    <t xml:space="preserve">  Other operating expense</t>
  </si>
  <si>
    <t>Mountain operating expense</t>
  </si>
  <si>
    <t>Mountain equity income</t>
  </si>
  <si>
    <t>Mountain reported EBITDA</t>
  </si>
  <si>
    <t xml:space="preserve">  EBITDA Y/Y</t>
  </si>
  <si>
    <t xml:space="preserve">  EBITDA margin bps Y/Y</t>
  </si>
  <si>
    <t>Prior-year Q4 EBITDA disclosed input</t>
  </si>
  <si>
    <t>CHECK: reported Q4 EBITDA reconciles</t>
  </si>
  <si>
    <t>Australia pass and operating drivers</t>
  </si>
  <si>
    <t>Pass unit opening index (FY25=100)</t>
  </si>
  <si>
    <t>Quarterly indexed pass/booking volumes are not disclosed before the July forecast; sequential change is n.a., not a change from the year-ago July quarter.</t>
  </si>
  <si>
    <t xml:space="preserve">  Y/Y opening index change</t>
  </si>
  <si>
    <t xml:space="preserve">  Sequential opening index change</t>
  </si>
  <si>
    <t>Gross additions index (illustrative)</t>
  </si>
  <si>
    <t xml:space="preserve">  Y/Y gross-add index change</t>
  </si>
  <si>
    <t xml:space="preserve">  Sequential gross-add index change</t>
  </si>
  <si>
    <t>Terminations / churn index</t>
  </si>
  <si>
    <t xml:space="preserve">  Y/Y termination index change</t>
  </si>
  <si>
    <t xml:space="preserve">  Sequential termination index change</t>
  </si>
  <si>
    <t>Net additions index</t>
  </si>
  <si>
    <t xml:space="preserve">  Y/Y net-add index change</t>
  </si>
  <si>
    <t xml:space="preserve">  Sequential net-add index change</t>
  </si>
  <si>
    <t>Closing pass unit index</t>
  </si>
  <si>
    <t xml:space="preserve">  Y/Y closing units growth</t>
  </si>
  <si>
    <t xml:space="preserve">  Sequential closing unit change</t>
  </si>
  <si>
    <t>Average pass unit index</t>
  </si>
  <si>
    <t xml:space="preserve">  Y/Y average unit growth</t>
  </si>
  <si>
    <t xml:space="preserve">  Sequential average unit change</t>
  </si>
  <si>
    <t>Pass churn rate</t>
  </si>
  <si>
    <t xml:space="preserve">  Change in churn (bps)</t>
  </si>
  <si>
    <t>Pass sales-dollar index</t>
  </si>
  <si>
    <t xml:space="preserve">  Y/Y sales growth</t>
  </si>
  <si>
    <t xml:space="preserve">  Sequential sales index change</t>
  </si>
  <si>
    <t>Realised pass price index</t>
  </si>
  <si>
    <t xml:space="preserve">  Y/Y realised price growth</t>
  </si>
  <si>
    <t xml:space="preserve">  Sequential price index change</t>
  </si>
  <si>
    <t>Perisher visits through Sep (000)</t>
  </si>
  <si>
    <t xml:space="preserve">  Visit difference vs decade avg (000)</t>
  </si>
  <si>
    <t xml:space="preserve">  Visit shortfall vs decade avg (%)</t>
  </si>
  <si>
    <t>610k/1m is September 2026 visits versus a decade-average seasonal benchmark; no FY25 visit-ratio comparison is disclosed.</t>
  </si>
  <si>
    <t>Perisher decade-average visits (000)</t>
  </si>
  <si>
    <t>Current visits / decade-average visits</t>
  </si>
  <si>
    <t xml:space="preserve">  Shortfall vs decade avg (bps)</t>
  </si>
  <si>
    <t>July ski-visits volume index (FY25=100)</t>
  </si>
  <si>
    <t xml:space="preserve">  July visit volume Y/Y</t>
  </si>
  <si>
    <t xml:space="preserve">  July visit sequential index change</t>
  </si>
  <si>
    <t>July lift realised price index</t>
  </si>
  <si>
    <t xml:space="preserve">  Lift price Y/Y</t>
  </si>
  <si>
    <t xml:space="preserve">  Lift price sequential index change</t>
  </si>
  <si>
    <t>Ski-school realised price index</t>
  </si>
  <si>
    <t xml:space="preserve">  Ski-school price Y/Y</t>
  </si>
  <si>
    <t xml:space="preserve">  School price sequential change</t>
  </si>
  <si>
    <t>Dining realised spend index</t>
  </si>
  <si>
    <t xml:space="preserve">  Dining spend Y/Y</t>
  </si>
  <si>
    <t xml:space="preserve">  Dining spend sequential change</t>
  </si>
  <si>
    <t>Retail / rental realised price index</t>
  </si>
  <si>
    <t xml:space="preserve">  Retail price Y/Y</t>
  </si>
  <si>
    <t xml:space="preserve">  Retail price sequential change</t>
  </si>
  <si>
    <t>Other activities revenue index</t>
  </si>
  <si>
    <t xml:space="preserve">  Other activity Y/Y growth</t>
  </si>
  <si>
    <t xml:space="preserve">  Other activity sequential change</t>
  </si>
  <si>
    <t>Forecast labor expense Y/Y</t>
  </si>
  <si>
    <t>Forecast retail expense Y/Y</t>
  </si>
  <si>
    <t>Forecast resort fees Y/Y</t>
  </si>
  <si>
    <t>Forecast G&amp;A expense Y/Y</t>
  </si>
  <si>
    <t>Forecast other expense Y/Y</t>
  </si>
  <si>
    <t>Segment - Lodging</t>
  </si>
  <si>
    <t>Owned hotel rooms</t>
  </si>
  <si>
    <t>Managed condominium rooms</t>
  </si>
  <si>
    <t>Lodging Dining</t>
  </si>
  <si>
    <t>Transportation</t>
  </si>
  <si>
    <t>Golf</t>
  </si>
  <si>
    <t>Lodging Other</t>
  </si>
  <si>
    <t>Payroll cost reimbursements</t>
  </si>
  <si>
    <t>Lodging net revenue</t>
  </si>
  <si>
    <t xml:space="preserve">  Y/Y revenue</t>
  </si>
  <si>
    <t xml:space="preserve">  Q/Q revenue</t>
  </si>
  <si>
    <t xml:space="preserve">  EBITDA margin</t>
  </si>
  <si>
    <t xml:space="preserve">  Change in EBITDA margin (bps)</t>
  </si>
  <si>
    <t xml:space="preserve">  Payroll reimbursement costs</t>
  </si>
  <si>
    <t xml:space="preserve">  Other operating costs</t>
  </si>
  <si>
    <t>Lodging operating expense</t>
  </si>
  <si>
    <t>Lodging reported EBITDA</t>
  </si>
  <si>
    <t>Room / guest operating driver ladder</t>
  </si>
  <si>
    <t>Owned-room available night index</t>
  </si>
  <si>
    <t xml:space="preserve">  Y/Y available night change</t>
  </si>
  <si>
    <t xml:space="preserve">  Sequential night change</t>
  </si>
  <si>
    <t>Owned-room occupied night index</t>
  </si>
  <si>
    <t xml:space="preserve">  Occupied night Y/Y growth</t>
  </si>
  <si>
    <t xml:space="preserve">  Occupied night sequential change</t>
  </si>
  <si>
    <t>Owned-room ADR price index</t>
  </si>
  <si>
    <t xml:space="preserve">  ADR Y/Y change</t>
  </si>
  <si>
    <t xml:space="preserve">  ADR sequential change</t>
  </si>
  <si>
    <t>Managed room night index</t>
  </si>
  <si>
    <t xml:space="preserve">  Managed night Y/Y change</t>
  </si>
  <si>
    <t xml:space="preserve">  Managed night sequential change</t>
  </si>
  <si>
    <t>Dining average spend index</t>
  </si>
  <si>
    <t xml:space="preserve">  Dining spend Y/Y change</t>
  </si>
  <si>
    <t>FY26 assumptions: labor cost Y/Y</t>
  </si>
  <si>
    <t>FY26 assumptions: G&amp;A cost Y/Y</t>
  </si>
  <si>
    <t>FY26 assumptions: payroll Y/Y</t>
  </si>
  <si>
    <t>FY26 assumptions: other cost Y/Y</t>
  </si>
  <si>
    <t>Opening room-night booking index</t>
  </si>
  <si>
    <t xml:space="preserve">  Opening Y/Y index change</t>
  </si>
  <si>
    <t xml:space="preserve">  Opening sequential index change</t>
  </si>
  <si>
    <t>Gross booking additions index</t>
  </si>
  <si>
    <t xml:space="preserve">  Gross additions Y/Y change</t>
  </si>
  <si>
    <t xml:space="preserve">  Gross additions sequential change</t>
  </si>
  <si>
    <t>Cancellations / churn index</t>
  </si>
  <si>
    <t xml:space="preserve">  Cancellation Y/Y change</t>
  </si>
  <si>
    <t xml:space="preserve">  Cancellation sequential change</t>
  </si>
  <si>
    <t>Net bookings additions index</t>
  </si>
  <si>
    <t xml:space="preserve">  Net additions Y/Y change</t>
  </si>
  <si>
    <t xml:space="preserve">  Net additions sequential change</t>
  </si>
  <si>
    <t>Closing occupied room-night index</t>
  </si>
  <si>
    <t xml:space="preserve">  Closing Y/Y growth</t>
  </si>
  <si>
    <t xml:space="preserve">  Closing sequential change</t>
  </si>
  <si>
    <t>Average room-night booking index</t>
  </si>
  <si>
    <t xml:space="preserve">  Average Y/Y growth</t>
  </si>
  <si>
    <t xml:space="preserve">  Average sequential change</t>
  </si>
  <si>
    <t>Bookings cancellation rate</t>
  </si>
  <si>
    <t xml:space="preserve">  Cancellation-rate change (bps)</t>
  </si>
  <si>
    <t>Owned-room occupancy rate</t>
  </si>
  <si>
    <t xml:space="preserve">  Occupancy-rate change (bps)</t>
  </si>
  <si>
    <t>Owned-room RevPAR index</t>
  </si>
  <si>
    <t xml:space="preserve">  RevPAR Y/Y growth</t>
  </si>
  <si>
    <t xml:space="preserve">  RevPAR sequential change</t>
  </si>
  <si>
    <t>Managed-room realized price index</t>
  </si>
  <si>
    <t xml:space="preserve">  Y/Y index growth</t>
  </si>
  <si>
    <t xml:space="preserve">  Sequential index change</t>
  </si>
  <si>
    <t>Dining volume / guest index</t>
  </si>
  <si>
    <t>Transportation volume index</t>
  </si>
  <si>
    <t>Golf volume index</t>
  </si>
  <si>
    <t>Other lodging activity index</t>
  </si>
  <si>
    <t>Payroll-recovery volume index</t>
  </si>
  <si>
    <t>Segment - Real Estate</t>
  </si>
  <si>
    <t>Real estate property-sale revenue</t>
  </si>
  <si>
    <t xml:space="preserve">  Organic Y/Y</t>
  </si>
  <si>
    <t xml:space="preserve">  M&amp;A / scope Y/Y</t>
  </si>
  <si>
    <t xml:space="preserve">  FX impact Y/Y</t>
  </si>
  <si>
    <t>Real estate net revenue</t>
  </si>
  <si>
    <t xml:space="preserve">  Other segment expense</t>
  </si>
  <si>
    <t>Total real estate operating costs</t>
  </si>
  <si>
    <t>Gain on real property sales</t>
  </si>
  <si>
    <t>Real estate reported EBITDA</t>
  </si>
  <si>
    <t>Held-for-sale / investment real estate</t>
  </si>
  <si>
    <t xml:space="preserve">  Y/Y asset balance change</t>
  </si>
  <si>
    <t xml:space="preserve">  Sequential asset balance change</t>
  </si>
  <si>
    <t>Property sale transaction / volume index</t>
  </si>
  <si>
    <t xml:space="preserve">  Y/Y volume change</t>
  </si>
  <si>
    <t xml:space="preserve">  Sequential volume change</t>
  </si>
  <si>
    <t>Price / realised property-sale index</t>
  </si>
  <si>
    <t xml:space="preserve">  Y/Y price change</t>
  </si>
  <si>
    <t xml:space="preserve">  Sequential price change</t>
  </si>
  <si>
    <t>Forecast operating cost change Y/Y</t>
  </si>
  <si>
    <t xml:space="preserve">  Forecast change held-for-sale asset</t>
  </si>
  <si>
    <t>Income Statement</t>
  </si>
  <si>
    <t>Mountain &amp; Lodging services / other</t>
  </si>
  <si>
    <t>Mountain &amp; Lodging retail / dining</t>
  </si>
  <si>
    <t>Resort net revenue</t>
  </si>
  <si>
    <t>Real Estate net revenue</t>
  </si>
  <si>
    <t xml:space="preserve">  Total revenue Y/Y</t>
  </si>
  <si>
    <t xml:space="preserve">  Total revenue Q/Q</t>
  </si>
  <si>
    <t>Mountain &amp; Lodging operating expense</t>
  </si>
  <si>
    <t>Retail and dining cost of products</t>
  </si>
  <si>
    <t>General and administrative expense</t>
  </si>
  <si>
    <t>Resort operating expenses</t>
  </si>
  <si>
    <t>Real Estate operating expenses</t>
  </si>
  <si>
    <t>Total segment operating expenses</t>
  </si>
  <si>
    <t>Reported total EBITDA</t>
  </si>
  <si>
    <t>Depreciation and amortization</t>
  </si>
  <si>
    <t>Gain / (loss) on real property</t>
  </si>
  <si>
    <t>Contingent consideration FV change</t>
  </si>
  <si>
    <t>Fixed asset disposals, net</t>
  </si>
  <si>
    <t>Operating income / (loss)</t>
  </si>
  <si>
    <t>Mountain equity investment income</t>
  </si>
  <si>
    <t>Investment and other income</t>
  </si>
  <si>
    <t>FX gain / (loss) on interco loans</t>
  </si>
  <si>
    <t>Interest expense, net</t>
  </si>
  <si>
    <t>Pre-tax income / (loss)</t>
  </si>
  <si>
    <t>Income tax benefit / (expense)</t>
  </si>
  <si>
    <t>Consolidated net income / (loss)</t>
  </si>
  <si>
    <t>(Income) loss attributed to NCI</t>
  </si>
  <si>
    <t>GAAP net income attributed to Vail</t>
  </si>
  <si>
    <t xml:space="preserve">  Net income / net revenue</t>
  </si>
  <si>
    <t>Weighted basic shares (millions)</t>
  </si>
  <si>
    <t>Weighted diluted shares (millions)</t>
  </si>
  <si>
    <t>GAAP basic EPS, USD</t>
  </si>
  <si>
    <t>GAAP → normalized adjustments</t>
  </si>
  <si>
    <t xml:space="preserve">  Contingent FV adjustment, after tax</t>
  </si>
  <si>
    <t xml:space="preserve">  Real-property gains adjustment</t>
  </si>
  <si>
    <t xml:space="preserve">  CEO transition cost adjustment</t>
  </si>
  <si>
    <t xml:space="preserve">  Transformation cost adjustment</t>
  </si>
  <si>
    <t xml:space="preserve">  Other exceptional items</t>
  </si>
  <si>
    <t>Normalized net income, USD m</t>
  </si>
  <si>
    <t xml:space="preserve">  EPS / NI identity check</t>
  </si>
  <si>
    <t xml:space="preserve">  CapIQ historical diluted EPS difference</t>
  </si>
  <si>
    <t>CHECK: issuer reported GAAP net income</t>
  </si>
  <si>
    <t>Forecast tax rate on pre-tax loss</t>
  </si>
  <si>
    <t>Forecast retail / dining revenue Y/Y</t>
  </si>
  <si>
    <t>Forecast retail cost Y/Y</t>
  </si>
  <si>
    <t>Forecast depreciation Y/Y</t>
  </si>
  <si>
    <t>Forecast interest Y/Y</t>
  </si>
  <si>
    <t>Forecast investment income Y/Y</t>
  </si>
  <si>
    <t>Forecast fair value movement, $m</t>
  </si>
  <si>
    <t>Forecast fixed asset disposals, $m</t>
  </si>
  <si>
    <t>Forecast NCI expense / benefit Y/Y</t>
  </si>
  <si>
    <t>Forecast general administrative cost Y/Y</t>
  </si>
  <si>
    <t>Balance Sheet</t>
  </si>
  <si>
    <t>Cash and cash equivalents</t>
  </si>
  <si>
    <t>Restricted cash</t>
  </si>
  <si>
    <t>Trade accounts receivable</t>
  </si>
  <si>
    <t>Inventories</t>
  </si>
  <si>
    <t>Other current assets</t>
  </si>
  <si>
    <t>Total current assets</t>
  </si>
  <si>
    <t>Property, plant &amp; equipment</t>
  </si>
  <si>
    <t>Real estate held for sale / invest</t>
  </si>
  <si>
    <t>Goodwill</t>
  </si>
  <si>
    <t>Identifiable intangibles</t>
  </si>
  <si>
    <t>Operating ROU lease assets</t>
  </si>
  <si>
    <t>Other assets</t>
  </si>
  <si>
    <t>TOTAL ASSETS</t>
  </si>
  <si>
    <t>Accounts payable &amp; accrued</t>
  </si>
  <si>
    <t>Income taxes payable</t>
  </si>
  <si>
    <t>Current portion of debt</t>
  </si>
  <si>
    <t>Total current liabilities</t>
  </si>
  <si>
    <t>Long-term debt</t>
  </si>
  <si>
    <t>Operating lease liabilities</t>
  </si>
  <si>
    <t>Other long-term liabilities</t>
  </si>
  <si>
    <t>Deferred taxes, net</t>
  </si>
  <si>
    <t>TOTAL LIABILITIES</t>
  </si>
  <si>
    <t>Common shares at par</t>
  </si>
  <si>
    <t>Additional paid-in capital</t>
  </si>
  <si>
    <t>Accumulated OCI / translation</t>
  </si>
  <si>
    <t>Retained earnings</t>
  </si>
  <si>
    <t>Treasury stock at cost</t>
  </si>
  <si>
    <t>Equity attributable to common</t>
  </si>
  <si>
    <t>Noncontrolling interests</t>
  </si>
  <si>
    <t>TOTAL EQUITY</t>
  </si>
  <si>
    <t>CHECK: assets − liabilities − equity</t>
  </si>
  <si>
    <t>Accounts receivable forecast Y/Y</t>
  </si>
  <si>
    <t>Inventory forecast Y/Y</t>
  </si>
  <si>
    <t>Other current assets forecast Y/Y</t>
  </si>
  <si>
    <t>PP&amp;E forecast Y/Y</t>
  </si>
  <si>
    <t>Goodwill forecast Y/Y</t>
  </si>
  <si>
    <t>Long-term debt forecast Y/Y</t>
  </si>
  <si>
    <t>Deferred tax forecast Y/Y</t>
  </si>
  <si>
    <t>Forecast common dividend, $m</t>
  </si>
  <si>
    <t>Forecast season-end accrued payables growth</t>
  </si>
  <si>
    <t>Forecast other long-term liabilities growth</t>
  </si>
  <si>
    <t>Cash Flow Statement</t>
  </si>
  <si>
    <t>Operating cash flow</t>
  </si>
  <si>
    <t>Capital expenditures</t>
  </si>
  <si>
    <t>Other investing cash flow</t>
  </si>
  <si>
    <t>Investing cash flow</t>
  </si>
  <si>
    <t>Stock repurchases</t>
  </si>
  <si>
    <t>Cash dividends</t>
  </si>
  <si>
    <t>Debt and other financing</t>
  </si>
  <si>
    <t>Financing cash flow</t>
  </si>
  <si>
    <t>Currency impact on cash</t>
  </si>
  <si>
    <t>NET CHANGE IN CASH</t>
  </si>
  <si>
    <t>Beginning cash incl restricted</t>
  </si>
  <si>
    <t>Ending cash incl restricted</t>
  </si>
  <si>
    <t>Balance Sheet cash incl restricted</t>
  </si>
  <si>
    <t>CHECK: cash flow ties to BS</t>
  </si>
  <si>
    <t>CFO before working-capital recon: Y/Y</t>
  </si>
  <si>
    <t>Forecast capex change vs FY25 Q4</t>
  </si>
  <si>
    <t>Forecast other investing, $m</t>
  </si>
  <si>
    <t>Forecast net debt financing, $m</t>
  </si>
  <si>
    <t>Forecast FX cash, $m</t>
  </si>
  <si>
    <t xml:space="preserve">  Seasonal CFO before balance changes</t>
  </si>
  <si>
    <t xml:space="preserve">  Other working-capital / noncash recon</t>
  </si>
  <si>
    <t>Explicit indirect cash-flow adjustment implied by independent BS assets, liabilities and equity; not a typed payables or liability plug.</t>
  </si>
  <si>
    <t>Geo</t>
  </si>
  <si>
    <t>United States revenue</t>
  </si>
  <si>
    <t>Quarterly country splits are analyst allocations, NOT reported by Vail. FY25 annual split from 10-K geographic note.</t>
  </si>
  <si>
    <t>Canada revenue</t>
  </si>
  <si>
    <t>Other international revenue</t>
  </si>
  <si>
    <t>International subtotal</t>
  </si>
  <si>
    <t>Total by geography</t>
  </si>
  <si>
    <t>CHECK: geo less consolidated</t>
  </si>
  <si>
    <t xml:space="preserve">  United States % of revenue</t>
  </si>
  <si>
    <t xml:space="preserve">  Canada % of revenue</t>
  </si>
  <si>
    <t xml:space="preserve">  Other international %</t>
  </si>
  <si>
    <t>Geographic disclosure basis</t>
  </si>
  <si>
    <t>Issuer reports geography annually only (FY2025 10-K). Quarterly geographic values shown as analyst estimates.</t>
  </si>
  <si>
    <t>Share Count</t>
  </si>
  <si>
    <t>Weighted basic shares, millions</t>
  </si>
  <si>
    <t xml:space="preserve">  Potential dilutive securities</t>
  </si>
  <si>
    <t>Weighted diluted shares, millions</t>
  </si>
  <si>
    <t>Common stock repurchases, $m</t>
  </si>
  <si>
    <t>Common shares repurchased, millions</t>
  </si>
  <si>
    <t>Gross shares issued, millions</t>
  </si>
  <si>
    <t>Forecast EPS denominator, millions</t>
  </si>
  <si>
    <t xml:space="preserve">  Basic share Y/Y change</t>
  </si>
  <si>
    <t xml:space="preserve">  Basic sequential change</t>
  </si>
  <si>
    <t xml:space="preserve">  Diluted shares check</t>
  </si>
  <si>
    <t>Outstanding shares at period end (m)</t>
  </si>
  <si>
    <t>Guidance</t>
  </si>
  <si>
    <t>Management guidance: USD millions</t>
  </si>
  <si>
    <t>Published</t>
  </si>
  <si>
    <t>Metric</t>
  </si>
  <si>
    <t>Low</t>
  </si>
  <si>
    <t>High</t>
  </si>
  <si>
    <t>Midpoint</t>
  </si>
  <si>
    <t>Actual</t>
  </si>
  <si>
    <t>Beat / miss</t>
  </si>
  <si>
    <t>2026-06-08</t>
  </si>
  <si>
    <t>FY2026</t>
  </si>
  <si>
    <t>Net income attributed to MTN</t>
  </si>
  <si>
    <t>Resort reported EBITDA</t>
  </si>
  <si>
    <t>Total reported EBITDA</t>
  </si>
  <si>
    <t>Real Estate EBITDA</t>
  </si>
  <si>
    <t>Provision for income taxes</t>
  </si>
  <si>
    <t>2025-09-29</t>
  </si>
  <si>
    <t>Initial net income</t>
  </si>
  <si>
    <t>Resort EBITDA</t>
  </si>
  <si>
    <t>Forecast implied by latest guidance</t>
  </si>
  <si>
    <t>FY26 nine months net income attributed</t>
  </si>
  <si>
    <t>FY26 nine months reported EBITDA</t>
  </si>
  <si>
    <t>Guidance midpoint Q4 net income</t>
  </si>
  <si>
    <t>Guidance midpoint Q4 EBITDA</t>
  </si>
  <si>
    <t>Guidance midpoint Q4 EPS, USD</t>
  </si>
  <si>
    <t>FY26 total EBITDA vs midpoint</t>
  </si>
  <si>
    <t>FY26 net income vs midpoint</t>
  </si>
  <si>
    <t>Guidance risk factor</t>
  </si>
  <si>
    <t>June guidance assumed normal Australian winter; September pre-release reports show sparse snow and visitation.</t>
  </si>
  <si>
    <t>Sources</t>
  </si>
  <si>
    <t>Source ID</t>
  </si>
  <si>
    <t>Publisher</t>
  </si>
  <si>
    <t>URL or attachment</t>
  </si>
  <si>
    <t>Feeds / evidence</t>
  </si>
  <si>
    <t>Source details / full links</t>
  </si>
  <si>
    <t>I01</t>
  </si>
  <si>
    <t>2026-09-24</t>
  </si>
  <si>
    <t>S&amp;P Capital IQ</t>
  </si>
  <si>
    <t>Street inputs</t>
  </si>
  <si>
    <t>CapIQ summary; Sept 24 capture</t>
  </si>
  <si>
    <t>I02</t>
  </si>
  <si>
    <t>CapIQ history</t>
  </si>
  <si>
    <t>Six reported CapIQ history rows</t>
  </si>
  <si>
    <t>S01</t>
  </si>
  <si>
    <t>SEC (Vail 10-K)</t>
  </si>
  <si>
    <t>FY25 actuals</t>
  </si>
  <si>
    <t>FY25 audited accounts and geography</t>
  </si>
  <si>
    <t>S02</t>
  </si>
  <si>
    <t>Vail Resorts / SEC</t>
  </si>
  <si>
    <t>4Q25 actuals</t>
  </si>
  <si>
    <t>FY25 Q4 quarterly results</t>
  </si>
  <si>
    <t>S03</t>
  </si>
  <si>
    <t>2025-12-10</t>
  </si>
  <si>
    <t>SEC (Vail 10-Q)</t>
  </si>
  <si>
    <t>1Q26 actuals</t>
  </si>
  <si>
    <t>FY26 first-quarter issuer 10-Q</t>
  </si>
  <si>
    <t>S04</t>
  </si>
  <si>
    <t>2026-03-09</t>
  </si>
  <si>
    <t>2Q26 actuals</t>
  </si>
  <si>
    <t>FY26 second-quarter issuer 10-Q</t>
  </si>
  <si>
    <t>S05</t>
  </si>
  <si>
    <t>3Q26 actuals</t>
  </si>
  <si>
    <t>FY26 third-quarter issuer 10-Q</t>
  </si>
  <si>
    <t>S06</t>
  </si>
  <si>
    <t>FY26 guide</t>
  </si>
  <si>
    <t>FY26 net income / EBITDA guide</t>
  </si>
  <si>
    <t>S07</t>
  </si>
  <si>
    <t>SEC annual note</t>
  </si>
  <si>
    <t>FY25 geo</t>
  </si>
  <si>
    <t>FY25 geography and segment profit</t>
  </si>
  <si>
    <t>S08</t>
  </si>
  <si>
    <t>Sales detail</t>
  </si>
  <si>
    <t>FY25 segment product revenues</t>
  </si>
  <si>
    <t>S09</t>
  </si>
  <si>
    <t>SEC annual statement</t>
  </si>
  <si>
    <t>FY25 balance</t>
  </si>
  <si>
    <t>FY25 audited balance sheet</t>
  </si>
  <si>
    <t>S10</t>
  </si>
  <si>
    <t>FY25 cash</t>
  </si>
  <si>
    <t>FY25 audited cash-flow statement</t>
  </si>
  <si>
    <t>N01</t>
  </si>
  <si>
    <t>2026-09-03</t>
  </si>
  <si>
    <t>ABC Australia</t>
  </si>
  <si>
    <t>AUS weather</t>
  </si>
  <si>
    <t>Australia winter: record-low snow</t>
  </si>
  <si>
    <t>N02</t>
  </si>
  <si>
    <t>2026-09-11</t>
  </si>
  <si>
    <t>Alpine Observer</t>
  </si>
  <si>
    <t>Visits data</t>
  </si>
  <si>
    <t>Perisher visitation and ski visits</t>
  </si>
  <si>
    <t>N03</t>
  </si>
  <si>
    <t>2026-09-25</t>
  </si>
  <si>
    <t>Zacks Investment Research</t>
  </si>
  <si>
    <t>Miss signals</t>
  </si>
  <si>
    <t>Street EPS revision / miss case</t>
  </si>
  <si>
    <t>N04</t>
  </si>
  <si>
    <t>2026-08-12</t>
  </si>
  <si>
    <t>J2Ski</t>
  </si>
  <si>
    <t>August snow</t>
  </si>
  <si>
    <t>August Australian terrain recovery</t>
  </si>
  <si>
    <t>Attachment audit</t>
  </si>
  <si>
    <t>SHA256 / detail</t>
  </si>
  <si>
    <t>MTN_history.csv</t>
  </si>
  <si>
    <t>MTN_consensus.json</t>
  </si>
  <si>
    <t>Consensus as-of</t>
  </si>
  <si>
    <t>Scope of omitted tabs</t>
  </si>
  <si>
    <t>All substantive tabs retained: three reported segments, international geography and three financial statements.</t>
  </si>
  <si>
    <t>Standalone Dates / Consensus / Checks</t>
  </si>
  <si>
    <t>Dates repeated within sheet headers; consensus in Cover; checks in artifacts/checks.md.</t>
  </si>
  <si>
    <t>Inputs</t>
  </si>
  <si>
    <t>period_end_date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</si>
  <si>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</si>
  <si>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</si>
  <si>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</si>
  <si>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</si>
  <si>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</si>
  <si>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</si>
  <si>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 xml:space="preserve">report_date_x000D_</t>
  </si>
  <si>
    <t>S&amp;P Capital IQ full summary row — captured 2026-09-24 (date precision only)</t>
  </si>
  <si>
    <t>ticker</t>
  </si>
  <si>
    <t>MTN</t>
  </si>
  <si>
    <t>company</t>
  </si>
  <si>
    <t>exchange_ticker</t>
  </si>
  <si>
    <t>NYSE:MTN</t>
  </si>
  <si>
    <t>capiq_company_id</t>
  </si>
  <si>
    <t>analyst_count</t>
  </si>
  <si>
    <t>fiscal_year_end</t>
  </si>
  <si>
    <t>Jul-31</t>
  </si>
  <si>
    <t>forward_quarter_label</t>
  </si>
  <si>
    <t>FQ4 2026 - Jul 2026</t>
  </si>
  <si>
    <t>2026-07-31</t>
  </si>
  <si>
    <t>expected_report_date</t>
  </si>
  <si>
    <t>2026-09-28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</si>
  <si>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</si>
  <si>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</si>
  <si>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</si>
  <si>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</si>
  <si>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</si>
  <si>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</si>
  <si>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</si>
  <si>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</si>
  <si>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</si>
  <si>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</si>
  <si>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</si>
  <si>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</si>
  <si>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</si>
  <si>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</si>
  <si>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</si>
  <si>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</si>
  <si>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</si>
  <si>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</si>
  <si>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</si>
  <si>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</si>
  <si>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</si>
  <si>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</si>
  <si>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</si>
  <si>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</si>
  <si>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</si>
  <si>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</si>
  <si>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</si>
  <si>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</si>
  <si>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</si>
  <si>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</si>
  <si>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</si>
  <si>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</si>
  <si>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</si>
  <si>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</si>
  <si>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</si>
  <si>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</si>
  <si>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</si>
  <si>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</si>
  <si>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</si>
  <si>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</si>
  <si>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</si>
  <si>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</si>
  <si>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</si>
  <si>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</si>
  <si>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</si>
  <si>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notes</t>
  </si>
  <si>
    <t>July-31 fiscal year end; the Jul and Oct quarters are the off-season and are loss-making, which is why CapIQ marks their surprise percent NM. Guidance for FY2026 EBITDA is 739.00 to 761.00 million.</t>
  </si>
  <si>
    <t>Consensus captured date</t>
  </si>
  <si>
    <t>History SHA256</t>
  </si>
  <si>
    <t>6ab94ee31f100c0c2f72127b6e337655929ce42400e91464dad1287d7a5fdf9a</t>
  </si>
  <si>
    <t>Consensus SHA256</t>
  </si>
  <si>
    <t>598e59b445e357d8ef0d6fdba4a186362b0cb0d3b05cc61dbe62e3b7d1d3c3ac</t>
  </si>
  <si>
    <t>Normalization basis</t>
  </si>
  <si>
    <t>Normalized diluted USD/common share; verify issuer definition</t>
  </si>
  <si>
    <t>Historical Q4 FY2025 GAAP net income</t>
  </si>
  <si>
    <t>FY2025 GAAP net income</t>
  </si>
  <si>
    <t>Q1 FY2026 GAAP net income</t>
  </si>
  <si>
    <t>FY2025 annual Canada revenue</t>
  </si>
  <si>
    <t>FY2025 nine-month segment expenses (FY2026 April 10-Q)</t>
  </si>
  <si>
    <t>Mountain Labor and labor-related benefits</t>
  </si>
  <si>
    <t>Mountain Retail cost of sales</t>
  </si>
  <si>
    <t>Mountain Resort related fees</t>
  </si>
  <si>
    <t>Mountain General and administrative</t>
  </si>
  <si>
    <t>Mountain Other (1)</t>
  </si>
  <si>
    <t>Lodging Labor and labor-related benefits</t>
  </si>
  <si>
    <t>Lodging General and administrative</t>
  </si>
  <si>
    <t>Lodging Reimbursed payroll costs</t>
  </si>
  <si>
    <t>Lodging Other (1)</t>
  </si>
  <si>
    <t>Real Estate Other (1)</t>
  </si>
  <si>
    <t>FY2025 nine-month product revenue (FY2026 April 10-Q)</t>
  </si>
  <si>
    <t>Real Estate</t>
  </si>
  <si>
    <t>Cash flow metric</t>
  </si>
  <si>
    <t>FY25 9m</t>
  </si>
  <si>
    <t>FY26 6m</t>
  </si>
  <si>
    <t>FY26 9m</t>
  </si>
  <si>
    <t>FX effect on cash</t>
  </si>
  <si>
    <t>Tolerance for financial tie-outs</t>
  </si>
  <si>
    <t>Decadal-visit ratio benchmark (100%)</t>
  </si>
</sst>
</file>

<file path=xl/styles.xml><?xml version="1.0" encoding="utf-8"?>
<styleSheet xmlns="http://schemas.openxmlformats.org/spreadsheetml/2006/main">
  <numFmts count="9">
    <numFmt numFmtId="164" formatCode="#,##0.0_);(#,##0.0);–_)"/>
    <numFmt numFmtId="165" formatCode="0.0%_);(0.0%);–_)"/>
    <numFmt numFmtId="166" formatCode="yyyy-mm-dd"/>
    <numFmt numFmtId="167" formatCode="$0.00;($0.00);–"/>
    <numFmt numFmtId="168" formatCode="0.0%"/>
    <numFmt numFmtId="169" formatCode="#,##0.00"/>
    <numFmt numFmtId="170" formatCode="General"/>
    <numFmt numFmtId="171" formatCode="#,##0.00;(#,##0.00);–"/>
    <numFmt numFmtId="172" formatCode="0.00000"/>
  </numFmts>
  <fonts count="22">
    <font>
      <sz val="11"/>
      <name val="Calibri"/>
    </font>
    <font>
      <b val="0"/>
      <i val="0"/>
      <strike val="0"/>
      <sz val="10"/>
      <color rgb="FF000000"/>
      <name val="Aptos Narrow"/>
    </font>
    <font>
      <b val="0"/>
      <i/>
      <strike val="0"/>
      <sz val="10"/>
      <color rgb="FF000000"/>
      <name val="Aptos Narrow"/>
    </font>
    <font>
      <b val="0"/>
      <i val="0"/>
      <strike val="0"/>
      <sz val="10"/>
      <color rgb="FF0000FF"/>
      <name val="Aptos Narrow"/>
    </font>
    <font>
      <b val="0"/>
      <i/>
      <strike val="0"/>
      <sz val="10"/>
      <color rgb="FF0000FF"/>
      <name val="Aptos Narrow"/>
    </font>
    <font>
      <b val="0"/>
      <i val="0"/>
      <strike val="0"/>
      <sz val="10"/>
      <color rgb="FF006100"/>
      <name val="Aptos Narrow"/>
    </font>
    <font>
      <b/>
      <i val="0"/>
      <strike val="0"/>
      <sz val="10"/>
      <color rgb="FF0000FF"/>
      <name val="Aptos Narrow"/>
    </font>
    <font>
      <b/>
      <i val="0"/>
      <strike val="0"/>
      <sz val="10"/>
      <color rgb="FF000000"/>
      <name val="Aptos Narrow"/>
    </font>
    <font>
      <b/>
      <i val="0"/>
      <strike val="0"/>
      <sz val="10"/>
      <color rgb="FF006100"/>
      <name val="Aptos Narrow"/>
    </font>
    <font>
      <b/>
      <i/>
      <strike val="0"/>
      <sz val="10"/>
      <color rgb="FF000000"/>
      <name val="Aptos Narrow"/>
    </font>
    <font>
      <b/>
      <i/>
      <strike val="0"/>
      <sz val="10"/>
      <color rgb="FF0000FF"/>
      <name val="Aptos Narrow"/>
    </font>
    <font>
      <b val="0"/>
      <i val="0"/>
      <strike val="0"/>
      <sz val="10"/>
      <color rgb="FF000000"/>
      <name val="Aptos Narrow"/>
    </font>
    <font>
      <b/>
      <i val="0"/>
      <strike val="0"/>
      <sz val="10"/>
      <color rgb="FF0000FF"/>
      <name val="Aptos Narrow"/>
    </font>
    <font>
      <b val="0"/>
      <i/>
      <strike val="0"/>
      <sz val="10"/>
      <color rgb="FF000000"/>
      <name val="Aptos Narrow"/>
    </font>
    <font>
      <b val="0"/>
      <i val="0"/>
      <strike val="0"/>
      <sz val="10"/>
      <color rgb="FF006100"/>
      <name val="Aptos Narrow"/>
    </font>
    <font>
      <b val="0"/>
      <i/>
      <strike val="0"/>
      <sz val="10"/>
      <color rgb="FF0000FF"/>
      <name val="Aptos Narrow"/>
    </font>
    <font>
      <b/>
      <i val="0"/>
      <strike val="0"/>
      <sz val="10"/>
      <color rgb="FF006100"/>
      <name val="Aptos Narrow"/>
    </font>
    <font>
      <b val="0"/>
      <i val="0"/>
      <strike val="0"/>
      <sz val="10"/>
      <color rgb="FF0000FF"/>
      <name val="Aptos Narrow"/>
    </font>
    <font>
      <b/>
      <i val="0"/>
      <strike val="0"/>
      <sz val="10"/>
      <color rgb="FF000000"/>
      <name val="Aptos Narrow"/>
    </font>
    <font>
      <b/>
      <i/>
      <strike val="0"/>
      <sz val="10"/>
      <color rgb="FF000000"/>
      <name val="Aptos Narrow"/>
    </font>
    <font>
      <b/>
      <i/>
      <strike val="0"/>
      <sz val="10"/>
      <color rgb="FF0000FF"/>
      <name val="Aptos Narrow"/>
    </font>
    <font>
      <b val="0"/>
      <i/>
      <strike val="0"/>
      <sz val="10"/>
      <color rgb="FF0061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3F7FC"/>
      </patternFill>
    </fill>
    <fill>
      <patternFill patternType="solid">
        <fgColor rgb="FFF1F2F3"/>
      </patternFill>
    </fill>
    <fill>
      <patternFill patternType="solid">
        <fgColor rgb="FFE9EBEE"/>
      </patternFill>
    </fill>
  </fills>
  <borders count="5">
    <border>
      <left/>
      <right/>
      <top/>
      <bottom/>
      <diagonal/>
    </border>
    <border>
      <top style="thin">
        <color rgb="FFB6B8BB"/>
      </top>
      <bottom style="thin">
        <color rgb="FFB6B8BB"/>
      </bottom>
    </border>
    <border>
      <top style="thin">
        <color rgb="FFADB2BA"/>
      </top>
    </border>
    <border>
      <top style="thin">
        <color rgb="FFABB2B8"/>
      </top>
    </border>
    <border>
      <top style="thin">
        <color rgb="FFABB2B8"/>
      </top>
      <bottom style="thin">
        <color rgb="FFABB2B8"/>
      </bottom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/>
      <protection locked="1" hidden="0"/>
    </xf>
    <xf numFmtId="165" fontId="2" fillId="0" borderId="0" xfId="0" applyNumberFormat="1" applyFont="1" applyFill="1" applyAlignment="1" applyProtection="1">
      <alignment horizontal="general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166" fontId="1" fillId="3" borderId="1" xfId="0" applyNumberFormat="1" applyFont="1" applyFill="1" applyBorder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general" vertical="bottom"/>
      <protection locked="1" hidden="0"/>
    </xf>
    <xf numFmtId="165" fontId="4" fillId="2" borderId="0" xfId="0" applyNumberFormat="1" applyFont="1" applyFill="1" applyAlignment="1" applyProtection="1">
      <alignment horizontal="general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  <xf numFmtId="164" fontId="3" fillId="2" borderId="0" xfId="0" applyNumberFormat="1" applyFont="1" applyFill="1" applyAlignment="1" applyProtection="1">
      <alignment horizontal="general" vertical="bottom"/>
      <protection locked="1" hidden="0"/>
    </xf>
    <xf numFmtId="164" fontId="6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7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general" vertical="bottom"/>
      <protection locked="1" hidden="0"/>
    </xf>
    <xf numFmtId="0" fontId="7" fillId="0" borderId="3" xfId="0" applyFont="1" applyFill="1" applyBorder="1" applyAlignment="1" applyProtection="1">
      <alignment horizontal="general" vertical="bottom"/>
      <protection locked="1" hidden="0"/>
    </xf>
    <xf numFmtId="165" fontId="2" fillId="2" borderId="0" xfId="0" applyNumberFormat="1" applyFont="1" applyFill="1" applyAlignment="1" applyProtection="1">
      <alignment horizontal="general" vertical="bottom"/>
      <protection locked="1" hidden="0"/>
    </xf>
    <xf numFmtId="164" fontId="8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8" fillId="2" borderId="2" xfId="0" applyNumberFormat="1" applyFont="1" applyFill="1" applyBorder="1" applyAlignment="1" applyProtection="1">
      <alignment horizontal="general" vertical="bottom"/>
      <protection locked="1" hidden="0"/>
    </xf>
    <xf numFmtId="164" fontId="7" fillId="2" borderId="2" xfId="0" applyNumberFormat="1" applyFont="1" applyFill="1" applyBorder="1" applyAlignment="1" applyProtection="1">
      <alignment horizontal="general" vertical="bottom"/>
      <protection locked="1" hidden="0"/>
    </xf>
    <xf numFmtId="164" fontId="5" fillId="2" borderId="0" xfId="0" applyNumberFormat="1" applyFont="1" applyFill="1" applyAlignment="1" applyProtection="1">
      <alignment horizontal="general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indent="6"/>
      <protection locked="1" hidden="0"/>
    </xf>
    <xf numFmtId="0" fontId="7" fillId="4" borderId="4" xfId="0" applyFont="1" applyFill="1" applyBorder="1" applyAlignment="1" applyProtection="1">
      <alignment horizontal="general" vertical="bottom" wrapText="1"/>
      <protection locked="1" hidden="0"/>
    </xf>
    <xf numFmtId="167" fontId="1" fillId="2" borderId="0" xfId="0" applyNumberFormat="1" applyFont="1" applyFill="1" applyAlignment="1" applyProtection="1">
      <alignment horizontal="general" vertical="bottom"/>
      <protection locked="1" hidden="0"/>
    </xf>
    <xf numFmtId="167" fontId="7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8" fillId="0" borderId="3" xfId="0" applyNumberFormat="1" applyFont="1" applyFill="1" applyBorder="1" applyAlignment="1" applyProtection="1">
      <alignment horizontal="general" vertical="bottom"/>
      <protection locked="1" hidden="0"/>
    </xf>
    <xf numFmtId="168" fontId="4" fillId="0" borderId="0" xfId="0" applyNumberFormat="1" applyFont="1" applyFill="1" applyAlignment="1" applyProtection="1">
      <alignment horizontal="general" vertical="bottom"/>
      <protection locked="1" hidden="0"/>
    </xf>
    <xf numFmtId="167" fontId="7" fillId="2" borderId="2" xfId="0" applyNumberFormat="1" applyFont="1" applyFill="1" applyBorder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7" fontId="3" fillId="0" borderId="0" xfId="0" applyNumberFormat="1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 wrapText="1"/>
      <protection locked="1" hidden="0"/>
    </xf>
    <xf numFmtId="0" fontId="7" fillId="4" borderId="4" xfId="0" applyFont="1" applyFill="1" applyBorder="1" applyAlignment="1" applyProtection="1">
      <alignment horizontal="general" vertical="bottom"/>
      <protection locked="1" hidden="0"/>
    </xf>
    <xf numFmtId="169" fontId="3" fillId="0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wrapText="1"/>
      <protection locked="1" hidden="0"/>
    </xf>
    <xf numFmtId="164" fontId="9" fillId="0" borderId="2" xfId="0" applyNumberFormat="1" applyFont="1" applyFill="1" applyBorder="1" applyAlignment="1" applyProtection="1">
      <alignment horizontal="general" vertical="bottom"/>
      <protection locked="1" hidden="0"/>
    </xf>
    <xf numFmtId="165" fontId="9" fillId="0" borderId="3" xfId="0" applyNumberFormat="1" applyFont="1" applyFill="1" applyBorder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 wrapText="1"/>
      <protection locked="1" hidden="0"/>
    </xf>
    <xf numFmtId="169" fontId="3" fillId="2" borderId="0" xfId="0" applyNumberFormat="1" applyFont="1" applyFill="1" applyAlignment="1" applyProtection="1">
      <alignment horizontal="general" vertical="bottom"/>
      <protection locked="1" hidden="0"/>
    </xf>
    <xf numFmtId="164" fontId="7" fillId="2" borderId="4" xfId="0" applyNumberFormat="1" applyFont="1" applyFill="1" applyBorder="1" applyAlignment="1" applyProtection="1">
      <alignment horizontal="general" vertical="bottom"/>
      <protection locked="1" hidden="0"/>
    </xf>
    <xf numFmtId="167" fontId="8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7" fillId="4" borderId="4" xfId="0" applyNumberFormat="1" applyFont="1" applyFill="1" applyBorder="1" applyAlignment="1" applyProtection="1">
      <alignment horizontal="general" vertical="bottom" wrapText="1"/>
      <protection locked="1" hidden="0"/>
    </xf>
    <xf numFmtId="164" fontId="10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7" fillId="4" borderId="4" xfId="0" applyNumberFormat="1" applyFont="1" applyFill="1" applyBorder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7" fontId="8" fillId="2" borderId="2" xfId="0" applyNumberFormat="1" applyFont="1" applyFill="1" applyBorder="1" applyAlignment="1" applyProtection="1">
      <alignment horizontal="general" vertical="bottom"/>
      <protection locked="1" hidden="0"/>
    </xf>
    <xf numFmtId="164" fontId="8" fillId="2" borderId="3" xfId="0" applyNumberFormat="1" applyFont="1" applyFill="1" applyBorder="1" applyAlignment="1" applyProtection="1">
      <alignment horizontal="general" vertical="bottom"/>
      <protection locked="1" hidden="0"/>
    </xf>
    <xf numFmtId="164" fontId="9" fillId="2" borderId="2" xfId="0" applyNumberFormat="1" applyFont="1" applyFill="1" applyBorder="1" applyAlignment="1" applyProtection="1">
      <alignment horizontal="general" vertical="bottom"/>
      <protection locked="1" hidden="0"/>
    </xf>
    <xf numFmtId="164" fontId="4" fillId="2" borderId="0" xfId="0" applyNumberFormat="1" applyFont="1" applyFill="1" applyAlignment="1" applyProtection="1">
      <alignment horizontal="general" vertical="bottom"/>
      <protection locked="1" hidden="0"/>
    </xf>
    <xf numFmtId="164" fontId="4" fillId="0" borderId="0" xfId="0" applyNumberFormat="1" applyFont="1" applyFill="1" applyAlignment="1" applyProtection="1">
      <alignment horizontal="general" vertical="bottom"/>
      <protection locked="1" hidden="0"/>
    </xf>
    <xf numFmtId="165" fontId="9" fillId="2" borderId="3" xfId="0" applyNumberFormat="1" applyFont="1" applyFill="1" applyBorder="1" applyAlignment="1" applyProtection="1">
      <alignment horizontal="general" vertical="bottom"/>
      <protection locked="1" hidden="0"/>
    </xf>
    <xf numFmtId="164" fontId="1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0" fontId="1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1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2" fillId="0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5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1" fillId="3" borderId="1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5" fontId="15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6" fillId="0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4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8" fillId="0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0" fontId="11" fillId="3" borderId="1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5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0" fontId="18" fillId="0" borderId="3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4" fontId="11" fillId="0" borderId="0" xfId="0" applyNumberFormat="1" applyFont="1" applyFill="1" applyAlignment="1" applyProtection="1">
      <alignment horizontal="general" vertical="center" textRotation="0" wrapText="1" indent="0" readingOrder="0"/>
      <protection locked="1" hidden="0"/>
    </xf>
    <xf numFmtId="164" fontId="11" fillId="2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0" fontId="11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5" fontId="13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8" fillId="2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4" fontId="18" fillId="4" borderId="4" xfId="0" applyNumberFormat="1" applyFont="1" applyFill="1" applyBorder="1" applyAlignment="1" applyProtection="1">
      <alignment horizontal="general" vertical="top" textRotation="0" wrapText="1" indent="0" readingOrder="0"/>
      <protection locked="1" hidden="0"/>
    </xf>
    <xf numFmtId="164" fontId="11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0" fontId="11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7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8" fillId="0" borderId="2" xfId="0" applyNumberFormat="1" applyFont="1" applyFill="1" applyBorder="1" applyAlignment="1" applyProtection="1">
      <alignment horizontal="general" vertical="bottom" textRotation="0" wrapText="1" indent="0" readingOrder="0"/>
      <protection locked="1" hidden="0"/>
    </xf>
    <xf numFmtId="164" fontId="17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0" fontId="11" fillId="0" borderId="0" xfId="0" applyNumberFormat="1" applyFont="1" applyFill="1" applyAlignment="1" applyProtection="1">
      <alignment horizontal="general" vertical="center" textRotation="0" indent="0" readingOrder="0"/>
      <protection locked="1" hidden="0"/>
    </xf>
    <xf numFmtId="164" fontId="16" fillId="2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4" fontId="14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3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8" fillId="4" borderId="4" xfId="0" applyNumberFormat="1" applyFont="1" applyFill="1" applyBorder="1" applyAlignment="1" applyProtection="1">
      <alignment horizontal="general" vertical="bottom" textRotation="0" wrapText="1" indent="0" readingOrder="0"/>
      <protection locked="1" hidden="0"/>
    </xf>
    <xf numFmtId="167" fontId="18" fillId="2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4" fontId="16" fillId="0" borderId="3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1" fontId="17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18" fillId="0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1" fontId="1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1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0" fontId="18" fillId="4" borderId="4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4" fontId="17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4" fontId="16" fillId="0" borderId="2" xfId="0" applyNumberFormat="1" applyFont="1" applyFill="1" applyBorder="1" applyAlignment="1" applyProtection="1">
      <alignment horizontal="general" vertical="bottom" textRotation="0" wrapText="1" indent="0" readingOrder="0"/>
      <protection locked="1" hidden="0"/>
    </xf>
    <xf numFmtId="167" fontId="11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16" fillId="0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2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0" fontId="18" fillId="4" borderId="4" xfId="0" applyNumberFormat="1" applyFont="1" applyFill="1" applyBorder="1" applyAlignment="1" applyProtection="1">
      <alignment horizontal="general" vertical="bottom" textRotation="0" wrapText="1" indent="0" readingOrder="0"/>
      <protection locked="1" hidden="0"/>
    </xf>
    <xf numFmtId="165" fontId="19" fillId="2" borderId="3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5" fontId="19" fillId="0" borderId="3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4" fontId="15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1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8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9" fillId="0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4" fontId="16" fillId="2" borderId="3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4" fontId="19" fillId="2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4" fontId="20" fillId="0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5" fontId="21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8" fillId="2" borderId="4" xfId="0" applyNumberFormat="1" applyFont="1" applyFill="1" applyBorder="1" applyAlignment="1" applyProtection="1">
      <alignment horizontal="general" vertical="bottom" textRotation="0" wrapText="1" indent="0" readingOrder="0"/>
      <protection locked="1" hidden="0"/>
    </xf>
    <xf numFmtId="170" fontId="11" fillId="0" borderId="0" xfId="0" applyNumberFormat="1" applyFont="1" applyFill="1" applyAlignment="1" applyProtection="1">
      <alignment horizontal="general" vertical="bottom" textRotation="0" indent="6" readingOrder="0"/>
      <protection locked="1" hidden="0"/>
    </xf>
    <xf numFmtId="170" fontId="18" fillId="0" borderId="3" xfId="0" applyNumberFormat="1" applyFont="1" applyFill="1" applyBorder="1" applyAlignment="1" applyProtection="1">
      <alignment horizontal="general" vertical="bottom" textRotation="0" wrapText="1" indent="0" readingOrder="0"/>
      <protection locked="1" hidden="0"/>
    </xf>
    <xf numFmtId="167" fontId="16" fillId="2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47625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139"/>
  <sheetViews>
    <sheetView showGridLines="0" tabSelected="1" workbookViewId="0">
      <pane xSplit="2" ySplit="7" topLeftCell="C8" activePane="bottomRight" state="frozen"/>
    </sheetView>
  </sheetViews>
  <sheetFormatPr defaultRowHeight="15"/>
  <cols>
    <col min="1" max="1" width="3" customWidth="1"/>
    <col min="2" max="2" width="34" customWidth="1"/>
    <col min="3" max="8" width="13" customWidth="1"/>
    <col min="9" max="9" width="3" customWidth="1"/>
    <col min="10" max="10" width="55" customWidth="1"/>
  </cols>
  <sheetData>
    <row r="2">
      <c r="B2" s="110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110" t="s">
        <v>1</v>
      </c>
      <c r="C3" s="53"/>
      <c r="D3" s="53"/>
      <c r="E3" s="53"/>
      <c r="F3" s="53"/>
      <c r="G3" s="53"/>
      <c r="H3" s="53"/>
      <c r="I3" s="53"/>
      <c r="J3" s="53"/>
    </row>
    <row r="4">
      <c r="B4" s="110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>
      <c r="B9" s="53" t="s">
        <v>12</v>
      </c>
      <c r="C9" s="52" t="s">
        <v>13</v>
      </c>
      <c r="D9" s="52"/>
      <c r="E9" s="52"/>
      <c r="F9" s="52"/>
      <c r="G9" s="52"/>
      <c r="H9" s="54"/>
      <c r="I9" s="53"/>
      <c r="J9" s="53"/>
    </row>
    <row r="10">
      <c r="B10" s="53" t="s">
        <v>14</v>
      </c>
      <c r="C10" s="52" t="s">
        <v>15</v>
      </c>
      <c r="D10" s="52"/>
      <c r="E10" s="52"/>
      <c r="F10" s="52"/>
      <c r="G10" s="52"/>
      <c r="H10" s="54"/>
      <c r="I10" s="53"/>
      <c r="J10" s="53"/>
    </row>
    <row r="11">
      <c r="B11" s="53" t="s">
        <v>16</v>
      </c>
      <c r="C11" s="52" t="s">
        <v>17</v>
      </c>
      <c r="D11" s="52"/>
      <c r="E11" s="52"/>
      <c r="F11" s="52"/>
      <c r="G11" s="52"/>
      <c r="H11" s="54"/>
      <c r="I11" s="53"/>
      <c r="J11" s="53"/>
    </row>
    <row r="12" ht="26.25">
      <c r="B12" s="97" t="s">
        <v>18</v>
      </c>
      <c r="C12" s="81" t="s">
        <v>19</v>
      </c>
      <c r="D12" s="81" t="s">
        <v>20</v>
      </c>
      <c r="E12" s="81" t="s">
        <v>21</v>
      </c>
      <c r="F12" s="81" t="s">
        <v>22</v>
      </c>
      <c r="G12" s="52"/>
      <c r="H12" s="54"/>
      <c r="I12" s="53"/>
      <c r="J12" s="53"/>
    </row>
    <row r="13">
      <c r="B13" s="73" t="s">
        <v>23</v>
      </c>
      <c r="C13" s="92">
        <f>'Revenue summary'!H22</f>
        <v>258.997033</v>
      </c>
      <c r="D13" s="92">
        <f>Inputs!C46</f>
        <v>269.3</v>
      </c>
      <c r="E13" s="75">
        <f>C13-D13</f>
        <v>-10.302967000000024</v>
      </c>
      <c r="F13" s="75" t="s">
        <v>24</v>
      </c>
      <c r="G13" s="62"/>
      <c r="H13" s="70"/>
      <c r="I13" s="53"/>
      <c r="J13" s="53" t="s">
        <v>25</v>
      </c>
    </row>
    <row r="14" ht="31.5">
      <c r="B14" s="111" t="s">
        <v>26</v>
      </c>
      <c r="C14" s="92">
        <f>'Income Statement'!H50</f>
        <v>-200.59377703999996</v>
      </c>
      <c r="D14" s="92">
        <f>D15*'Share Count'!H16</f>
        <v>-191.34921000000003</v>
      </c>
      <c r="E14" s="75">
        <f>C14-D14</f>
        <v>-9.244567039999936</v>
      </c>
      <c r="F14" s="92">
        <f>Guidance!H25</f>
        <v>-192.68999999999988</v>
      </c>
      <c r="G14" s="62"/>
      <c r="H14" s="70"/>
      <c r="I14" s="53"/>
      <c r="J14" s="53" t="s">
        <v>27</v>
      </c>
    </row>
    <row r="15">
      <c r="B15" s="65" t="s">
        <v>28</v>
      </c>
      <c r="C15" s="94">
        <f>'Income Statement'!H51</f>
        <v>-5.629438358824683</v>
      </c>
      <c r="D15" s="94">
        <f>Inputs!C29</f>
        <v>-5.37</v>
      </c>
      <c r="E15" s="85">
        <f>C15-D15</f>
        <v>-0.25943835882468314</v>
      </c>
      <c r="F15" s="94">
        <f>Guidance!H27</f>
        <v>-5.40762776078354</v>
      </c>
      <c r="G15" s="85"/>
      <c r="H15" s="82"/>
      <c r="I15" s="53"/>
      <c r="J15" s="53"/>
    </row>
    <row r="16">
      <c r="B16" s="65" t="s">
        <v>29</v>
      </c>
      <c r="C16" s="60" t="str">
        <f>IF(AND(ABS('Revenue summary'!H25)&lt;Inputs!C127,ABS('Balance Sheet'!H44)&lt;Inputs!C127,ABS('Cash Flow Statement'!H25)&lt;Inputs!C127,ABS(Geo!H15)&lt;Inputs!C127,ABS('Income Statement'!H52)&lt;Inputs!C127,ABS(C13-'Income Statement'!H14)&lt;Inputs!C127,ABS(C14-'Income Statement'!H50)&lt;Inputs!C127,ABS(C15-'Income Statement'!H51)&lt;Inputs!C127),"PASS","FAIL")</f>
        <v>PASS</v>
      </c>
      <c r="D16" s="62"/>
      <c r="E16" s="62"/>
      <c r="F16" s="62"/>
      <c r="G16" s="62"/>
      <c r="H16" s="70"/>
      <c r="I16" s="53"/>
      <c r="J16" s="53"/>
    </row>
    <row r="17">
      <c r="B17" s="53" t="s">
        <v>30</v>
      </c>
      <c r="C17" s="64">
        <v>0.3</v>
      </c>
      <c r="D17" s="56"/>
      <c r="E17" s="56"/>
      <c r="F17" s="56"/>
      <c r="G17" s="56"/>
      <c r="H17" s="69"/>
      <c r="I17" s="53"/>
      <c r="J17" s="53"/>
    </row>
    <row r="18">
      <c r="B18" s="53" t="s">
        <v>31</v>
      </c>
      <c r="C18" s="61" t="s">
        <v>32</v>
      </c>
      <c r="D18" s="52"/>
      <c r="E18" s="52"/>
      <c r="F18" s="52"/>
      <c r="G18" s="52"/>
      <c r="H18" s="54"/>
      <c r="I18" s="53"/>
      <c r="J18" s="53"/>
    </row>
    <row r="19">
      <c r="B19" s="53"/>
      <c r="C19" s="52"/>
      <c r="D19" s="52"/>
      <c r="E19" s="52"/>
      <c r="F19" s="52"/>
      <c r="G19" s="52"/>
      <c r="H19" s="54"/>
      <c r="I19" s="53"/>
      <c r="J19" s="53"/>
    </row>
    <row r="20">
      <c r="B20" s="53"/>
      <c r="C20" s="52"/>
      <c r="D20" s="52"/>
      <c r="E20" s="52"/>
      <c r="F20" s="52"/>
      <c r="G20" s="52"/>
      <c r="H20" s="54"/>
      <c r="I20" s="53"/>
      <c r="J20" s="53"/>
    </row>
    <row r="21">
      <c r="B21" s="53" t="s">
        <v>33</v>
      </c>
      <c r="C21" s="74">
        <f>'Income Statement'!H43</f>
        <v>-5.629438358824683</v>
      </c>
      <c r="D21" s="74">
        <f>Inputs!C38</f>
        <v>-5.35</v>
      </c>
      <c r="E21" s="101">
        <f>C21-D21</f>
        <v>-0.2794383588246836</v>
      </c>
      <c r="F21" s="101"/>
      <c r="G21" s="101"/>
      <c r="H21" s="93"/>
      <c r="I21" s="53"/>
      <c r="J21" s="53"/>
    </row>
    <row r="22">
      <c r="B22" s="53" t="s">
        <v>34</v>
      </c>
      <c r="C22" s="52"/>
      <c r="D22" s="52"/>
      <c r="E22" s="52"/>
      <c r="F22" s="52"/>
      <c r="G22" s="52"/>
      <c r="H22" s="54"/>
      <c r="I22" s="53"/>
      <c r="J22" s="53" t="s">
        <v>35</v>
      </c>
    </row>
    <row r="23">
      <c r="B23" s="53"/>
      <c r="C23" s="52"/>
      <c r="D23" s="52"/>
      <c r="E23" s="52"/>
      <c r="F23" s="52"/>
      <c r="G23" s="52"/>
      <c r="H23" s="54"/>
      <c r="I23" s="53"/>
      <c r="J23" s="53" t="s">
        <v>36</v>
      </c>
    </row>
    <row r="24">
      <c r="B24" s="53" t="s">
        <v>37</v>
      </c>
      <c r="C24" s="52"/>
      <c r="D24" s="52"/>
      <c r="E24" s="52"/>
      <c r="F24" s="52"/>
      <c r="G24" s="52"/>
      <c r="H24" s="54"/>
      <c r="I24" s="53"/>
      <c r="J24" s="53" t="s">
        <v>38</v>
      </c>
    </row>
    <row r="25">
      <c r="B25" s="53" t="s">
        <v>39</v>
      </c>
      <c r="C25" s="52"/>
      <c r="D25" s="52"/>
      <c r="E25" s="52"/>
      <c r="F25" s="52"/>
      <c r="G25" s="52"/>
      <c r="H25" s="54"/>
      <c r="I25" s="53"/>
      <c r="J25" s="53" t="s">
        <v>40</v>
      </c>
    </row>
    <row r="26">
      <c r="B26" s="53"/>
      <c r="C26" s="52"/>
      <c r="D26" s="52"/>
      <c r="E26" s="52"/>
      <c r="F26" s="52"/>
      <c r="G26" s="52"/>
      <c r="H26" s="54"/>
      <c r="I26" s="53"/>
      <c r="J26" s="53"/>
    </row>
    <row r="27">
      <c r="B27" s="53"/>
      <c r="C27" s="52"/>
      <c r="D27" s="52"/>
      <c r="E27" s="52"/>
      <c r="F27" s="52"/>
      <c r="G27" s="52"/>
      <c r="H27" s="54"/>
      <c r="I27" s="53"/>
      <c r="J27" s="53"/>
    </row>
    <row r="28">
      <c r="B28" s="53"/>
      <c r="C28" s="52"/>
      <c r="D28" s="52"/>
      <c r="E28" s="52"/>
      <c r="F28" s="52"/>
      <c r="G28" s="52"/>
      <c r="H28" s="54"/>
      <c r="I28" s="53"/>
      <c r="J28" s="53"/>
    </row>
    <row r="29">
      <c r="B29" s="53"/>
      <c r="C29" s="52"/>
      <c r="D29" s="52"/>
      <c r="E29" s="52"/>
      <c r="F29" s="52"/>
      <c r="G29" s="52"/>
      <c r="H29" s="54"/>
      <c r="I29" s="53"/>
      <c r="J29" s="53"/>
    </row>
    <row r="30">
      <c r="B30" s="53"/>
      <c r="C30" s="52"/>
      <c r="D30" s="52"/>
      <c r="E30" s="52"/>
      <c r="F30" s="52"/>
      <c r="G30" s="52"/>
      <c r="H30" s="54"/>
      <c r="I30" s="53"/>
      <c r="J30" s="53"/>
    </row>
    <row r="31">
      <c r="B31" s="53"/>
      <c r="C31" s="52"/>
      <c r="D31" s="52"/>
      <c r="E31" s="52"/>
      <c r="F31" s="52"/>
      <c r="G31" s="52"/>
      <c r="H31" s="54"/>
      <c r="I31" s="53"/>
      <c r="J31" s="53"/>
    </row>
    <row r="32">
      <c r="B32" s="53"/>
      <c r="C32" s="52"/>
      <c r="D32" s="52"/>
      <c r="E32" s="52"/>
      <c r="F32" s="52"/>
      <c r="G32" s="52"/>
      <c r="H32" s="54"/>
      <c r="I32" s="53"/>
      <c r="J32" s="53"/>
    </row>
    <row r="33">
      <c r="B33" s="53"/>
      <c r="C33" s="52"/>
      <c r="D33" s="52"/>
      <c r="E33" s="52"/>
      <c r="F33" s="52"/>
      <c r="G33" s="52"/>
      <c r="H33" s="54"/>
      <c r="I33" s="53"/>
      <c r="J33" s="53"/>
    </row>
    <row r="34">
      <c r="B34" s="53"/>
      <c r="C34" s="52"/>
      <c r="D34" s="52"/>
      <c r="E34" s="52"/>
      <c r="F34" s="52"/>
      <c r="G34" s="52"/>
      <c r="H34" s="54"/>
      <c r="I34" s="53"/>
      <c r="J34" s="53"/>
    </row>
    <row r="35">
      <c r="B35" s="53"/>
      <c r="C35" s="52"/>
      <c r="D35" s="52"/>
      <c r="E35" s="52"/>
      <c r="F35" s="52"/>
      <c r="G35" s="52"/>
      <c r="H35" s="54"/>
      <c r="I35" s="53"/>
      <c r="J35" s="53"/>
    </row>
    <row r="36">
      <c r="B36" s="53"/>
      <c r="C36" s="52"/>
      <c r="D36" s="52"/>
      <c r="E36" s="52"/>
      <c r="F36" s="52"/>
      <c r="G36" s="52"/>
      <c r="H36" s="54"/>
      <c r="I36" s="53"/>
      <c r="J36" s="53"/>
    </row>
    <row r="37">
      <c r="B37" s="53"/>
      <c r="C37" s="52"/>
      <c r="D37" s="52"/>
      <c r="E37" s="52"/>
      <c r="F37" s="52"/>
      <c r="G37" s="52"/>
      <c r="H37" s="54"/>
      <c r="I37" s="53"/>
      <c r="J37" s="53"/>
    </row>
    <row r="38">
      <c r="B38" s="53"/>
      <c r="C38" s="52"/>
      <c r="D38" s="52"/>
      <c r="E38" s="52"/>
      <c r="F38" s="52"/>
      <c r="G38" s="52"/>
      <c r="H38" s="54"/>
      <c r="I38" s="53"/>
      <c r="J38" s="53"/>
    </row>
    <row r="39">
      <c r="B39" s="53"/>
      <c r="C39" s="52"/>
      <c r="D39" s="52"/>
      <c r="E39" s="52"/>
      <c r="F39" s="52"/>
      <c r="G39" s="52"/>
      <c r="H39" s="54"/>
      <c r="I39" s="53"/>
      <c r="J39" s="53"/>
    </row>
    <row r="40">
      <c r="B40" s="53"/>
      <c r="C40" s="52"/>
      <c r="D40" s="52"/>
      <c r="E40" s="52"/>
      <c r="F40" s="52"/>
      <c r="G40" s="52"/>
      <c r="H40" s="54"/>
      <c r="I40" s="53"/>
      <c r="J40" s="53"/>
    </row>
    <row r="41">
      <c r="B41" s="53"/>
      <c r="C41" s="52"/>
      <c r="D41" s="52"/>
      <c r="E41" s="52"/>
      <c r="F41" s="52"/>
      <c r="G41" s="52"/>
      <c r="H41" s="54"/>
      <c r="I41" s="53"/>
      <c r="J41" s="53"/>
    </row>
    <row r="42">
      <c r="B42" s="53"/>
      <c r="C42" s="52"/>
      <c r="D42" s="52"/>
      <c r="E42" s="52"/>
      <c r="F42" s="52"/>
      <c r="G42" s="52"/>
      <c r="H42" s="54"/>
      <c r="I42" s="53"/>
      <c r="J42" s="53"/>
    </row>
    <row r="43">
      <c r="B43" s="53"/>
      <c r="C43" s="52"/>
      <c r="D43" s="52"/>
      <c r="E43" s="52"/>
      <c r="F43" s="52"/>
      <c r="G43" s="52"/>
      <c r="H43" s="54"/>
      <c r="I43" s="53"/>
      <c r="J43" s="53"/>
    </row>
    <row r="44">
      <c r="B44" s="53"/>
      <c r="C44" s="52"/>
      <c r="D44" s="52"/>
      <c r="E44" s="52"/>
      <c r="F44" s="52"/>
      <c r="G44" s="52"/>
      <c r="H44" s="54"/>
      <c r="I44" s="53"/>
      <c r="J44" s="53"/>
    </row>
    <row r="45">
      <c r="B45" s="53"/>
      <c r="C45" s="52"/>
      <c r="D45" s="52"/>
      <c r="E45" s="52"/>
      <c r="F45" s="52"/>
      <c r="G45" s="52"/>
      <c r="H45" s="54"/>
      <c r="I45" s="53"/>
      <c r="J45" s="53"/>
    </row>
    <row r="46">
      <c r="B46" s="53"/>
      <c r="C46" s="52"/>
      <c r="D46" s="52"/>
      <c r="E46" s="52"/>
      <c r="F46" s="52"/>
      <c r="G46" s="52"/>
      <c r="H46" s="54"/>
      <c r="I46" s="53"/>
      <c r="J46" s="53"/>
    </row>
    <row r="47">
      <c r="B47" s="53"/>
      <c r="C47" s="52"/>
      <c r="D47" s="52"/>
      <c r="E47" s="52"/>
      <c r="F47" s="52"/>
      <c r="G47" s="52"/>
      <c r="H47" s="54"/>
      <c r="I47" s="53"/>
      <c r="J47" s="53"/>
    </row>
    <row r="48">
      <c r="B48" s="53"/>
      <c r="C48" s="52"/>
      <c r="D48" s="52"/>
      <c r="E48" s="52"/>
      <c r="F48" s="52"/>
      <c r="G48" s="52"/>
      <c r="H48" s="54"/>
      <c r="I48" s="53"/>
      <c r="J48" s="53"/>
    </row>
    <row r="49">
      <c r="B49" s="53"/>
      <c r="C49" s="52"/>
      <c r="D49" s="52"/>
      <c r="E49" s="52"/>
      <c r="F49" s="52"/>
      <c r="G49" s="52"/>
      <c r="H49" s="54"/>
      <c r="I49" s="53"/>
      <c r="J49" s="53"/>
    </row>
    <row r="50">
      <c r="B50" s="53"/>
      <c r="C50" s="52"/>
      <c r="D50" s="52"/>
      <c r="E50" s="52"/>
      <c r="F50" s="52"/>
      <c r="G50" s="52"/>
      <c r="H50" s="54"/>
      <c r="I50" s="53"/>
      <c r="J50" s="53"/>
    </row>
    <row r="51">
      <c r="B51" s="53"/>
      <c r="C51" s="52"/>
      <c r="D51" s="52"/>
      <c r="E51" s="52"/>
      <c r="F51" s="52"/>
      <c r="G51" s="52"/>
      <c r="H51" s="54"/>
      <c r="I51" s="53"/>
      <c r="J51" s="53"/>
    </row>
    <row r="52">
      <c r="B52" s="53"/>
      <c r="C52" s="52"/>
      <c r="D52" s="52"/>
      <c r="E52" s="52"/>
      <c r="F52" s="52"/>
      <c r="G52" s="52"/>
      <c r="H52" s="54"/>
      <c r="I52" s="53"/>
      <c r="J52" s="53"/>
    </row>
    <row r="53">
      <c r="B53" s="53"/>
      <c r="C53" s="52"/>
      <c r="D53" s="52"/>
      <c r="E53" s="52"/>
      <c r="F53" s="52"/>
      <c r="G53" s="52"/>
      <c r="H53" s="54"/>
      <c r="I53" s="53"/>
      <c r="J53" s="53"/>
    </row>
    <row r="54">
      <c r="B54" s="53"/>
      <c r="C54" s="52"/>
      <c r="D54" s="52"/>
      <c r="E54" s="52"/>
      <c r="F54" s="52"/>
      <c r="G54" s="52"/>
      <c r="H54" s="54"/>
      <c r="I54" s="53"/>
      <c r="J54" s="53"/>
    </row>
    <row r="55">
      <c r="B55" s="53"/>
      <c r="C55" s="52"/>
      <c r="D55" s="52"/>
      <c r="E55" s="52"/>
      <c r="F55" s="52"/>
      <c r="G55" s="52"/>
      <c r="H55" s="54"/>
      <c r="I55" s="53"/>
      <c r="J55" s="53"/>
    </row>
    <row r="56">
      <c r="B56" s="53"/>
      <c r="C56" s="52"/>
      <c r="D56" s="52"/>
      <c r="E56" s="52"/>
      <c r="F56" s="52"/>
      <c r="G56" s="52"/>
      <c r="H56" s="54"/>
      <c r="I56" s="53"/>
      <c r="J56" s="53"/>
    </row>
    <row r="57">
      <c r="B57" s="53"/>
      <c r="C57" s="52"/>
      <c r="D57" s="52"/>
      <c r="E57" s="52"/>
      <c r="F57" s="52"/>
      <c r="G57" s="52"/>
      <c r="H57" s="54"/>
      <c r="I57" s="53"/>
      <c r="J57" s="53"/>
    </row>
    <row r="58">
      <c r="B58" s="53"/>
      <c r="C58" s="52"/>
      <c r="D58" s="52"/>
      <c r="E58" s="52"/>
      <c r="F58" s="52"/>
      <c r="G58" s="52"/>
      <c r="H58" s="54"/>
      <c r="I58" s="53"/>
      <c r="J58" s="53"/>
    </row>
    <row r="59">
      <c r="B59" s="53"/>
      <c r="C59" s="52"/>
      <c r="D59" s="52"/>
      <c r="E59" s="52"/>
      <c r="F59" s="52"/>
      <c r="G59" s="52"/>
      <c r="H59" s="54"/>
      <c r="I59" s="53"/>
      <c r="J59" s="53"/>
    </row>
    <row r="60">
      <c r="B60" s="53"/>
      <c r="C60" s="52"/>
      <c r="D60" s="52"/>
      <c r="E60" s="52"/>
      <c r="F60" s="52"/>
      <c r="G60" s="52"/>
      <c r="H60" s="54"/>
      <c r="I60" s="53"/>
      <c r="J60" s="53"/>
    </row>
    <row r="61">
      <c r="B61" s="53"/>
      <c r="C61" s="52"/>
      <c r="D61" s="52"/>
      <c r="E61" s="52"/>
      <c r="F61" s="52"/>
      <c r="G61" s="52"/>
      <c r="H61" s="54"/>
      <c r="I61" s="53"/>
      <c r="J61" s="53"/>
    </row>
    <row r="62">
      <c r="B62" s="53"/>
      <c r="C62" s="52"/>
      <c r="D62" s="52"/>
      <c r="E62" s="52"/>
      <c r="F62" s="52"/>
      <c r="G62" s="52"/>
      <c r="H62" s="54"/>
      <c r="I62" s="53"/>
      <c r="J62" s="53"/>
    </row>
    <row r="63">
      <c r="B63" s="53"/>
      <c r="C63" s="52"/>
      <c r="D63" s="52"/>
      <c r="E63" s="52"/>
      <c r="F63" s="52"/>
      <c r="G63" s="52"/>
      <c r="H63" s="54"/>
      <c r="I63" s="53"/>
      <c r="J63" s="53"/>
    </row>
    <row r="64">
      <c r="B64" s="53"/>
      <c r="C64" s="52"/>
      <c r="D64" s="52"/>
      <c r="E64" s="52"/>
      <c r="F64" s="52"/>
      <c r="G64" s="52"/>
      <c r="H64" s="54"/>
      <c r="I64" s="53"/>
      <c r="J64" s="53"/>
    </row>
    <row r="65">
      <c r="B65" s="53"/>
      <c r="C65" s="52"/>
      <c r="D65" s="52"/>
      <c r="E65" s="52"/>
      <c r="F65" s="52"/>
      <c r="G65" s="52"/>
      <c r="H65" s="54"/>
      <c r="I65" s="53"/>
      <c r="J65" s="53"/>
    </row>
    <row r="66">
      <c r="B66" s="53"/>
      <c r="C66" s="52"/>
      <c r="D66" s="52"/>
      <c r="E66" s="52"/>
      <c r="F66" s="52"/>
      <c r="G66" s="52"/>
      <c r="H66" s="54"/>
      <c r="I66" s="53"/>
      <c r="J66" s="53"/>
    </row>
    <row r="67">
      <c r="B67" s="53"/>
      <c r="C67" s="52"/>
      <c r="D67" s="52"/>
      <c r="E67" s="52"/>
      <c r="F67" s="52"/>
      <c r="G67" s="52"/>
      <c r="H67" s="54"/>
      <c r="I67" s="53"/>
      <c r="J67" s="53"/>
    </row>
    <row r="68">
      <c r="B68" s="53"/>
      <c r="C68" s="52"/>
      <c r="D68" s="52"/>
      <c r="E68" s="52"/>
      <c r="F68" s="52"/>
      <c r="G68" s="52"/>
      <c r="H68" s="54"/>
      <c r="I68" s="53"/>
      <c r="J68" s="53"/>
    </row>
    <row r="69">
      <c r="B69" s="53"/>
      <c r="C69" s="52"/>
      <c r="D69" s="52"/>
      <c r="E69" s="52"/>
      <c r="F69" s="52"/>
      <c r="G69" s="52"/>
      <c r="H69" s="54"/>
      <c r="I69" s="53"/>
      <c r="J69" s="53"/>
    </row>
    <row r="70">
      <c r="B70" s="53"/>
      <c r="C70" s="52"/>
      <c r="D70" s="52"/>
      <c r="E70" s="52"/>
      <c r="F70" s="52"/>
      <c r="G70" s="52"/>
      <c r="H70" s="54"/>
      <c r="I70" s="53"/>
      <c r="J70" s="53"/>
    </row>
    <row r="71">
      <c r="B71" s="53"/>
      <c r="C71" s="52"/>
      <c r="D71" s="52"/>
      <c r="E71" s="52"/>
      <c r="F71" s="52"/>
      <c r="G71" s="52"/>
      <c r="H71" s="54"/>
      <c r="I71" s="53"/>
      <c r="J71" s="53"/>
    </row>
    <row r="72">
      <c r="B72" s="53"/>
      <c r="C72" s="52"/>
      <c r="D72" s="52"/>
      <c r="E72" s="52"/>
      <c r="F72" s="52"/>
      <c r="G72" s="52"/>
      <c r="H72" s="54"/>
      <c r="I72" s="53"/>
      <c r="J72" s="53"/>
    </row>
    <row r="73">
      <c r="B73" s="53"/>
      <c r="C73" s="52"/>
      <c r="D73" s="52"/>
      <c r="E73" s="52"/>
      <c r="F73" s="52"/>
      <c r="G73" s="52"/>
      <c r="H73" s="54"/>
      <c r="I73" s="53"/>
      <c r="J73" s="53"/>
    </row>
    <row r="74">
      <c r="B74" s="53"/>
      <c r="C74" s="52"/>
      <c r="D74" s="52"/>
      <c r="E74" s="52"/>
      <c r="F74" s="52"/>
      <c r="G74" s="52"/>
      <c r="H74" s="54"/>
      <c r="I74" s="53"/>
      <c r="J74" s="53"/>
    </row>
    <row r="75">
      <c r="B75" s="53"/>
      <c r="C75" s="52"/>
      <c r="D75" s="52"/>
      <c r="E75" s="52"/>
      <c r="F75" s="52"/>
      <c r="G75" s="52"/>
      <c r="H75" s="54"/>
      <c r="I75" s="53"/>
      <c r="J75" s="53"/>
    </row>
    <row r="76">
      <c r="B76" s="53"/>
      <c r="C76" s="52"/>
      <c r="D76" s="52"/>
      <c r="E76" s="52"/>
      <c r="F76" s="52"/>
      <c r="G76" s="52"/>
      <c r="H76" s="54"/>
      <c r="I76" s="53"/>
      <c r="J76" s="53"/>
    </row>
    <row r="77">
      <c r="B77" s="53"/>
      <c r="C77" s="52"/>
      <c r="D77" s="52"/>
      <c r="E77" s="52"/>
      <c r="F77" s="52"/>
      <c r="G77" s="52"/>
      <c r="H77" s="54"/>
      <c r="I77" s="53"/>
      <c r="J77" s="53"/>
    </row>
    <row r="78">
      <c r="B78" s="53"/>
      <c r="C78" s="52"/>
      <c r="D78" s="52"/>
      <c r="E78" s="52"/>
      <c r="F78" s="52"/>
      <c r="G78" s="52"/>
      <c r="H78" s="54"/>
      <c r="I78" s="53"/>
      <c r="J78" s="53"/>
    </row>
    <row r="79">
      <c r="B79" s="53"/>
      <c r="C79" s="52"/>
      <c r="D79" s="52"/>
      <c r="E79" s="52"/>
      <c r="F79" s="52"/>
      <c r="G79" s="52"/>
      <c r="H79" s="54"/>
      <c r="I79" s="53"/>
      <c r="J79" s="53"/>
    </row>
    <row r="80">
      <c r="B80" s="53"/>
      <c r="C80" s="52"/>
      <c r="D80" s="52"/>
      <c r="E80" s="52"/>
      <c r="F80" s="52"/>
      <c r="G80" s="52"/>
      <c r="H80" s="54"/>
      <c r="I80" s="53"/>
      <c r="J80" s="53"/>
    </row>
    <row r="81">
      <c r="B81" s="53"/>
      <c r="C81" s="52"/>
      <c r="D81" s="52"/>
      <c r="E81" s="52"/>
      <c r="F81" s="52"/>
      <c r="G81" s="52"/>
      <c r="H81" s="54"/>
      <c r="I81" s="53"/>
      <c r="J81" s="53"/>
    </row>
    <row r="82">
      <c r="B82" s="53"/>
      <c r="C82" s="52"/>
      <c r="D82" s="52"/>
      <c r="E82" s="52"/>
      <c r="F82" s="52"/>
      <c r="G82" s="52"/>
      <c r="H82" s="54"/>
      <c r="I82" s="53"/>
      <c r="J82" s="53"/>
    </row>
    <row r="83">
      <c r="B83" s="53"/>
      <c r="C83" s="52"/>
      <c r="D83" s="52"/>
      <c r="E83" s="52"/>
      <c r="F83" s="52"/>
      <c r="G83" s="52"/>
      <c r="H83" s="54"/>
      <c r="I83" s="53"/>
      <c r="J83" s="53"/>
    </row>
    <row r="84">
      <c r="B84" s="53"/>
      <c r="C84" s="52"/>
      <c r="D84" s="52"/>
      <c r="E84" s="52"/>
      <c r="F84" s="52"/>
      <c r="G84" s="52"/>
      <c r="H84" s="54"/>
      <c r="I84" s="53"/>
      <c r="J84" s="53"/>
    </row>
    <row r="85">
      <c r="B85" s="53"/>
      <c r="C85" s="52"/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/>
      <c r="C89" s="52"/>
      <c r="D89" s="52"/>
      <c r="E89" s="52"/>
      <c r="F89" s="52"/>
      <c r="G89" s="52"/>
      <c r="H89" s="54"/>
      <c r="I89" s="53"/>
      <c r="J89" s="53"/>
    </row>
    <row r="90">
      <c r="B90" s="53"/>
      <c r="C90" s="52"/>
      <c r="D90" s="52"/>
      <c r="E90" s="52"/>
      <c r="F90" s="52"/>
      <c r="G90" s="52"/>
      <c r="H90" s="54"/>
      <c r="I90" s="53"/>
      <c r="J90" s="53"/>
    </row>
    <row r="91">
      <c r="B91" s="53"/>
      <c r="C91" s="52"/>
      <c r="D91" s="52"/>
      <c r="E91" s="52"/>
      <c r="F91" s="52"/>
      <c r="G91" s="52"/>
      <c r="H91" s="54"/>
      <c r="I91" s="53"/>
      <c r="J91" s="53"/>
    </row>
    <row r="92">
      <c r="B92" s="53"/>
      <c r="C92" s="52"/>
      <c r="D92" s="52"/>
      <c r="E92" s="52"/>
      <c r="F92" s="52"/>
      <c r="G92" s="52"/>
      <c r="H92" s="54"/>
      <c r="I92" s="53"/>
      <c r="J92" s="53"/>
    </row>
    <row r="93">
      <c r="B93" s="53"/>
      <c r="C93" s="52"/>
      <c r="D93" s="52"/>
      <c r="E93" s="52"/>
      <c r="F93" s="52"/>
      <c r="G93" s="52"/>
      <c r="H93" s="54"/>
      <c r="I93" s="53"/>
      <c r="J93" s="53"/>
    </row>
    <row r="94">
      <c r="B94" s="53"/>
      <c r="C94" s="52"/>
      <c r="D94" s="52"/>
      <c r="E94" s="52"/>
      <c r="F94" s="52"/>
      <c r="G94" s="52"/>
      <c r="H94" s="54"/>
      <c r="I94" s="53"/>
      <c r="J94" s="53"/>
    </row>
    <row r="95">
      <c r="B95" s="53"/>
      <c r="C95" s="52"/>
      <c r="D95" s="52"/>
      <c r="E95" s="52"/>
      <c r="F95" s="52"/>
      <c r="G95" s="52"/>
      <c r="H95" s="54"/>
      <c r="I95" s="53"/>
      <c r="J95" s="53"/>
    </row>
    <row r="96">
      <c r="B96" s="53"/>
      <c r="C96" s="52"/>
      <c r="D96" s="52"/>
      <c r="E96" s="52"/>
      <c r="F96" s="52"/>
      <c r="G96" s="52"/>
      <c r="H96" s="54"/>
      <c r="I96" s="53"/>
      <c r="J96" s="53"/>
    </row>
    <row r="97">
      <c r="B97" s="53"/>
      <c r="C97" s="52"/>
      <c r="D97" s="52"/>
      <c r="E97" s="52"/>
      <c r="F97" s="52"/>
      <c r="G97" s="52"/>
      <c r="H97" s="54"/>
      <c r="I97" s="53"/>
      <c r="J97" s="53"/>
    </row>
    <row r="98">
      <c r="B98" s="53"/>
      <c r="C98" s="52"/>
      <c r="D98" s="52"/>
      <c r="E98" s="52"/>
      <c r="F98" s="52"/>
      <c r="G98" s="52"/>
      <c r="H98" s="54"/>
      <c r="I98" s="53"/>
      <c r="J98" s="53"/>
    </row>
    <row r="99">
      <c r="B99" s="53"/>
      <c r="C99" s="52"/>
      <c r="D99" s="52"/>
      <c r="E99" s="52"/>
      <c r="F99" s="52"/>
      <c r="G99" s="52"/>
      <c r="H99" s="54"/>
      <c r="I99" s="53"/>
      <c r="J99" s="53"/>
    </row>
    <row r="100">
      <c r="B100" s="53"/>
      <c r="C100" s="52"/>
      <c r="D100" s="52"/>
      <c r="E100" s="52"/>
      <c r="F100" s="52"/>
      <c r="G100" s="52"/>
      <c r="H100" s="54"/>
      <c r="I100" s="53"/>
      <c r="J100" s="53"/>
    </row>
    <row r="101">
      <c r="B101" s="53"/>
      <c r="C101" s="52"/>
      <c r="D101" s="52"/>
      <c r="E101" s="52"/>
      <c r="F101" s="52"/>
      <c r="G101" s="52"/>
      <c r="H101" s="54"/>
      <c r="I101" s="53"/>
      <c r="J101" s="53"/>
    </row>
    <row r="102">
      <c r="B102" s="53"/>
      <c r="C102" s="52"/>
      <c r="D102" s="52"/>
      <c r="E102" s="52"/>
      <c r="F102" s="52"/>
      <c r="G102" s="52"/>
      <c r="H102" s="54"/>
      <c r="I102" s="53"/>
      <c r="J102" s="53"/>
    </row>
    <row r="103">
      <c r="B103" s="53"/>
      <c r="C103" s="52"/>
      <c r="D103" s="52"/>
      <c r="E103" s="52"/>
      <c r="F103" s="52"/>
      <c r="G103" s="52"/>
      <c r="H103" s="54"/>
      <c r="I103" s="53"/>
      <c r="J103" s="53"/>
    </row>
    <row r="104">
      <c r="B104" s="53"/>
      <c r="C104" s="52"/>
      <c r="D104" s="52"/>
      <c r="E104" s="52"/>
      <c r="F104" s="52"/>
      <c r="G104" s="52"/>
      <c r="H104" s="54"/>
      <c r="I104" s="53"/>
      <c r="J104" s="53"/>
    </row>
    <row r="105">
      <c r="B105" s="53"/>
      <c r="C105" s="52"/>
      <c r="D105" s="52"/>
      <c r="E105" s="52"/>
      <c r="F105" s="52"/>
      <c r="G105" s="52"/>
      <c r="H105" s="54"/>
      <c r="I105" s="53"/>
      <c r="J105" s="53"/>
    </row>
    <row r="106">
      <c r="B106" s="53"/>
      <c r="C106" s="52"/>
      <c r="D106" s="52"/>
      <c r="E106" s="52"/>
      <c r="F106" s="52"/>
      <c r="G106" s="52"/>
      <c r="H106" s="54"/>
      <c r="I106" s="53"/>
      <c r="J106" s="53"/>
    </row>
    <row r="107">
      <c r="B107" s="53"/>
      <c r="C107" s="52"/>
      <c r="D107" s="52"/>
      <c r="E107" s="52"/>
      <c r="F107" s="52"/>
      <c r="G107" s="52"/>
      <c r="H107" s="54"/>
      <c r="I107" s="53"/>
      <c r="J107" s="53"/>
    </row>
    <row r="108">
      <c r="B108" s="53"/>
      <c r="C108" s="52"/>
      <c r="D108" s="52"/>
      <c r="E108" s="52"/>
      <c r="F108" s="52"/>
      <c r="G108" s="52"/>
      <c r="H108" s="54"/>
      <c r="I108" s="53"/>
      <c r="J108" s="53"/>
    </row>
    <row r="109">
      <c r="B109" s="53"/>
      <c r="C109" s="52"/>
      <c r="D109" s="52"/>
      <c r="E109" s="52"/>
      <c r="F109" s="52"/>
      <c r="G109" s="52"/>
      <c r="H109" s="54"/>
      <c r="I109" s="53"/>
      <c r="J109" s="53"/>
    </row>
    <row r="110">
      <c r="B110" s="53"/>
      <c r="C110" s="52"/>
      <c r="D110" s="52"/>
      <c r="E110" s="52"/>
      <c r="F110" s="52"/>
      <c r="G110" s="52"/>
      <c r="H110" s="54"/>
      <c r="I110" s="53"/>
      <c r="J110" s="53"/>
    </row>
    <row r="111">
      <c r="B111" s="53"/>
      <c r="C111" s="52"/>
      <c r="D111" s="52"/>
      <c r="E111" s="52"/>
      <c r="F111" s="52"/>
      <c r="G111" s="52"/>
      <c r="H111" s="54"/>
      <c r="I111" s="53"/>
      <c r="J111" s="53"/>
    </row>
    <row r="112">
      <c r="B112" s="53"/>
      <c r="C112" s="52"/>
      <c r="D112" s="52"/>
      <c r="E112" s="52"/>
      <c r="F112" s="52"/>
      <c r="G112" s="52"/>
      <c r="H112" s="54"/>
      <c r="I112" s="53"/>
      <c r="J112" s="53"/>
    </row>
    <row r="113">
      <c r="B113" s="53"/>
      <c r="C113" s="52"/>
      <c r="D113" s="52"/>
      <c r="E113" s="52"/>
      <c r="F113" s="52"/>
      <c r="G113" s="52"/>
      <c r="H113" s="54"/>
      <c r="I113" s="53"/>
      <c r="J113" s="53"/>
    </row>
    <row r="114">
      <c r="B114" s="53"/>
      <c r="C114" s="52"/>
      <c r="D114" s="52"/>
      <c r="E114" s="52"/>
      <c r="F114" s="52"/>
      <c r="G114" s="52"/>
      <c r="H114" s="54"/>
      <c r="I114" s="53"/>
      <c r="J114" s="53"/>
    </row>
    <row r="115">
      <c r="B115" s="53"/>
      <c r="C115" s="52"/>
      <c r="D115" s="52"/>
      <c r="E115" s="52"/>
      <c r="F115" s="52"/>
      <c r="G115" s="52"/>
      <c r="H115" s="54"/>
      <c r="I115" s="53"/>
      <c r="J115" s="53"/>
    </row>
    <row r="116">
      <c r="B116" s="53"/>
      <c r="C116" s="52"/>
      <c r="D116" s="52"/>
      <c r="E116" s="52"/>
      <c r="F116" s="52"/>
      <c r="G116" s="52"/>
      <c r="H116" s="54"/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/>
      <c r="C118" s="52"/>
      <c r="D118" s="52"/>
      <c r="E118" s="52"/>
      <c r="F118" s="52"/>
      <c r="G118" s="52"/>
      <c r="H118" s="54"/>
      <c r="I118" s="53"/>
      <c r="J118" s="53"/>
    </row>
    <row r="119">
      <c r="B119" s="53"/>
      <c r="C119" s="52"/>
      <c r="D119" s="52"/>
      <c r="E119" s="52"/>
      <c r="F119" s="52"/>
      <c r="G119" s="52"/>
      <c r="H119" s="54"/>
      <c r="I119" s="53"/>
      <c r="J119" s="53"/>
    </row>
    <row r="120">
      <c r="B120" s="53"/>
      <c r="C120" s="52"/>
      <c r="D120" s="52"/>
      <c r="E120" s="52"/>
      <c r="F120" s="52"/>
      <c r="G120" s="52"/>
      <c r="H120" s="54"/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/>
      <c r="C122" s="52"/>
      <c r="D122" s="52"/>
      <c r="E122" s="52"/>
      <c r="F122" s="52"/>
      <c r="G122" s="52"/>
      <c r="H122" s="54"/>
      <c r="I122" s="53"/>
      <c r="J122" s="53"/>
    </row>
    <row r="123">
      <c r="B123" s="53"/>
      <c r="C123" s="52"/>
      <c r="D123" s="52"/>
      <c r="E123" s="52"/>
      <c r="F123" s="52"/>
      <c r="G123" s="52"/>
      <c r="H123" s="54"/>
      <c r="I123" s="53"/>
      <c r="J123" s="53"/>
    </row>
    <row r="124">
      <c r="B124" s="53"/>
      <c r="C124" s="52"/>
      <c r="D124" s="52"/>
      <c r="E124" s="52"/>
      <c r="F124" s="52"/>
      <c r="G124" s="52"/>
      <c r="H124" s="54"/>
      <c r="I124" s="53"/>
      <c r="J124" s="53"/>
    </row>
    <row r="125">
      <c r="B125" s="53"/>
      <c r="C125" s="52"/>
      <c r="D125" s="52"/>
      <c r="E125" s="52"/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/>
      <c r="C127" s="52"/>
      <c r="D127" s="52"/>
      <c r="E127" s="52"/>
      <c r="F127" s="52"/>
      <c r="G127" s="52"/>
      <c r="H127" s="54"/>
      <c r="I127" s="53"/>
      <c r="J127" s="53"/>
    </row>
    <row r="128">
      <c r="B128" s="53"/>
      <c r="C128" s="52"/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3" customWidth="1"/>
    <col min="10" max="10" width="18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41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>
      <c r="B9" s="53"/>
      <c r="C9" s="52"/>
      <c r="D9" s="52"/>
      <c r="E9" s="52"/>
      <c r="F9" s="52"/>
      <c r="G9" s="52"/>
      <c r="H9" s="54"/>
      <c r="I9" s="53"/>
      <c r="J9" s="53"/>
    </row>
    <row r="10">
      <c r="B10" s="53" t="s">
        <v>42</v>
      </c>
      <c r="C10" s="60">
        <f>'Segment - Mountain'!C35</f>
        <v>180.934</v>
      </c>
      <c r="D10" s="60">
        <f>'Segment - Mountain'!D35</f>
        <v>2629.873</v>
      </c>
      <c r="E10" s="60">
        <f>'Segment - Mountain'!E35</f>
        <v>185.239</v>
      </c>
      <c r="F10" s="60">
        <f>'Segment - Mountain'!F35</f>
        <v>1012.304</v>
      </c>
      <c r="G10" s="60">
        <f>'Segment - Mountain'!G35</f>
        <v>1129.778</v>
      </c>
      <c r="H10" s="78">
        <f>'Segment - Mountain'!H35</f>
        <v>169.333235</v>
      </c>
      <c r="I10" s="53"/>
      <c r="J10" s="53"/>
    </row>
    <row r="11">
      <c r="B11" s="53" t="s">
        <v>43</v>
      </c>
      <c r="C11" s="56"/>
      <c r="D11" s="56"/>
      <c r="E11" s="56"/>
      <c r="F11" s="56"/>
      <c r="G11" s="56"/>
      <c r="H11" s="69">
        <f>H10/C10-1</f>
        <v>-0.06411600362563141</v>
      </c>
      <c r="I11" s="53"/>
      <c r="J11" s="53"/>
    </row>
    <row r="12">
      <c r="B12" s="53" t="s">
        <v>44</v>
      </c>
      <c r="C12" s="56"/>
      <c r="D12" s="56"/>
      <c r="E12" s="56"/>
      <c r="F12" s="56"/>
      <c r="G12" s="56"/>
      <c r="H12" s="69">
        <f>H10/G10-1</f>
        <v>-0.8501181338280618</v>
      </c>
      <c r="I12" s="53"/>
      <c r="J12" s="53"/>
    </row>
    <row r="13">
      <c r="B13" s="53" t="s">
        <v>45</v>
      </c>
      <c r="C13" s="56">
        <f>IFERROR(C10/C22,0)</f>
        <v>0.6669418959117399</v>
      </c>
      <c r="D13" s="56">
        <f>IFERROR(D10/D22,0)</f>
        <v>0.8871677303635505</v>
      </c>
      <c r="E13" s="56">
        <f>IFERROR(E10/E22,0)</f>
        <v>0.6834656070014649</v>
      </c>
      <c r="F13" s="56">
        <f>IFERROR(F10/F22,0)</f>
        <v>0.9339183638826052</v>
      </c>
      <c r="G13" s="56">
        <f>IFERROR(G10/G22,0)</f>
        <v>0.9374389611467214</v>
      </c>
      <c r="H13" s="69">
        <f>IFERROR(H10/H22,0)</f>
        <v>0.6538037638446615</v>
      </c>
      <c r="I13" s="53"/>
      <c r="J13" s="53"/>
    </row>
    <row r="14">
      <c r="B14" s="53" t="s">
        <v>46</v>
      </c>
      <c r="C14" s="60">
        <f>'Segment - Lodging'!C50</f>
        <v>90.26899999999999</v>
      </c>
      <c r="D14" s="60">
        <f>'Segment - Lodging'!D50</f>
        <v>334.039</v>
      </c>
      <c r="E14" s="60">
        <f>'Segment - Lodging'!E50</f>
        <v>85.71</v>
      </c>
      <c r="F14" s="60">
        <f>'Segment - Lodging'!F50</f>
        <v>71.586</v>
      </c>
      <c r="G14" s="60">
        <f>'Segment - Lodging'!G50</f>
        <v>75.315</v>
      </c>
      <c r="H14" s="78">
        <f>'Segment - Lodging'!H50</f>
        <v>89.577798</v>
      </c>
      <c r="I14" s="53"/>
      <c r="J14" s="53"/>
    </row>
    <row r="15">
      <c r="B15" s="53" t="s">
        <v>43</v>
      </c>
      <c r="C15" s="56"/>
      <c r="D15" s="56"/>
      <c r="E15" s="56"/>
      <c r="F15" s="56"/>
      <c r="G15" s="56"/>
      <c r="H15" s="69">
        <f>H14/C14-1</f>
        <v>-0.007657135893828326</v>
      </c>
      <c r="I15" s="53"/>
      <c r="J15" s="53"/>
    </row>
    <row r="16">
      <c r="B16" s="53" t="s">
        <v>44</v>
      </c>
      <c r="C16" s="56"/>
      <c r="D16" s="56"/>
      <c r="E16" s="56"/>
      <c r="F16" s="56"/>
      <c r="G16" s="56"/>
      <c r="H16" s="69">
        <f>H14/G14-1</f>
        <v>0.18937526389165504</v>
      </c>
      <c r="I16" s="53"/>
      <c r="J16" s="53"/>
    </row>
    <row r="17">
      <c r="B17" s="53" t="s">
        <v>45</v>
      </c>
      <c r="C17" s="56">
        <f>IFERROR(C14/C22,0)</f>
        <v>0.33274109897563114</v>
      </c>
      <c r="D17" s="56">
        <f>IFERROR(D14/D22,0)</f>
        <v>0.11268552568238467</v>
      </c>
      <c r="E17" s="56">
        <f>IFERROR(E14/E22,0)</f>
        <v>0.31623922163310936</v>
      </c>
      <c r="F17" s="56">
        <f>IFERROR(F14/F22,0)</f>
        <v>0.06604288829926601</v>
      </c>
      <c r="G17" s="56">
        <f>IFERROR(G14/G22,0)</f>
        <v>0.06249299894206236</v>
      </c>
      <c r="H17" s="69">
        <f>IFERROR(H14/H22,0)</f>
        <v>0.3458641860194592</v>
      </c>
      <c r="I17" s="53"/>
      <c r="J17" s="53"/>
    </row>
    <row r="18">
      <c r="B18" s="53" t="s">
        <v>47</v>
      </c>
      <c r="C18" s="60">
        <f>'Segment - Real Estate'!C15</f>
        <v>0.08600000000000002</v>
      </c>
      <c r="D18" s="60">
        <f>'Segment - Real Estate'!D15</f>
        <v>0.435</v>
      </c>
      <c r="E18" s="60">
        <f>'Segment - Real Estate'!E15</f>
        <v>0.08</v>
      </c>
      <c r="F18" s="60">
        <f>'Segment - Real Estate'!F15</f>
        <v>0.042</v>
      </c>
      <c r="G18" s="60">
        <f>'Segment - Real Estate'!G15</f>
        <v>0.082</v>
      </c>
      <c r="H18" s="78">
        <f>'Segment - Real Estate'!H15</f>
        <v>0.08600000000000002</v>
      </c>
      <c r="I18" s="53"/>
      <c r="J18" s="53"/>
    </row>
    <row r="19">
      <c r="B19" s="53" t="s">
        <v>43</v>
      </c>
      <c r="C19" s="56"/>
      <c r="D19" s="56"/>
      <c r="E19" s="56"/>
      <c r="F19" s="56"/>
      <c r="G19" s="56"/>
      <c r="H19" s="69">
        <f>H18/C18-1</f>
        <v>0</v>
      </c>
      <c r="I19" s="53"/>
      <c r="J19" s="53"/>
    </row>
    <row r="20">
      <c r="B20" s="53" t="s">
        <v>44</v>
      </c>
      <c r="C20" s="56"/>
      <c r="D20" s="56"/>
      <c r="E20" s="56"/>
      <c r="F20" s="56"/>
      <c r="G20" s="56"/>
      <c r="H20" s="69">
        <f>H18/G18-1</f>
        <v>0.048780487804878314</v>
      </c>
      <c r="I20" s="53"/>
      <c r="J20" s="53"/>
    </row>
    <row r="21">
      <c r="B21" s="53" t="s">
        <v>45</v>
      </c>
      <c r="C21" s="56">
        <f>IFERROR(C18/C22,0)</f>
        <v>0.0003170051126289677</v>
      </c>
      <c r="D21" s="56">
        <f>IFERROR(D18/D22,0)</f>
        <v>0.00014674395406475693</v>
      </c>
      <c r="E21" s="56">
        <f>IFERROR(E18/E22,0)</f>
        <v>0.00029517136542584003</v>
      </c>
      <c r="F21" s="56">
        <f>IFERROR(F18/F22,0)</f>
        <v>0.00003874781812881251</v>
      </c>
      <c r="G21" s="56">
        <f>IFERROR(G18/G22,0)</f>
        <v>0.00006803991121621342</v>
      </c>
      <c r="H21" s="69">
        <f>IFERROR(H18/H22,0)</f>
        <v>0.0003320501358793559</v>
      </c>
      <c r="I21" s="53"/>
      <c r="J21" s="53"/>
    </row>
    <row r="22">
      <c r="B22" s="65" t="s">
        <v>48</v>
      </c>
      <c r="C22" s="62">
        <f>SUM(C10,C14,C18)</f>
        <v>271.289</v>
      </c>
      <c r="D22" s="62">
        <f>SUM(D10,D14,D18)</f>
        <v>2964.347</v>
      </c>
      <c r="E22" s="62">
        <f>SUM(E10,E14,E18)</f>
        <v>271.029</v>
      </c>
      <c r="F22" s="62">
        <f>SUM(F10,F14,F18)</f>
        <v>1083.932</v>
      </c>
      <c r="G22" s="62">
        <f>SUM(G10,G14,G18)</f>
        <v>1205.175</v>
      </c>
      <c r="H22" s="70">
        <f>SUM(H10,H14,H18)</f>
        <v>258.997033</v>
      </c>
      <c r="I22" s="53"/>
      <c r="J22" s="53"/>
    </row>
    <row r="23">
      <c r="B23" s="53" t="s">
        <v>43</v>
      </c>
      <c r="C23" s="56"/>
      <c r="D23" s="56"/>
      <c r="E23" s="56"/>
      <c r="F23" s="56"/>
      <c r="G23" s="56"/>
      <c r="H23" s="69">
        <f>H22/C22-1</f>
        <v>-0.04530949282868091</v>
      </c>
      <c r="I23" s="53"/>
      <c r="J23" s="53"/>
    </row>
    <row r="24">
      <c r="B24" s="53" t="s">
        <v>44</v>
      </c>
      <c r="C24" s="56"/>
      <c r="D24" s="56"/>
      <c r="E24" s="56"/>
      <c r="F24" s="56"/>
      <c r="G24" s="56"/>
      <c r="H24" s="69">
        <f>H22/G22-1</f>
        <v>-0.7850959130416745</v>
      </c>
      <c r="I24" s="53"/>
      <c r="J24" s="53"/>
    </row>
    <row r="25">
      <c r="B25" s="53" t="s">
        <v>49</v>
      </c>
      <c r="C25" s="52">
        <f>C22-SUM(C10,C14,C18)</f>
        <v>0</v>
      </c>
      <c r="D25" s="52">
        <f>D22-SUM(D10,D14,D18)</f>
        <v>0</v>
      </c>
      <c r="E25" s="52">
        <f>E22-SUM(E10,E14,E18)</f>
        <v>0</v>
      </c>
      <c r="F25" s="52">
        <f>F22-SUM(F10,F14,F18)</f>
        <v>0</v>
      </c>
      <c r="G25" s="52">
        <f>G22-SUM(G10,G14,G18)</f>
        <v>0</v>
      </c>
      <c r="H25" s="54">
        <f>H22-SUM(H10,H14,H18)</f>
        <v>0</v>
      </c>
      <c r="I25" s="53"/>
      <c r="J25" s="53"/>
    </row>
    <row r="26">
      <c r="B26" s="53"/>
      <c r="C26" s="52"/>
      <c r="D26" s="52"/>
      <c r="E26" s="52"/>
      <c r="F26" s="52"/>
      <c r="G26" s="52"/>
      <c r="H26" s="54"/>
      <c r="I26" s="53"/>
      <c r="J26" s="53"/>
    </row>
    <row r="27">
      <c r="B27" s="53" t="s">
        <v>50</v>
      </c>
      <c r="C27" s="57">
        <f>C22-Inputs!H11</f>
        <v>-0.0010000000000331966</v>
      </c>
      <c r="D27" s="52"/>
      <c r="E27" s="57">
        <f>E22-Inputs!H12</f>
        <v>-0.0009999999999763531</v>
      </c>
      <c r="F27" s="57">
        <f>F22-Inputs!H13</f>
        <v>0.0019999999999527063</v>
      </c>
      <c r="G27" s="57">
        <f>G22-Inputs!H14</f>
        <v>-0.005000000000109139</v>
      </c>
      <c r="H27" s="54"/>
      <c r="I27" s="53"/>
      <c r="J27" s="53"/>
    </row>
    <row r="28">
      <c r="B28" s="53"/>
      <c r="C28" s="52"/>
      <c r="D28" s="52"/>
      <c r="E28" s="52"/>
      <c r="F28" s="52"/>
      <c r="G28" s="52"/>
      <c r="H28" s="54"/>
      <c r="I28" s="53"/>
      <c r="J28" s="53"/>
    </row>
    <row r="29">
      <c r="B29" s="53" t="s">
        <v>51</v>
      </c>
      <c r="C29" s="52"/>
      <c r="D29" s="52"/>
      <c r="E29" s="52"/>
      <c r="F29" s="52"/>
      <c r="G29" s="52"/>
      <c r="H29" s="54"/>
      <c r="I29" s="53"/>
      <c r="J29" s="53"/>
    </row>
    <row r="30">
      <c r="B30" s="53" t="s">
        <v>52</v>
      </c>
      <c r="C30" s="52"/>
      <c r="D30" s="52"/>
      <c r="E30" s="52"/>
      <c r="F30" s="52"/>
      <c r="G30" s="52"/>
      <c r="H30" s="79">
        <f>'Segment - Mountain'!H87</f>
        <v>610</v>
      </c>
      <c r="I30" s="53"/>
      <c r="J30" s="53"/>
    </row>
    <row r="31">
      <c r="B31" s="53" t="s">
        <v>53</v>
      </c>
      <c r="C31" s="52"/>
      <c r="D31" s="52"/>
      <c r="E31" s="52"/>
      <c r="F31" s="52"/>
      <c r="G31" s="52"/>
      <c r="H31" s="79">
        <f>'Segment - Mountain'!H90</f>
        <v>1000</v>
      </c>
      <c r="I31" s="53"/>
      <c r="J31" s="53"/>
    </row>
    <row r="32">
      <c r="B32" s="53" t="s">
        <v>54</v>
      </c>
      <c r="C32" s="56"/>
      <c r="D32" s="56"/>
      <c r="E32" s="56"/>
      <c r="F32" s="56"/>
      <c r="G32" s="56"/>
      <c r="H32" s="69">
        <f>H30/H31-1</f>
        <v>-0.39</v>
      </c>
      <c r="I32" s="53"/>
      <c r="J32" s="53"/>
    </row>
    <row r="33">
      <c r="B33" s="53"/>
      <c r="C33" s="52"/>
      <c r="D33" s="52"/>
      <c r="E33" s="52"/>
      <c r="F33" s="52"/>
      <c r="G33" s="52"/>
      <c r="H33" s="54"/>
      <c r="I33" s="53"/>
      <c r="J33" s="53"/>
    </row>
    <row r="34">
      <c r="B34" s="53" t="s">
        <v>55</v>
      </c>
      <c r="C34" s="52"/>
      <c r="D34" s="52"/>
      <c r="E34" s="52"/>
      <c r="F34" s="52"/>
      <c r="G34" s="52"/>
      <c r="H34" s="54"/>
      <c r="I34" s="53"/>
      <c r="J34" s="53"/>
    </row>
    <row r="35">
      <c r="B35" s="53"/>
      <c r="C35" s="52"/>
      <c r="D35" s="52"/>
      <c r="E35" s="52"/>
      <c r="F35" s="52"/>
      <c r="G35" s="52"/>
      <c r="H35" s="54"/>
      <c r="I35" s="53"/>
      <c r="J35" s="53"/>
    </row>
    <row r="36">
      <c r="B36" s="53"/>
      <c r="C36" s="52"/>
      <c r="D36" s="52"/>
      <c r="E36" s="52"/>
      <c r="F36" s="52"/>
      <c r="G36" s="52"/>
      <c r="H36" s="54"/>
      <c r="I36" s="53"/>
      <c r="J36" s="53"/>
    </row>
    <row r="37">
      <c r="B37" s="53"/>
      <c r="C37" s="52"/>
      <c r="D37" s="52"/>
      <c r="E37" s="52"/>
      <c r="F37" s="52"/>
      <c r="G37" s="52"/>
      <c r="H37" s="54"/>
      <c r="I37" s="53"/>
      <c r="J37" s="53"/>
    </row>
    <row r="38">
      <c r="B38" s="53"/>
      <c r="C38" s="52"/>
      <c r="D38" s="52"/>
      <c r="E38" s="52"/>
      <c r="F38" s="52"/>
      <c r="G38" s="52"/>
      <c r="H38" s="54"/>
      <c r="I38" s="53"/>
      <c r="J38" s="53"/>
    </row>
    <row r="39">
      <c r="B39" s="53"/>
      <c r="C39" s="52"/>
      <c r="D39" s="52"/>
      <c r="E39" s="52"/>
      <c r="F39" s="52"/>
      <c r="G39" s="52"/>
      <c r="H39" s="54"/>
      <c r="I39" s="53"/>
      <c r="J39" s="53"/>
    </row>
    <row r="40">
      <c r="B40" s="53"/>
      <c r="C40" s="52"/>
      <c r="D40" s="52"/>
      <c r="E40" s="52"/>
      <c r="F40" s="52"/>
      <c r="G40" s="52"/>
      <c r="H40" s="54"/>
      <c r="I40" s="53"/>
      <c r="J40" s="53"/>
    </row>
    <row r="41">
      <c r="B41" s="53"/>
      <c r="C41" s="52"/>
      <c r="D41" s="52"/>
      <c r="E41" s="52"/>
      <c r="F41" s="52"/>
      <c r="G41" s="52"/>
      <c r="H41" s="54"/>
      <c r="I41" s="53"/>
      <c r="J41" s="53"/>
    </row>
    <row r="42">
      <c r="B42" s="53"/>
      <c r="C42" s="52"/>
      <c r="D42" s="52"/>
      <c r="E42" s="52"/>
      <c r="F42" s="52"/>
      <c r="G42" s="52"/>
      <c r="H42" s="54"/>
      <c r="I42" s="53"/>
      <c r="J42" s="53"/>
    </row>
    <row r="43">
      <c r="B43" s="53"/>
      <c r="C43" s="52"/>
      <c r="D43" s="52"/>
      <c r="E43" s="52"/>
      <c r="F43" s="52"/>
      <c r="G43" s="52"/>
      <c r="H43" s="54"/>
      <c r="I43" s="53"/>
      <c r="J43" s="53"/>
    </row>
    <row r="44">
      <c r="B44" s="53"/>
      <c r="C44" s="52"/>
      <c r="D44" s="52"/>
      <c r="E44" s="52"/>
      <c r="F44" s="52"/>
      <c r="G44" s="52"/>
      <c r="H44" s="54"/>
      <c r="I44" s="53"/>
      <c r="J44" s="53"/>
    </row>
    <row r="45">
      <c r="B45" s="53"/>
      <c r="C45" s="52"/>
      <c r="D45" s="52"/>
      <c r="E45" s="52"/>
      <c r="F45" s="52"/>
      <c r="G45" s="52"/>
      <c r="H45" s="54"/>
      <c r="I45" s="53"/>
      <c r="J45" s="53"/>
    </row>
    <row r="46">
      <c r="B46" s="53"/>
      <c r="C46" s="52"/>
      <c r="D46" s="52"/>
      <c r="E46" s="52"/>
      <c r="F46" s="52"/>
      <c r="G46" s="52"/>
      <c r="H46" s="54"/>
      <c r="I46" s="53"/>
      <c r="J46" s="53"/>
    </row>
    <row r="47">
      <c r="B47" s="53"/>
      <c r="C47" s="52"/>
      <c r="D47" s="52"/>
      <c r="E47" s="52"/>
      <c r="F47" s="52"/>
      <c r="G47" s="52"/>
      <c r="H47" s="54"/>
      <c r="I47" s="53"/>
      <c r="J47" s="53"/>
    </row>
    <row r="48">
      <c r="B48" s="53"/>
      <c r="C48" s="52"/>
      <c r="D48" s="52"/>
      <c r="E48" s="52"/>
      <c r="F48" s="52"/>
      <c r="G48" s="52"/>
      <c r="H48" s="54"/>
      <c r="I48" s="53"/>
      <c r="J48" s="53"/>
    </row>
    <row r="49">
      <c r="B49" s="53"/>
      <c r="C49" s="52"/>
      <c r="D49" s="52"/>
      <c r="E49" s="52"/>
      <c r="F49" s="52"/>
      <c r="G49" s="52"/>
      <c r="H49" s="54"/>
      <c r="I49" s="53"/>
      <c r="J49" s="53"/>
    </row>
    <row r="50">
      <c r="B50" s="53"/>
      <c r="C50" s="52"/>
      <c r="D50" s="52"/>
      <c r="E50" s="52"/>
      <c r="F50" s="52"/>
      <c r="G50" s="52"/>
      <c r="H50" s="54"/>
      <c r="I50" s="53"/>
      <c r="J50" s="53"/>
    </row>
    <row r="51">
      <c r="B51" s="53"/>
      <c r="C51" s="52"/>
      <c r="D51" s="52"/>
      <c r="E51" s="52"/>
      <c r="F51" s="52"/>
      <c r="G51" s="52"/>
      <c r="H51" s="54"/>
      <c r="I51" s="53"/>
      <c r="J51" s="53"/>
    </row>
    <row r="52">
      <c r="B52" s="53"/>
      <c r="C52" s="52"/>
      <c r="D52" s="52"/>
      <c r="E52" s="52"/>
      <c r="F52" s="52"/>
      <c r="G52" s="52"/>
      <c r="H52" s="54"/>
      <c r="I52" s="53"/>
      <c r="J52" s="53"/>
    </row>
    <row r="53">
      <c r="B53" s="53"/>
      <c r="C53" s="52"/>
      <c r="D53" s="52"/>
      <c r="E53" s="52"/>
      <c r="F53" s="52"/>
      <c r="G53" s="52"/>
      <c r="H53" s="54"/>
      <c r="I53" s="53"/>
      <c r="J53" s="53"/>
    </row>
    <row r="54">
      <c r="B54" s="53"/>
      <c r="C54" s="52"/>
      <c r="D54" s="52"/>
      <c r="E54" s="52"/>
      <c r="F54" s="52"/>
      <c r="G54" s="52"/>
      <c r="H54" s="54"/>
      <c r="I54" s="53"/>
      <c r="J54" s="53"/>
    </row>
    <row r="55">
      <c r="B55" s="53"/>
      <c r="C55" s="52"/>
      <c r="D55" s="52"/>
      <c r="E55" s="52"/>
      <c r="F55" s="52"/>
      <c r="G55" s="52"/>
      <c r="H55" s="54"/>
      <c r="I55" s="53"/>
      <c r="J55" s="53"/>
    </row>
    <row r="56">
      <c r="B56" s="53"/>
      <c r="C56" s="52"/>
      <c r="D56" s="52"/>
      <c r="E56" s="52"/>
      <c r="F56" s="52"/>
      <c r="G56" s="52"/>
      <c r="H56" s="54"/>
      <c r="I56" s="53"/>
      <c r="J56" s="53"/>
    </row>
    <row r="57">
      <c r="B57" s="53"/>
      <c r="C57" s="52"/>
      <c r="D57" s="52"/>
      <c r="E57" s="52"/>
      <c r="F57" s="52"/>
      <c r="G57" s="52"/>
      <c r="H57" s="54"/>
      <c r="I57" s="53"/>
      <c r="J57" s="53"/>
    </row>
    <row r="58">
      <c r="B58" s="53"/>
      <c r="C58" s="52"/>
      <c r="D58" s="52"/>
      <c r="E58" s="52"/>
      <c r="F58" s="52"/>
      <c r="G58" s="52"/>
      <c r="H58" s="54"/>
      <c r="I58" s="53"/>
      <c r="J58" s="53"/>
    </row>
    <row r="59">
      <c r="B59" s="53"/>
      <c r="C59" s="52"/>
      <c r="D59" s="52"/>
      <c r="E59" s="52"/>
      <c r="F59" s="52"/>
      <c r="G59" s="52"/>
      <c r="H59" s="54"/>
      <c r="I59" s="53"/>
      <c r="J59" s="53"/>
    </row>
    <row r="60">
      <c r="B60" s="53"/>
      <c r="C60" s="52"/>
      <c r="D60" s="52"/>
      <c r="E60" s="52"/>
      <c r="F60" s="52"/>
      <c r="G60" s="52"/>
      <c r="H60" s="54"/>
      <c r="I60" s="53"/>
      <c r="J60" s="53"/>
    </row>
    <row r="61">
      <c r="B61" s="53"/>
      <c r="C61" s="52"/>
      <c r="D61" s="52"/>
      <c r="E61" s="52"/>
      <c r="F61" s="52"/>
      <c r="G61" s="52"/>
      <c r="H61" s="54"/>
      <c r="I61" s="53"/>
      <c r="J61" s="53"/>
    </row>
    <row r="62">
      <c r="B62" s="53"/>
      <c r="C62" s="52"/>
      <c r="D62" s="52"/>
      <c r="E62" s="52"/>
      <c r="F62" s="52"/>
      <c r="G62" s="52"/>
      <c r="H62" s="54"/>
      <c r="I62" s="53"/>
      <c r="J62" s="53"/>
    </row>
    <row r="63">
      <c r="B63" s="53"/>
      <c r="C63" s="52"/>
      <c r="D63" s="52"/>
      <c r="E63" s="52"/>
      <c r="F63" s="52"/>
      <c r="G63" s="52"/>
      <c r="H63" s="54"/>
      <c r="I63" s="53"/>
      <c r="J63" s="53"/>
    </row>
    <row r="64">
      <c r="B64" s="53"/>
      <c r="C64" s="52"/>
      <c r="D64" s="52"/>
      <c r="E64" s="52"/>
      <c r="F64" s="52"/>
      <c r="G64" s="52"/>
      <c r="H64" s="54"/>
      <c r="I64" s="53"/>
      <c r="J64" s="53"/>
    </row>
    <row r="65">
      <c r="B65" s="53"/>
      <c r="C65" s="52"/>
      <c r="D65" s="52"/>
      <c r="E65" s="52"/>
      <c r="F65" s="52"/>
      <c r="G65" s="52"/>
      <c r="H65" s="54"/>
      <c r="I65" s="53"/>
      <c r="J65" s="53"/>
    </row>
    <row r="66">
      <c r="B66" s="53"/>
      <c r="C66" s="52"/>
      <c r="D66" s="52"/>
      <c r="E66" s="52"/>
      <c r="F66" s="52"/>
      <c r="G66" s="52"/>
      <c r="H66" s="54"/>
      <c r="I66" s="53"/>
      <c r="J66" s="53"/>
    </row>
    <row r="67">
      <c r="B67" s="53"/>
      <c r="C67" s="52"/>
      <c r="D67" s="52"/>
      <c r="E67" s="52"/>
      <c r="F67" s="52"/>
      <c r="G67" s="52"/>
      <c r="H67" s="54"/>
      <c r="I67" s="53"/>
      <c r="J67" s="53"/>
    </row>
    <row r="68">
      <c r="B68" s="53"/>
      <c r="C68" s="52"/>
      <c r="D68" s="52"/>
      <c r="E68" s="52"/>
      <c r="F68" s="52"/>
      <c r="G68" s="52"/>
      <c r="H68" s="54"/>
      <c r="I68" s="53"/>
      <c r="J68" s="53"/>
    </row>
    <row r="69">
      <c r="B69" s="53"/>
      <c r="C69" s="52"/>
      <c r="D69" s="52"/>
      <c r="E69" s="52"/>
      <c r="F69" s="52"/>
      <c r="G69" s="52"/>
      <c r="H69" s="54"/>
      <c r="I69" s="53"/>
      <c r="J69" s="53"/>
    </row>
    <row r="70">
      <c r="B70" s="53"/>
      <c r="C70" s="52"/>
      <c r="D70" s="52"/>
      <c r="E70" s="52"/>
      <c r="F70" s="52"/>
      <c r="G70" s="52"/>
      <c r="H70" s="54"/>
      <c r="I70" s="53"/>
      <c r="J70" s="53"/>
    </row>
    <row r="71">
      <c r="B71" s="53"/>
      <c r="C71" s="52"/>
      <c r="D71" s="52"/>
      <c r="E71" s="52"/>
      <c r="F71" s="52"/>
      <c r="G71" s="52"/>
      <c r="H71" s="54"/>
      <c r="I71" s="53"/>
      <c r="J71" s="53"/>
    </row>
    <row r="72">
      <c r="B72" s="53"/>
      <c r="C72" s="52"/>
      <c r="D72" s="52"/>
      <c r="E72" s="52"/>
      <c r="F72" s="52"/>
      <c r="G72" s="52"/>
      <c r="H72" s="54"/>
      <c r="I72" s="53"/>
      <c r="J72" s="53"/>
    </row>
    <row r="73">
      <c r="B73" s="53"/>
      <c r="C73" s="52"/>
      <c r="D73" s="52"/>
      <c r="E73" s="52"/>
      <c r="F73" s="52"/>
      <c r="G73" s="52"/>
      <c r="H73" s="54"/>
      <c r="I73" s="53"/>
      <c r="J73" s="53"/>
    </row>
    <row r="74">
      <c r="B74" s="53"/>
      <c r="C74" s="52"/>
      <c r="D74" s="52"/>
      <c r="E74" s="52"/>
      <c r="F74" s="52"/>
      <c r="G74" s="52"/>
      <c r="H74" s="54"/>
      <c r="I74" s="53"/>
      <c r="J74" s="53"/>
    </row>
    <row r="75">
      <c r="B75" s="53"/>
      <c r="C75" s="52"/>
      <c r="D75" s="52"/>
      <c r="E75" s="52"/>
      <c r="F75" s="52"/>
      <c r="G75" s="52"/>
      <c r="H75" s="54"/>
      <c r="I75" s="53"/>
      <c r="J75" s="53"/>
    </row>
    <row r="76">
      <c r="B76" s="53"/>
      <c r="C76" s="52"/>
      <c r="D76" s="52"/>
      <c r="E76" s="52"/>
      <c r="F76" s="52"/>
      <c r="G76" s="52"/>
      <c r="H76" s="54"/>
      <c r="I76" s="53"/>
      <c r="J76" s="53"/>
    </row>
    <row r="77">
      <c r="B77" s="53"/>
      <c r="C77" s="52"/>
      <c r="D77" s="52"/>
      <c r="E77" s="52"/>
      <c r="F77" s="52"/>
      <c r="G77" s="52"/>
      <c r="H77" s="54"/>
      <c r="I77" s="53"/>
      <c r="J77" s="53"/>
    </row>
    <row r="78">
      <c r="B78" s="53"/>
      <c r="C78" s="52"/>
      <c r="D78" s="52"/>
      <c r="E78" s="52"/>
      <c r="F78" s="52"/>
      <c r="G78" s="52"/>
      <c r="H78" s="54"/>
      <c r="I78" s="53"/>
      <c r="J78" s="53"/>
    </row>
    <row r="79">
      <c r="B79" s="53"/>
      <c r="C79" s="52"/>
      <c r="D79" s="52"/>
      <c r="E79" s="52"/>
      <c r="F79" s="52"/>
      <c r="G79" s="52"/>
      <c r="H79" s="54"/>
      <c r="I79" s="53"/>
      <c r="J79" s="53"/>
    </row>
    <row r="80">
      <c r="B80" s="53"/>
      <c r="C80" s="52"/>
      <c r="D80" s="52"/>
      <c r="E80" s="52"/>
      <c r="F80" s="52"/>
      <c r="G80" s="52"/>
      <c r="H80" s="54"/>
      <c r="I80" s="53"/>
      <c r="J80" s="53"/>
    </row>
    <row r="81">
      <c r="B81" s="53"/>
      <c r="C81" s="52"/>
      <c r="D81" s="52"/>
      <c r="E81" s="52"/>
      <c r="F81" s="52"/>
      <c r="G81" s="52"/>
      <c r="H81" s="54"/>
      <c r="I81" s="53"/>
      <c r="J81" s="53"/>
    </row>
    <row r="82">
      <c r="B82" s="53"/>
      <c r="C82" s="52"/>
      <c r="D82" s="52"/>
      <c r="E82" s="52"/>
      <c r="F82" s="52"/>
      <c r="G82" s="52"/>
      <c r="H82" s="54"/>
      <c r="I82" s="53"/>
      <c r="J82" s="53"/>
    </row>
    <row r="83">
      <c r="B83" s="53"/>
      <c r="C83" s="52"/>
      <c r="D83" s="52"/>
      <c r="E83" s="52"/>
      <c r="F83" s="52"/>
      <c r="G83" s="52"/>
      <c r="H83" s="54"/>
      <c r="I83" s="53"/>
      <c r="J83" s="53"/>
    </row>
    <row r="84">
      <c r="B84" s="53"/>
      <c r="C84" s="52"/>
      <c r="D84" s="52"/>
      <c r="E84" s="52"/>
      <c r="F84" s="52"/>
      <c r="G84" s="52"/>
      <c r="H84" s="54"/>
      <c r="I84" s="53"/>
      <c r="J84" s="53"/>
    </row>
    <row r="85">
      <c r="B85" s="53"/>
      <c r="C85" s="52"/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/>
      <c r="C89" s="52"/>
      <c r="D89" s="52"/>
      <c r="E89" s="52"/>
      <c r="F89" s="52"/>
      <c r="G89" s="52"/>
      <c r="H89" s="54"/>
      <c r="I89" s="53"/>
      <c r="J89" s="53"/>
    </row>
    <row r="90">
      <c r="B90" s="53"/>
      <c r="C90" s="52"/>
      <c r="D90" s="52"/>
      <c r="E90" s="52"/>
      <c r="F90" s="52"/>
      <c r="G90" s="52"/>
      <c r="H90" s="54"/>
      <c r="I90" s="53"/>
      <c r="J90" s="53"/>
    </row>
    <row r="91">
      <c r="B91" s="53"/>
      <c r="C91" s="52"/>
      <c r="D91" s="52"/>
      <c r="E91" s="52"/>
      <c r="F91" s="52"/>
      <c r="G91" s="52"/>
      <c r="H91" s="54"/>
      <c r="I91" s="53"/>
      <c r="J91" s="53"/>
    </row>
    <row r="92">
      <c r="B92" s="53"/>
      <c r="C92" s="52"/>
      <c r="D92" s="52"/>
      <c r="E92" s="52"/>
      <c r="F92" s="52"/>
      <c r="G92" s="52"/>
      <c r="H92" s="54"/>
      <c r="I92" s="53"/>
      <c r="J92" s="53"/>
    </row>
    <row r="93">
      <c r="B93" s="53"/>
      <c r="C93" s="52"/>
      <c r="D93" s="52"/>
      <c r="E93" s="52"/>
      <c r="F93" s="52"/>
      <c r="G93" s="52"/>
      <c r="H93" s="54"/>
      <c r="I93" s="53"/>
      <c r="J93" s="53"/>
    </row>
    <row r="94">
      <c r="B94" s="53"/>
      <c r="C94" s="52"/>
      <c r="D94" s="52"/>
      <c r="E94" s="52"/>
      <c r="F94" s="52"/>
      <c r="G94" s="52"/>
      <c r="H94" s="54"/>
      <c r="I94" s="53"/>
      <c r="J94" s="53"/>
    </row>
    <row r="95">
      <c r="B95" s="53"/>
      <c r="C95" s="52"/>
      <c r="D95" s="52"/>
      <c r="E95" s="52"/>
      <c r="F95" s="52"/>
      <c r="G95" s="52"/>
      <c r="H95" s="54"/>
      <c r="I95" s="53"/>
      <c r="J95" s="53"/>
    </row>
    <row r="96">
      <c r="B96" s="53"/>
      <c r="C96" s="52"/>
      <c r="D96" s="52"/>
      <c r="E96" s="52"/>
      <c r="F96" s="52"/>
      <c r="G96" s="52"/>
      <c r="H96" s="54"/>
      <c r="I96" s="53"/>
      <c r="J96" s="53"/>
    </row>
    <row r="97">
      <c r="B97" s="53"/>
      <c r="C97" s="52"/>
      <c r="D97" s="52"/>
      <c r="E97" s="52"/>
      <c r="F97" s="52"/>
      <c r="G97" s="52"/>
      <c r="H97" s="54"/>
      <c r="I97" s="53"/>
      <c r="J97" s="53"/>
    </row>
    <row r="98">
      <c r="B98" s="53"/>
      <c r="C98" s="52"/>
      <c r="D98" s="52"/>
      <c r="E98" s="52"/>
      <c r="F98" s="52"/>
      <c r="G98" s="52"/>
      <c r="H98" s="54"/>
      <c r="I98" s="53"/>
      <c r="J98" s="53"/>
    </row>
    <row r="99">
      <c r="B99" s="53"/>
      <c r="C99" s="52"/>
      <c r="D99" s="52"/>
      <c r="E99" s="52"/>
      <c r="F99" s="52"/>
      <c r="G99" s="52"/>
      <c r="H99" s="54"/>
      <c r="I99" s="53"/>
      <c r="J99" s="53"/>
    </row>
    <row r="100">
      <c r="B100" s="53"/>
      <c r="C100" s="52"/>
      <c r="D100" s="52"/>
      <c r="E100" s="52"/>
      <c r="F100" s="52"/>
      <c r="G100" s="52"/>
      <c r="H100" s="54"/>
      <c r="I100" s="53"/>
      <c r="J100" s="53"/>
    </row>
    <row r="101">
      <c r="B101" s="53"/>
      <c r="C101" s="52"/>
      <c r="D101" s="52"/>
      <c r="E101" s="52"/>
      <c r="F101" s="52"/>
      <c r="G101" s="52"/>
      <c r="H101" s="54"/>
      <c r="I101" s="53"/>
      <c r="J101" s="53"/>
    </row>
    <row r="102">
      <c r="B102" s="53"/>
      <c r="C102" s="52"/>
      <c r="D102" s="52"/>
      <c r="E102" s="52"/>
      <c r="F102" s="52"/>
      <c r="G102" s="52"/>
      <c r="H102" s="54"/>
      <c r="I102" s="53"/>
      <c r="J102" s="53"/>
    </row>
    <row r="103">
      <c r="B103" s="53"/>
      <c r="C103" s="52"/>
      <c r="D103" s="52"/>
      <c r="E103" s="52"/>
      <c r="F103" s="52"/>
      <c r="G103" s="52"/>
      <c r="H103" s="54"/>
      <c r="I103" s="53"/>
      <c r="J103" s="53"/>
    </row>
    <row r="104">
      <c r="B104" s="53"/>
      <c r="C104" s="52"/>
      <c r="D104" s="52"/>
      <c r="E104" s="52"/>
      <c r="F104" s="52"/>
      <c r="G104" s="52"/>
      <c r="H104" s="54"/>
      <c r="I104" s="53"/>
      <c r="J104" s="53"/>
    </row>
    <row r="105">
      <c r="B105" s="53"/>
      <c r="C105" s="52"/>
      <c r="D105" s="52"/>
      <c r="E105" s="52"/>
      <c r="F105" s="52"/>
      <c r="G105" s="52"/>
      <c r="H105" s="54"/>
      <c r="I105" s="53"/>
      <c r="J105" s="53"/>
    </row>
    <row r="106">
      <c r="B106" s="53"/>
      <c r="C106" s="52"/>
      <c r="D106" s="52"/>
      <c r="E106" s="52"/>
      <c r="F106" s="52"/>
      <c r="G106" s="52"/>
      <c r="H106" s="54"/>
      <c r="I106" s="53"/>
      <c r="J106" s="53"/>
    </row>
    <row r="107">
      <c r="B107" s="53"/>
      <c r="C107" s="52"/>
      <c r="D107" s="52"/>
      <c r="E107" s="52"/>
      <c r="F107" s="52"/>
      <c r="G107" s="52"/>
      <c r="H107" s="54"/>
      <c r="I107" s="53"/>
      <c r="J107" s="53"/>
    </row>
    <row r="108">
      <c r="B108" s="53"/>
      <c r="C108" s="52"/>
      <c r="D108" s="52"/>
      <c r="E108" s="52"/>
      <c r="F108" s="52"/>
      <c r="G108" s="52"/>
      <c r="H108" s="54"/>
      <c r="I108" s="53"/>
      <c r="J108" s="53"/>
    </row>
    <row r="109">
      <c r="B109" s="53"/>
      <c r="C109" s="52"/>
      <c r="D109" s="52"/>
      <c r="E109" s="52"/>
      <c r="F109" s="52"/>
      <c r="G109" s="52"/>
      <c r="H109" s="54"/>
      <c r="I109" s="53"/>
      <c r="J109" s="53"/>
    </row>
    <row r="110">
      <c r="B110" s="53"/>
      <c r="C110" s="52"/>
      <c r="D110" s="52"/>
      <c r="E110" s="52"/>
      <c r="F110" s="52"/>
      <c r="G110" s="52"/>
      <c r="H110" s="54"/>
      <c r="I110" s="53"/>
      <c r="J110" s="53"/>
    </row>
    <row r="111">
      <c r="B111" s="53"/>
      <c r="C111" s="52"/>
      <c r="D111" s="52"/>
      <c r="E111" s="52"/>
      <c r="F111" s="52"/>
      <c r="G111" s="52"/>
      <c r="H111" s="54"/>
      <c r="I111" s="53"/>
      <c r="J111" s="53"/>
    </row>
    <row r="112">
      <c r="B112" s="53"/>
      <c r="C112" s="52"/>
      <c r="D112" s="52"/>
      <c r="E112" s="52"/>
      <c r="F112" s="52"/>
      <c r="G112" s="52"/>
      <c r="H112" s="54"/>
      <c r="I112" s="53"/>
      <c r="J112" s="53"/>
    </row>
    <row r="113">
      <c r="B113" s="53"/>
      <c r="C113" s="52"/>
      <c r="D113" s="52"/>
      <c r="E113" s="52"/>
      <c r="F113" s="52"/>
      <c r="G113" s="52"/>
      <c r="H113" s="54"/>
      <c r="I113" s="53"/>
      <c r="J113" s="53"/>
    </row>
    <row r="114">
      <c r="B114" s="53"/>
      <c r="C114" s="52"/>
      <c r="D114" s="52"/>
      <c r="E114" s="52"/>
      <c r="F114" s="52"/>
      <c r="G114" s="52"/>
      <c r="H114" s="54"/>
      <c r="I114" s="53"/>
      <c r="J114" s="53"/>
    </row>
    <row r="115">
      <c r="B115" s="53"/>
      <c r="C115" s="52"/>
      <c r="D115" s="52"/>
      <c r="E115" s="52"/>
      <c r="F115" s="52"/>
      <c r="G115" s="52"/>
      <c r="H115" s="54"/>
      <c r="I115" s="53"/>
      <c r="J115" s="53"/>
    </row>
    <row r="116">
      <c r="B116" s="53"/>
      <c r="C116" s="52"/>
      <c r="D116" s="52"/>
      <c r="E116" s="52"/>
      <c r="F116" s="52"/>
      <c r="G116" s="52"/>
      <c r="H116" s="54"/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/>
      <c r="C118" s="52"/>
      <c r="D118" s="52"/>
      <c r="E118" s="52"/>
      <c r="F118" s="52"/>
      <c r="G118" s="52"/>
      <c r="H118" s="54"/>
      <c r="I118" s="53"/>
      <c r="J118" s="53"/>
    </row>
    <row r="119">
      <c r="B119" s="53"/>
      <c r="C119" s="52"/>
      <c r="D119" s="52"/>
      <c r="E119" s="52"/>
      <c r="F119" s="52"/>
      <c r="G119" s="52"/>
      <c r="H119" s="54"/>
      <c r="I119" s="53"/>
      <c r="J119" s="53"/>
    </row>
    <row r="120">
      <c r="B120" s="53"/>
      <c r="C120" s="52"/>
      <c r="D120" s="52"/>
      <c r="E120" s="52"/>
      <c r="F120" s="52"/>
      <c r="G120" s="52"/>
      <c r="H120" s="54"/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/>
      <c r="C122" s="52"/>
      <c r="D122" s="52"/>
      <c r="E122" s="52"/>
      <c r="F122" s="52"/>
      <c r="G122" s="52"/>
      <c r="H122" s="54"/>
      <c r="I122" s="53"/>
      <c r="J122" s="53"/>
    </row>
    <row r="123">
      <c r="B123" s="53"/>
      <c r="C123" s="52"/>
      <c r="D123" s="52"/>
      <c r="E123" s="52"/>
      <c r="F123" s="52"/>
      <c r="G123" s="52"/>
      <c r="H123" s="54"/>
      <c r="I123" s="53"/>
      <c r="J123" s="53"/>
    </row>
    <row r="124">
      <c r="B124" s="53"/>
      <c r="C124" s="52"/>
      <c r="D124" s="52"/>
      <c r="E124" s="52"/>
      <c r="F124" s="52"/>
      <c r="G124" s="52"/>
      <c r="H124" s="54"/>
      <c r="I124" s="53"/>
      <c r="J124" s="53"/>
    </row>
    <row r="125">
      <c r="B125" s="53"/>
      <c r="C125" s="52"/>
      <c r="D125" s="52"/>
      <c r="E125" s="52"/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/>
      <c r="C127" s="52"/>
      <c r="D127" s="52"/>
      <c r="E127" s="52"/>
      <c r="F127" s="52"/>
      <c r="G127" s="52"/>
      <c r="H127" s="54"/>
      <c r="I127" s="53"/>
      <c r="J127" s="53"/>
    </row>
    <row r="128">
      <c r="B128" s="53"/>
      <c r="C128" s="52"/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3" customWidth="1"/>
    <col min="10" max="10" width="18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56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>
      <c r="B9" s="53"/>
      <c r="C9" s="52"/>
      <c r="D9" s="52"/>
      <c r="E9" s="52"/>
      <c r="F9" s="52"/>
      <c r="G9" s="52"/>
      <c r="H9" s="54"/>
      <c r="I9" s="53"/>
      <c r="J9" s="53"/>
    </row>
    <row r="10">
      <c r="B10" s="53" t="s">
        <v>57</v>
      </c>
      <c r="C10" s="57">
        <f>D10-Inputs!C103</f>
        <v>47.58699999999999</v>
      </c>
      <c r="D10" s="61">
        <v>1503.187</v>
      </c>
      <c r="E10" s="61">
        <v>49.643</v>
      </c>
      <c r="F10" s="61">
        <v>625.927</v>
      </c>
      <c r="G10" s="61">
        <v>729.378</v>
      </c>
      <c r="H10" s="54">
        <f>C10*(H93/C93)*(H96/C96)</f>
        <v>42.59036499999999</v>
      </c>
      <c r="I10" s="53"/>
      <c r="J10" s="53"/>
    </row>
    <row r="11">
      <c r="B11" s="53" t="s">
        <v>58</v>
      </c>
      <c r="C11" s="56"/>
      <c r="D11" s="56"/>
      <c r="E11" s="56"/>
      <c r="F11" s="56"/>
      <c r="G11" s="56"/>
      <c r="H11" s="69">
        <f>(1+H14)/((1+H12)*(1+H13))-1</f>
        <v>-0.10499999999999998</v>
      </c>
      <c r="I11" s="53"/>
      <c r="J11" s="53"/>
    </row>
    <row r="12">
      <c r="B12" s="53" t="s">
        <v>59</v>
      </c>
      <c r="C12" s="56"/>
      <c r="D12" s="56"/>
      <c r="E12" s="56"/>
      <c r="F12" s="56"/>
      <c r="G12" s="56"/>
      <c r="H12" s="59">
        <v>0</v>
      </c>
      <c r="I12" s="53"/>
      <c r="J12" s="53"/>
    </row>
    <row r="13">
      <c r="B13" s="53" t="s">
        <v>60</v>
      </c>
      <c r="C13" s="56"/>
      <c r="D13" s="56"/>
      <c r="E13" s="56"/>
      <c r="F13" s="56"/>
      <c r="G13" s="56"/>
      <c r="H13" s="59">
        <v>0</v>
      </c>
      <c r="I13" s="53"/>
      <c r="J13" s="53"/>
    </row>
    <row r="14">
      <c r="B14" s="53" t="s">
        <v>61</v>
      </c>
      <c r="C14" s="56"/>
      <c r="D14" s="56"/>
      <c r="E14" s="56"/>
      <c r="F14" s="56"/>
      <c r="G14" s="56"/>
      <c r="H14" s="69">
        <f>H10/C10-1</f>
        <v>-0.10499999999999998</v>
      </c>
      <c r="I14" s="53"/>
      <c r="J14" s="53"/>
    </row>
    <row r="15">
      <c r="B15" s="53" t="s">
        <v>62</v>
      </c>
      <c r="C15" s="57">
        <f>D15-Inputs!C104</f>
        <v>9.771999999999991</v>
      </c>
      <c r="D15" s="61">
        <v>309.863</v>
      </c>
      <c r="E15" s="61">
        <v>7.886</v>
      </c>
      <c r="F15" s="61">
        <v>120.625</v>
      </c>
      <c r="G15" s="61">
        <v>141.758</v>
      </c>
      <c r="H15" s="54">
        <f>C15*(H93/C93)*(H100/C100)</f>
        <v>8.013039999999991</v>
      </c>
      <c r="I15" s="53"/>
      <c r="J15" s="53"/>
    </row>
    <row r="16">
      <c r="B16" s="53" t="s">
        <v>58</v>
      </c>
      <c r="C16" s="56"/>
      <c r="D16" s="56"/>
      <c r="E16" s="56"/>
      <c r="F16" s="56"/>
      <c r="G16" s="56"/>
      <c r="H16" s="69">
        <f>(1+H19)/((1+H17)*(1+H18))-1</f>
        <v>-0.18000000000000016</v>
      </c>
      <c r="I16" s="53"/>
      <c r="J16" s="53"/>
    </row>
    <row r="17">
      <c r="B17" s="53" t="s">
        <v>59</v>
      </c>
      <c r="C17" s="56"/>
      <c r="D17" s="56"/>
      <c r="E17" s="56"/>
      <c r="F17" s="56"/>
      <c r="G17" s="56"/>
      <c r="H17" s="59">
        <v>0</v>
      </c>
      <c r="I17" s="53"/>
      <c r="J17" s="53"/>
    </row>
    <row r="18">
      <c r="B18" s="53" t="s">
        <v>60</v>
      </c>
      <c r="C18" s="56"/>
      <c r="D18" s="56"/>
      <c r="E18" s="56"/>
      <c r="F18" s="56"/>
      <c r="G18" s="56"/>
      <c r="H18" s="59">
        <v>0</v>
      </c>
      <c r="I18" s="53"/>
      <c r="J18" s="53"/>
    </row>
    <row r="19">
      <c r="B19" s="53" t="s">
        <v>61</v>
      </c>
      <c r="C19" s="56"/>
      <c r="D19" s="56"/>
      <c r="E19" s="56"/>
      <c r="F19" s="56"/>
      <c r="G19" s="56"/>
      <c r="H19" s="69">
        <f>H15/C15-1</f>
        <v>-0.18000000000000016</v>
      </c>
      <c r="I19" s="53"/>
      <c r="J19" s="53"/>
    </row>
    <row r="20">
      <c r="B20" s="53" t="s">
        <v>63</v>
      </c>
      <c r="C20" s="57">
        <f>D20-Inputs!C105</f>
        <v>18.393</v>
      </c>
      <c r="D20" s="61">
        <v>240.9</v>
      </c>
      <c r="E20" s="61">
        <v>19.787</v>
      </c>
      <c r="F20" s="61">
        <v>84.625</v>
      </c>
      <c r="G20" s="61">
        <v>99.142</v>
      </c>
      <c r="H20" s="54">
        <f>C20*(H93/C93)*(H104/C104)</f>
        <v>15.909945000000002</v>
      </c>
      <c r="I20" s="53"/>
      <c r="J20" s="53"/>
    </row>
    <row r="21">
      <c r="B21" s="53" t="s">
        <v>58</v>
      </c>
      <c r="C21" s="56"/>
      <c r="D21" s="56"/>
      <c r="E21" s="56"/>
      <c r="F21" s="56"/>
      <c r="G21" s="56"/>
      <c r="H21" s="69">
        <f>(1+H24)/((1+H22)*(1+H23))-1</f>
        <v>-0.1349999999999999</v>
      </c>
      <c r="I21" s="53"/>
      <c r="J21" s="53"/>
    </row>
    <row r="22">
      <c r="B22" s="53" t="s">
        <v>59</v>
      </c>
      <c r="C22" s="56"/>
      <c r="D22" s="56"/>
      <c r="E22" s="56"/>
      <c r="F22" s="56"/>
      <c r="G22" s="56"/>
      <c r="H22" s="59">
        <v>0</v>
      </c>
      <c r="I22" s="53"/>
      <c r="J22" s="53"/>
    </row>
    <row r="23">
      <c r="B23" s="53" t="s">
        <v>60</v>
      </c>
      <c r="C23" s="56"/>
      <c r="D23" s="56"/>
      <c r="E23" s="56"/>
      <c r="F23" s="56"/>
      <c r="G23" s="56"/>
      <c r="H23" s="59">
        <v>0</v>
      </c>
      <c r="I23" s="53"/>
      <c r="J23" s="53"/>
    </row>
    <row r="24">
      <c r="B24" s="53" t="s">
        <v>61</v>
      </c>
      <c r="C24" s="56"/>
      <c r="D24" s="56"/>
      <c r="E24" s="56"/>
      <c r="F24" s="56"/>
      <c r="G24" s="56"/>
      <c r="H24" s="69">
        <f>H20/C20-1</f>
        <v>-0.1349999999999999</v>
      </c>
      <c r="I24" s="53"/>
      <c r="J24" s="53"/>
    </row>
    <row r="25">
      <c r="B25" s="53" t="s">
        <v>64</v>
      </c>
      <c r="C25" s="57">
        <f>D25-Inputs!C106</f>
        <v>24.08699999999999</v>
      </c>
      <c r="D25" s="61">
        <v>302.45</v>
      </c>
      <c r="E25" s="61">
        <v>30.791</v>
      </c>
      <c r="F25" s="61">
        <v>126.012</v>
      </c>
      <c r="G25" s="61">
        <v>104.211</v>
      </c>
      <c r="H25" s="54">
        <f>C25*(H93/C93)*(H108/C108)</f>
        <v>21.076124999999998</v>
      </c>
      <c r="I25" s="53"/>
      <c r="J25" s="53"/>
    </row>
    <row r="26">
      <c r="B26" s="53" t="s">
        <v>58</v>
      </c>
      <c r="C26" s="56"/>
      <c r="D26" s="56"/>
      <c r="E26" s="56"/>
      <c r="F26" s="56"/>
      <c r="G26" s="56"/>
      <c r="H26" s="69">
        <f>(1+H29)/((1+H27)*(1+H28))-1</f>
        <v>-0.12499999999999967</v>
      </c>
      <c r="I26" s="53"/>
      <c r="J26" s="53"/>
    </row>
    <row r="27">
      <c r="B27" s="53" t="s">
        <v>59</v>
      </c>
      <c r="C27" s="56"/>
      <c r="D27" s="56"/>
      <c r="E27" s="56"/>
      <c r="F27" s="56"/>
      <c r="G27" s="56"/>
      <c r="H27" s="59">
        <v>0</v>
      </c>
      <c r="I27" s="53"/>
      <c r="J27" s="53"/>
    </row>
    <row r="28">
      <c r="B28" s="53" t="s">
        <v>60</v>
      </c>
      <c r="C28" s="56"/>
      <c r="D28" s="56"/>
      <c r="E28" s="56"/>
      <c r="F28" s="56"/>
      <c r="G28" s="56"/>
      <c r="H28" s="59">
        <v>0</v>
      </c>
      <c r="I28" s="53"/>
      <c r="J28" s="53"/>
    </row>
    <row r="29">
      <c r="B29" s="53" t="s">
        <v>61</v>
      </c>
      <c r="C29" s="56"/>
      <c r="D29" s="56"/>
      <c r="E29" s="56"/>
      <c r="F29" s="56"/>
      <c r="G29" s="56"/>
      <c r="H29" s="69">
        <f>H25/C25-1</f>
        <v>-0.12499999999999967</v>
      </c>
      <c r="I29" s="53"/>
      <c r="J29" s="53"/>
    </row>
    <row r="30">
      <c r="B30" s="53" t="s">
        <v>65</v>
      </c>
      <c r="C30" s="57">
        <f>D30-Inputs!C107</f>
        <v>81.09500000000003</v>
      </c>
      <c r="D30" s="61">
        <v>273.473</v>
      </c>
      <c r="E30" s="61">
        <v>77.132</v>
      </c>
      <c r="F30" s="61">
        <v>55.115</v>
      </c>
      <c r="G30" s="61">
        <v>55.289</v>
      </c>
      <c r="H30" s="54">
        <f>C30*(H112/C112)</f>
        <v>81.74376000000002</v>
      </c>
      <c r="I30" s="53"/>
      <c r="J30" s="53"/>
    </row>
    <row r="31">
      <c r="B31" s="53" t="s">
        <v>58</v>
      </c>
      <c r="C31" s="56"/>
      <c r="D31" s="56"/>
      <c r="E31" s="56"/>
      <c r="F31" s="56"/>
      <c r="G31" s="56"/>
      <c r="H31" s="69">
        <f>(1+H34)/((1+H32)*(1+H33))-1</f>
        <v>0.008000000000000007</v>
      </c>
      <c r="I31" s="53"/>
      <c r="J31" s="53"/>
    </row>
    <row r="32">
      <c r="B32" s="53" t="s">
        <v>59</v>
      </c>
      <c r="C32" s="56"/>
      <c r="D32" s="56"/>
      <c r="E32" s="56"/>
      <c r="F32" s="56"/>
      <c r="G32" s="56"/>
      <c r="H32" s="59">
        <v>0</v>
      </c>
      <c r="I32" s="53"/>
      <c r="J32" s="53"/>
    </row>
    <row r="33">
      <c r="B33" s="53" t="s">
        <v>60</v>
      </c>
      <c r="C33" s="56"/>
      <c r="D33" s="56"/>
      <c r="E33" s="56"/>
      <c r="F33" s="56"/>
      <c r="G33" s="56"/>
      <c r="H33" s="59">
        <v>0</v>
      </c>
      <c r="I33" s="53"/>
      <c r="J33" s="53"/>
    </row>
    <row r="34">
      <c r="B34" s="53" t="s">
        <v>61</v>
      </c>
      <c r="C34" s="56"/>
      <c r="D34" s="56"/>
      <c r="E34" s="56"/>
      <c r="F34" s="56"/>
      <c r="G34" s="56"/>
      <c r="H34" s="69">
        <f>H30/C30-1</f>
        <v>0.008000000000000007</v>
      </c>
      <c r="I34" s="53"/>
      <c r="J34" s="53"/>
    </row>
    <row r="35">
      <c r="B35" s="65" t="s">
        <v>66</v>
      </c>
      <c r="C35" s="62">
        <f>SUM(C10,C15,C20,C25,C30)</f>
        <v>180.934</v>
      </c>
      <c r="D35" s="62">
        <f>SUM(D10,D15,D20,D25,D30)</f>
        <v>2629.873</v>
      </c>
      <c r="E35" s="62">
        <f>SUM(E10,E15,E20,E25,E30)</f>
        <v>185.239</v>
      </c>
      <c r="F35" s="62">
        <f>SUM(F10,F15,F20,F25,F30)</f>
        <v>1012.304</v>
      </c>
      <c r="G35" s="62">
        <f>SUM(G10,G15,G20,G25,G30)</f>
        <v>1129.778</v>
      </c>
      <c r="H35" s="70">
        <f>SUM(H10,H15,H20,H25,H30)</f>
        <v>169.333235</v>
      </c>
      <c r="I35" s="53"/>
      <c r="J35" s="53"/>
    </row>
    <row r="36">
      <c r="B36" s="53" t="s">
        <v>43</v>
      </c>
      <c r="C36" s="56"/>
      <c r="D36" s="56"/>
      <c r="E36" s="56"/>
      <c r="F36" s="56"/>
      <c r="G36" s="56"/>
      <c r="H36" s="69">
        <f>IFERROR(H35/C35-1,0)</f>
        <v>-0.06411600362563141</v>
      </c>
      <c r="I36" s="53"/>
      <c r="J36" s="53"/>
    </row>
    <row r="37">
      <c r="B37" s="53" t="s">
        <v>44</v>
      </c>
      <c r="C37" s="56"/>
      <c r="D37" s="56"/>
      <c r="E37" s="56"/>
      <c r="F37" s="56"/>
      <c r="G37" s="56"/>
      <c r="H37" s="69">
        <f>IFERROR(H35/G35-1,0)</f>
        <v>-0.8501181338280618</v>
      </c>
      <c r="I37" s="53"/>
      <c r="J37" s="53"/>
    </row>
    <row r="38">
      <c r="B38" s="65" t="s">
        <v>67</v>
      </c>
      <c r="C38" s="99">
        <f>IFERROR(C47/C35,0)</f>
        <v>-0.7055058750704676</v>
      </c>
      <c r="D38" s="99">
        <f>IFERROR(D47/D35,0)</f>
        <v>0.31231203940266317</v>
      </c>
      <c r="E38" s="99">
        <f>IFERROR(E47/E35,0)</f>
        <v>-0.7697515102111328</v>
      </c>
      <c r="F38" s="99">
        <f>IFERROR(F47/F35,0)</f>
        <v>0.4170397430021021</v>
      </c>
      <c r="G38" s="99">
        <f>IFERROR(G47/G35,0)</f>
        <v>0.5130308786327933</v>
      </c>
      <c r="H38" s="98">
        <f>IFERROR(H47/H35,0)</f>
        <v>-0.7698923663745039</v>
      </c>
      <c r="I38" s="53"/>
      <c r="J38" s="53"/>
    </row>
    <row r="39">
      <c r="B39" s="53"/>
      <c r="C39" s="52"/>
      <c r="D39" s="52"/>
      <c r="E39" s="52"/>
      <c r="F39" s="52"/>
      <c r="G39" s="52"/>
      <c r="H39" s="54"/>
      <c r="I39" s="53"/>
      <c r="J39" s="53"/>
    </row>
    <row r="40">
      <c r="B40" s="53" t="s">
        <v>68</v>
      </c>
      <c r="C40" s="57">
        <f>D40-Inputs!C90</f>
        <v>121.59199999999998</v>
      </c>
      <c r="D40" s="61">
        <v>760.955</v>
      </c>
      <c r="E40" s="61">
        <v>122.079</v>
      </c>
      <c r="F40" s="61">
        <v>253.685</v>
      </c>
      <c r="G40" s="61">
        <v>238.346</v>
      </c>
      <c r="H40" s="54">
        <f>C40*(1+H115)</f>
        <v>118.55219999999998</v>
      </c>
      <c r="I40" s="53"/>
      <c r="J40" s="53"/>
    </row>
    <row r="41">
      <c r="B41" s="53" t="s">
        <v>69</v>
      </c>
      <c r="C41" s="57">
        <f>D41-Inputs!C91</f>
        <v>11.168000000000006</v>
      </c>
      <c r="D41" s="61">
        <v>97.289</v>
      </c>
      <c r="E41" s="61">
        <v>14.932</v>
      </c>
      <c r="F41" s="61">
        <v>34.175</v>
      </c>
      <c r="G41" s="61">
        <v>29.744</v>
      </c>
      <c r="H41" s="54">
        <f>C41*(1+H116)</f>
        <v>10.051200000000007</v>
      </c>
      <c r="I41" s="53"/>
      <c r="J41" s="53"/>
    </row>
    <row r="42">
      <c r="B42" s="53" t="s">
        <v>70</v>
      </c>
      <c r="C42" s="57">
        <f>D42-Inputs!C92</f>
        <v>4.5</v>
      </c>
      <c r="D42" s="61">
        <v>111.83</v>
      </c>
      <c r="E42" s="52"/>
      <c r="F42" s="61">
        <v>46.793</v>
      </c>
      <c r="G42" s="61">
        <v>55.604</v>
      </c>
      <c r="H42" s="54">
        <f>C42*(1+H117)</f>
        <v>4.365</v>
      </c>
      <c r="I42" s="53"/>
      <c r="J42" s="53"/>
    </row>
    <row r="43">
      <c r="B43" s="53" t="s">
        <v>71</v>
      </c>
      <c r="C43" s="57">
        <f>D43-Inputs!C93</f>
        <v>91.81599999999997</v>
      </c>
      <c r="D43" s="61">
        <v>373.404</v>
      </c>
      <c r="E43" s="61">
        <v>96.491</v>
      </c>
      <c r="F43" s="61">
        <v>106.452</v>
      </c>
      <c r="G43" s="61">
        <v>89.335</v>
      </c>
      <c r="H43" s="54">
        <f>C43*(1+H118)</f>
        <v>87.22519999999997</v>
      </c>
      <c r="I43" s="53"/>
      <c r="J43" s="53"/>
    </row>
    <row r="44">
      <c r="B44" s="53" t="s">
        <v>72</v>
      </c>
      <c r="C44" s="57">
        <f>D44-Inputs!C94</f>
        <v>79.86500000000001</v>
      </c>
      <c r="D44" s="61">
        <v>468.973</v>
      </c>
      <c r="E44" s="61">
        <v>95.418</v>
      </c>
      <c r="F44" s="61">
        <v>147.866</v>
      </c>
      <c r="G44" s="61">
        <v>137.596</v>
      </c>
      <c r="H44" s="54">
        <f>C44*(1+H119)</f>
        <v>79.86500000000001</v>
      </c>
      <c r="I44" s="53"/>
      <c r="J44" s="53"/>
    </row>
    <row r="45">
      <c r="B45" s="53" t="s">
        <v>73</v>
      </c>
      <c r="C45" s="62">
        <f>SUM(C40:C44)</f>
        <v>308.941</v>
      </c>
      <c r="D45" s="62">
        <f>SUM(D40:D44)</f>
        <v>1812.451</v>
      </c>
      <c r="E45" s="62">
        <f>SUM(E40:E44)</f>
        <v>328.92</v>
      </c>
      <c r="F45" s="62">
        <f>SUM(F40:F44)</f>
        <v>588.971</v>
      </c>
      <c r="G45" s="62">
        <f>SUM(G40:G44)</f>
        <v>550.625</v>
      </c>
      <c r="H45" s="70">
        <f>SUM(H40:H44)</f>
        <v>300.05859999999996</v>
      </c>
      <c r="I45" s="53"/>
      <c r="J45" s="53"/>
    </row>
    <row r="46">
      <c r="B46" s="53" t="s">
        <v>74</v>
      </c>
      <c r="C46" s="61">
        <v>0.357</v>
      </c>
      <c r="D46" s="61">
        <v>3.919</v>
      </c>
      <c r="E46" s="61">
        <v>1.093</v>
      </c>
      <c r="F46" s="61">
        <v>-1.162</v>
      </c>
      <c r="G46" s="61">
        <v>0.458</v>
      </c>
      <c r="H46" s="54">
        <f>C46</f>
        <v>0.357</v>
      </c>
      <c r="I46" s="53"/>
      <c r="J46" s="53"/>
    </row>
    <row r="47">
      <c r="B47" s="65" t="s">
        <v>75</v>
      </c>
      <c r="C47" s="62">
        <f>C35-C45+C46</f>
        <v>-127.64999999999998</v>
      </c>
      <c r="D47" s="62">
        <f>D35-D45+D46</f>
        <v>821.341</v>
      </c>
      <c r="E47" s="62">
        <f>E35-E45+E46</f>
        <v>-142.58800000000002</v>
      </c>
      <c r="F47" s="62">
        <f>F35-F45+F46</f>
        <v>422.171</v>
      </c>
      <c r="G47" s="62">
        <f>G35-G45+G46</f>
        <v>579.611</v>
      </c>
      <c r="H47" s="70">
        <f>H35-H45+H46</f>
        <v>-130.36836499999995</v>
      </c>
      <c r="I47" s="53"/>
      <c r="J47" s="53"/>
    </row>
    <row r="48">
      <c r="B48" s="53" t="s">
        <v>76</v>
      </c>
      <c r="C48" s="89"/>
      <c r="D48" s="89"/>
      <c r="E48" s="89"/>
      <c r="F48" s="89"/>
      <c r="G48" s="89"/>
      <c r="H48" s="80">
        <f>H47/C47-1</f>
        <v>0.021295456325890916</v>
      </c>
      <c r="I48" s="53"/>
      <c r="J48" s="53"/>
    </row>
    <row r="49">
      <c r="B49" s="53" t="s">
        <v>77</v>
      </c>
      <c r="C49" s="52"/>
      <c r="D49" s="52"/>
      <c r="E49" s="52"/>
      <c r="F49" s="52"/>
      <c r="G49" s="52"/>
      <c r="H49" s="54">
        <f>(H38-C38)*10000</f>
        <v>-643.8649130403628</v>
      </c>
      <c r="I49" s="53"/>
      <c r="J49" s="53"/>
    </row>
    <row r="50">
      <c r="B50" s="53"/>
      <c r="C50" s="52"/>
      <c r="D50" s="52"/>
      <c r="E50" s="52"/>
      <c r="F50" s="52"/>
      <c r="G50" s="52"/>
      <c r="H50" s="54"/>
      <c r="I50" s="53"/>
      <c r="J50" s="53"/>
    </row>
    <row r="51">
      <c r="B51" s="53" t="s">
        <v>78</v>
      </c>
      <c r="C51" s="61">
        <v>-127.65</v>
      </c>
      <c r="D51" s="52"/>
      <c r="E51" s="52"/>
      <c r="F51" s="52"/>
      <c r="G51" s="52"/>
      <c r="H51" s="54"/>
      <c r="I51" s="53"/>
      <c r="J51" s="53"/>
    </row>
    <row r="52">
      <c r="B52" s="53" t="s">
        <v>79</v>
      </c>
      <c r="C52" s="52">
        <f>C47-C51</f>
        <v>0</v>
      </c>
      <c r="D52" s="52"/>
      <c r="E52" s="52"/>
      <c r="F52" s="52"/>
      <c r="G52" s="52"/>
      <c r="H52" s="54"/>
      <c r="I52" s="53"/>
      <c r="J52" s="53"/>
    </row>
    <row r="53">
      <c r="B53" s="53"/>
      <c r="C53" s="52"/>
      <c r="D53" s="52"/>
      <c r="E53" s="52"/>
      <c r="F53" s="52"/>
      <c r="G53" s="52"/>
      <c r="H53" s="54"/>
      <c r="I53" s="53"/>
      <c r="J53" s="53"/>
    </row>
    <row r="54">
      <c r="B54" s="53"/>
      <c r="C54" s="52"/>
      <c r="D54" s="52"/>
      <c r="E54" s="52"/>
      <c r="F54" s="52"/>
      <c r="G54" s="52"/>
      <c r="H54" s="54"/>
      <c r="I54" s="53"/>
      <c r="J54" s="53"/>
    </row>
    <row r="55">
      <c r="B55" s="53"/>
      <c r="C55" s="52"/>
      <c r="D55" s="52"/>
      <c r="E55" s="52"/>
      <c r="F55" s="52"/>
      <c r="G55" s="52"/>
      <c r="H55" s="54"/>
      <c r="I55" s="53"/>
      <c r="J55" s="53"/>
    </row>
    <row r="56">
      <c r="B56" s="53"/>
      <c r="C56" s="52"/>
      <c r="D56" s="52"/>
      <c r="E56" s="52"/>
      <c r="F56" s="52"/>
      <c r="G56" s="52"/>
      <c r="H56" s="54"/>
      <c r="I56" s="53"/>
      <c r="J56" s="53"/>
    </row>
    <row r="57">
      <c r="B57" s="53"/>
      <c r="C57" s="52"/>
      <c r="D57" s="52"/>
      <c r="E57" s="52"/>
      <c r="F57" s="52"/>
      <c r="G57" s="52"/>
      <c r="H57" s="54"/>
      <c r="I57" s="53"/>
      <c r="J57" s="53"/>
    </row>
    <row r="58">
      <c r="B58" s="53"/>
      <c r="C58" s="52"/>
      <c r="D58" s="52"/>
      <c r="E58" s="52"/>
      <c r="F58" s="52"/>
      <c r="G58" s="52"/>
      <c r="H58" s="54"/>
      <c r="I58" s="53"/>
      <c r="J58" s="53"/>
    </row>
    <row r="59">
      <c r="B59" s="53"/>
      <c r="C59" s="52"/>
      <c r="D59" s="52"/>
      <c r="E59" s="52"/>
      <c r="F59" s="52"/>
      <c r="G59" s="52"/>
      <c r="H59" s="54"/>
      <c r="I59" s="53"/>
      <c r="J59" s="53"/>
    </row>
    <row r="60">
      <c r="B60" s="53" t="s">
        <v>80</v>
      </c>
      <c r="C60" s="52"/>
      <c r="D60" s="52"/>
      <c r="E60" s="52"/>
      <c r="F60" s="52"/>
      <c r="G60" s="52"/>
      <c r="H60" s="54"/>
      <c r="I60" s="53"/>
      <c r="J60" s="53"/>
    </row>
    <row r="61">
      <c r="B61" s="53" t="s">
        <v>81</v>
      </c>
      <c r="C61" s="61">
        <v>100</v>
      </c>
      <c r="D61" s="52"/>
      <c r="E61" s="52"/>
      <c r="F61" s="52"/>
      <c r="G61" s="52"/>
      <c r="H61" s="54">
        <f>C61</f>
        <v>100</v>
      </c>
      <c r="I61" s="53"/>
      <c r="J61" s="53" t="s">
        <v>82</v>
      </c>
    </row>
    <row r="62">
      <c r="B62" s="53" t="s">
        <v>83</v>
      </c>
      <c r="C62" s="89"/>
      <c r="D62" s="89"/>
      <c r="E62" s="89"/>
      <c r="F62" s="89"/>
      <c r="G62" s="89"/>
      <c r="H62" s="80">
        <f>H61-C61</f>
        <v>0</v>
      </c>
      <c r="I62" s="53"/>
      <c r="J62" s="53"/>
    </row>
    <row r="63">
      <c r="B63" s="53" t="s">
        <v>84</v>
      </c>
      <c r="C63" s="52"/>
      <c r="D63" s="52"/>
      <c r="E63" s="52"/>
      <c r="F63" s="52"/>
      <c r="G63" s="52"/>
      <c r="H63" s="54" t="str">
        <f>IF(COUNT(G61)=0,"n.a.",H61-G61)</f>
        <v>n.a.</v>
      </c>
      <c r="I63" s="53"/>
      <c r="J63" s="53"/>
    </row>
    <row r="64">
      <c r="B64" s="53" t="s">
        <v>85</v>
      </c>
      <c r="C64" s="61">
        <v>0</v>
      </c>
      <c r="D64" s="52"/>
      <c r="E64" s="52"/>
      <c r="F64" s="52"/>
      <c r="G64" s="52"/>
      <c r="H64" s="76">
        <v>26</v>
      </c>
      <c r="I64" s="53"/>
      <c r="J64" s="53"/>
    </row>
    <row r="65">
      <c r="B65" s="53" t="s">
        <v>86</v>
      </c>
      <c r="C65" s="89"/>
      <c r="D65" s="89"/>
      <c r="E65" s="89"/>
      <c r="F65" s="89"/>
      <c r="G65" s="89"/>
      <c r="H65" s="80">
        <f>H64-C64</f>
        <v>26</v>
      </c>
      <c r="I65" s="53"/>
      <c r="J65" s="53"/>
    </row>
    <row r="66">
      <c r="B66" s="53" t="s">
        <v>87</v>
      </c>
      <c r="C66" s="52"/>
      <c r="D66" s="52"/>
      <c r="E66" s="52"/>
      <c r="F66" s="52"/>
      <c r="G66" s="52"/>
      <c r="H66" s="54" t="str">
        <f>IF(COUNT(G64)=0,"n.a.",H64-G64)</f>
        <v>n.a.</v>
      </c>
      <c r="I66" s="53"/>
      <c r="J66" s="53"/>
    </row>
    <row r="67">
      <c r="B67" s="53" t="s">
        <v>88</v>
      </c>
      <c r="C67" s="61">
        <v>0</v>
      </c>
      <c r="D67" s="52"/>
      <c r="E67" s="52"/>
      <c r="F67" s="52"/>
      <c r="G67" s="52"/>
      <c r="H67" s="76">
        <v>0</v>
      </c>
      <c r="I67" s="53"/>
      <c r="J67" s="53"/>
    </row>
    <row r="68">
      <c r="B68" s="53" t="s">
        <v>89</v>
      </c>
      <c r="C68" s="62"/>
      <c r="D68" s="62"/>
      <c r="E68" s="62"/>
      <c r="F68" s="62"/>
      <c r="G68" s="62"/>
      <c r="H68" s="70">
        <f>H67-C67</f>
        <v>0</v>
      </c>
      <c r="I68" s="53"/>
      <c r="J68" s="53"/>
    </row>
    <row r="69">
      <c r="B69" s="53" t="s">
        <v>90</v>
      </c>
      <c r="C69" s="52"/>
      <c r="D69" s="52"/>
      <c r="E69" s="52"/>
      <c r="F69" s="52"/>
      <c r="G69" s="52"/>
      <c r="H69" s="54" t="str">
        <f>IF(COUNT(G67)=0,"n.a.",H67-G67)</f>
        <v>n.a.</v>
      </c>
      <c r="I69" s="53"/>
      <c r="J69" s="53"/>
    </row>
    <row r="70">
      <c r="B70" s="53" t="s">
        <v>91</v>
      </c>
      <c r="C70" s="55">
        <v>0</v>
      </c>
      <c r="D70" s="62"/>
      <c r="E70" s="62"/>
      <c r="F70" s="62"/>
      <c r="G70" s="62"/>
      <c r="H70" s="70">
        <f>H64-H67</f>
        <v>26</v>
      </c>
      <c r="I70" s="53"/>
      <c r="J70" s="53"/>
    </row>
    <row r="71">
      <c r="B71" s="53" t="s">
        <v>92</v>
      </c>
      <c r="C71" s="89"/>
      <c r="D71" s="89"/>
      <c r="E71" s="89"/>
      <c r="F71" s="89"/>
      <c r="G71" s="89"/>
      <c r="H71" s="80">
        <f>H70-C70</f>
        <v>26</v>
      </c>
      <c r="I71" s="53"/>
      <c r="J71" s="53"/>
    </row>
    <row r="72">
      <c r="B72" s="53" t="s">
        <v>93</v>
      </c>
      <c r="C72" s="52"/>
      <c r="D72" s="52"/>
      <c r="E72" s="52"/>
      <c r="F72" s="52"/>
      <c r="G72" s="52"/>
      <c r="H72" s="54" t="str">
        <f>IF(COUNT(G70)=0,"n.a.",H70-G70)</f>
        <v>n.a.</v>
      </c>
      <c r="I72" s="53"/>
      <c r="J72" s="53"/>
    </row>
    <row r="73">
      <c r="B73" s="53" t="s">
        <v>94</v>
      </c>
      <c r="C73" s="107">
        <v>100</v>
      </c>
      <c r="D73" s="104"/>
      <c r="E73" s="104"/>
      <c r="F73" s="104"/>
      <c r="G73" s="104"/>
      <c r="H73" s="106">
        <f>H61+H70</f>
        <v>126</v>
      </c>
      <c r="I73" s="53"/>
      <c r="J73" s="53"/>
    </row>
    <row r="74">
      <c r="B74" s="53" t="s">
        <v>95</v>
      </c>
      <c r="C74" s="56"/>
      <c r="D74" s="56"/>
      <c r="E74" s="56"/>
      <c r="F74" s="56"/>
      <c r="G74" s="56"/>
      <c r="H74" s="69">
        <f>H73/C73-1</f>
        <v>0.26</v>
      </c>
      <c r="I74" s="53"/>
      <c r="J74" s="53"/>
    </row>
    <row r="75">
      <c r="B75" s="53" t="s">
        <v>96</v>
      </c>
      <c r="C75" s="89"/>
      <c r="D75" s="89"/>
      <c r="E75" s="89"/>
      <c r="F75" s="89"/>
      <c r="G75" s="89"/>
      <c r="H75" s="80" t="str">
        <f>IF(COUNT(G73)=0,"n.a.",H73-G73)</f>
        <v>n.a.</v>
      </c>
      <c r="I75" s="53"/>
      <c r="J75" s="53"/>
    </row>
    <row r="76">
      <c r="B76" s="53" t="s">
        <v>97</v>
      </c>
      <c r="C76" s="55">
        <v>100</v>
      </c>
      <c r="D76" s="62"/>
      <c r="E76" s="62"/>
      <c r="F76" s="62"/>
      <c r="G76" s="62"/>
      <c r="H76" s="70">
        <f>AVERAGE(H61,H73)</f>
        <v>113</v>
      </c>
      <c r="I76" s="53"/>
      <c r="J76" s="53"/>
    </row>
    <row r="77">
      <c r="B77" s="53" t="s">
        <v>98</v>
      </c>
      <c r="C77" s="56"/>
      <c r="D77" s="56"/>
      <c r="E77" s="56"/>
      <c r="F77" s="56"/>
      <c r="G77" s="56"/>
      <c r="H77" s="69">
        <f>H76/C76-1</f>
        <v>0.1299999999999999</v>
      </c>
      <c r="I77" s="53"/>
      <c r="J77" s="53"/>
    </row>
    <row r="78">
      <c r="B78" s="53" t="s">
        <v>99</v>
      </c>
      <c r="C78" s="89"/>
      <c r="D78" s="89"/>
      <c r="E78" s="89"/>
      <c r="F78" s="89"/>
      <c r="G78" s="89"/>
      <c r="H78" s="80" t="str">
        <f>IF(COUNT(G76)=0,"n.a.",H76-G76)</f>
        <v>n.a.</v>
      </c>
      <c r="I78" s="53"/>
      <c r="J78" s="53"/>
    </row>
    <row r="79">
      <c r="B79" s="53" t="s">
        <v>100</v>
      </c>
      <c r="C79" s="64">
        <v>0</v>
      </c>
      <c r="D79" s="56"/>
      <c r="E79" s="56"/>
      <c r="F79" s="56"/>
      <c r="G79" s="56"/>
      <c r="H79" s="69">
        <f>IFERROR(H67/H61,0)</f>
        <v>0</v>
      </c>
      <c r="I79" s="53"/>
      <c r="J79" s="53"/>
    </row>
    <row r="80">
      <c r="B80" s="53" t="s">
        <v>101</v>
      </c>
      <c r="C80" s="52"/>
      <c r="D80" s="52"/>
      <c r="E80" s="52"/>
      <c r="F80" s="52"/>
      <c r="G80" s="52"/>
      <c r="H80" s="54">
        <f>(H79-C79)*10000</f>
        <v>0</v>
      </c>
      <c r="I80" s="53"/>
      <c r="J80" s="53"/>
    </row>
    <row r="81">
      <c r="B81" s="53" t="s">
        <v>102</v>
      </c>
      <c r="C81" s="61">
        <v>100</v>
      </c>
      <c r="D81" s="52"/>
      <c r="E81" s="52"/>
      <c r="F81" s="52"/>
      <c r="G81" s="52"/>
      <c r="H81" s="76">
        <v>131</v>
      </c>
      <c r="I81" s="53"/>
      <c r="J81" s="53"/>
    </row>
    <row r="82">
      <c r="B82" s="53" t="s">
        <v>103</v>
      </c>
      <c r="C82" s="56"/>
      <c r="D82" s="56"/>
      <c r="E82" s="56"/>
      <c r="F82" s="56"/>
      <c r="G82" s="56"/>
      <c r="H82" s="69">
        <f>H81/C81-1</f>
        <v>0.31000000000000005</v>
      </c>
      <c r="I82" s="53"/>
      <c r="J82" s="53"/>
    </row>
    <row r="83">
      <c r="B83" s="53" t="s">
        <v>104</v>
      </c>
      <c r="C83" s="52"/>
      <c r="D83" s="52"/>
      <c r="E83" s="52"/>
      <c r="F83" s="52"/>
      <c r="G83" s="52"/>
      <c r="H83" s="54" t="str">
        <f>IF(COUNT(G81)=0,"n.a.",H81-G81)</f>
        <v>n.a.</v>
      </c>
      <c r="I83" s="53"/>
      <c r="J83" s="53"/>
    </row>
    <row r="84">
      <c r="B84" s="53" t="s">
        <v>105</v>
      </c>
      <c r="C84" s="61">
        <v>100</v>
      </c>
      <c r="D84" s="52"/>
      <c r="E84" s="52"/>
      <c r="F84" s="52"/>
      <c r="G84" s="52"/>
      <c r="H84" s="54">
        <f>H81/H73*100</f>
        <v>103.96825396825398</v>
      </c>
      <c r="I84" s="53"/>
      <c r="J84" s="53"/>
    </row>
    <row r="85">
      <c r="B85" s="53" t="s">
        <v>106</v>
      </c>
      <c r="C85" s="56"/>
      <c r="D85" s="56"/>
      <c r="E85" s="56"/>
      <c r="F85" s="56"/>
      <c r="G85" s="56"/>
      <c r="H85" s="69">
        <f>H84/C84-1</f>
        <v>0.039682539682539764</v>
      </c>
      <c r="I85" s="53"/>
      <c r="J85" s="53"/>
    </row>
    <row r="86">
      <c r="B86" s="53" t="s">
        <v>107</v>
      </c>
      <c r="C86" s="52"/>
      <c r="D86" s="52"/>
      <c r="E86" s="52"/>
      <c r="F86" s="52"/>
      <c r="G86" s="52"/>
      <c r="H86" s="54" t="str">
        <f>IF(COUNT(G84)=0,"n.a.",H84-G84)</f>
        <v>n.a.</v>
      </c>
      <c r="I86" s="53"/>
      <c r="J86" s="53"/>
    </row>
    <row r="87">
      <c r="B87" s="53" t="s">
        <v>108</v>
      </c>
      <c r="C87" s="89"/>
      <c r="D87" s="89"/>
      <c r="E87" s="89"/>
      <c r="F87" s="89"/>
      <c r="G87" s="89"/>
      <c r="H87" s="100">
        <v>610</v>
      </c>
      <c r="I87" s="53"/>
      <c r="J87" s="53"/>
    </row>
    <row r="88">
      <c r="B88" s="53" t="s">
        <v>109</v>
      </c>
      <c r="C88" s="89"/>
      <c r="D88" s="89"/>
      <c r="E88" s="89"/>
      <c r="F88" s="89"/>
      <c r="G88" s="89"/>
      <c r="H88" s="80">
        <f>H87-H90</f>
        <v>-390</v>
      </c>
      <c r="I88" s="53"/>
      <c r="J88" s="53"/>
    </row>
    <row r="89">
      <c r="B89" s="53" t="s">
        <v>110</v>
      </c>
      <c r="C89" s="89"/>
      <c r="D89" s="89"/>
      <c r="E89" s="89"/>
      <c r="F89" s="89"/>
      <c r="G89" s="89"/>
      <c r="H89" s="108">
        <f>H91-Inputs!C128</f>
        <v>-0.39</v>
      </c>
      <c r="I89" s="53"/>
      <c r="J89" s="53" t="s">
        <v>111</v>
      </c>
    </row>
    <row r="90">
      <c r="B90" s="53" t="s">
        <v>112</v>
      </c>
      <c r="C90" s="103"/>
      <c r="D90" s="89"/>
      <c r="E90" s="89"/>
      <c r="F90" s="89"/>
      <c r="G90" s="89"/>
      <c r="H90" s="100">
        <v>1000</v>
      </c>
      <c r="I90" s="53"/>
      <c r="J90" s="53"/>
    </row>
    <row r="91">
      <c r="B91" s="53" t="s">
        <v>113</v>
      </c>
      <c r="C91" s="64"/>
      <c r="D91" s="56"/>
      <c r="E91" s="56"/>
      <c r="F91" s="56"/>
      <c r="G91" s="56"/>
      <c r="H91" s="69">
        <f>H87/H90</f>
        <v>0.61</v>
      </c>
      <c r="I91" s="53"/>
      <c r="J91" s="53"/>
    </row>
    <row r="92">
      <c r="B92" s="53" t="s">
        <v>114</v>
      </c>
      <c r="C92" s="52"/>
      <c r="D92" s="52"/>
      <c r="E92" s="52"/>
      <c r="F92" s="52"/>
      <c r="G92" s="52"/>
      <c r="H92" s="79">
        <f>(H91-Inputs!C128)*10000</f>
        <v>-3900</v>
      </c>
      <c r="I92" s="53"/>
      <c r="J92" s="53"/>
    </row>
    <row r="93">
      <c r="B93" s="53" t="s">
        <v>115</v>
      </c>
      <c r="C93" s="61">
        <v>100</v>
      </c>
      <c r="D93" s="52"/>
      <c r="E93" s="52"/>
      <c r="F93" s="52"/>
      <c r="G93" s="52"/>
      <c r="H93" s="76">
        <v>86.08396946564885</v>
      </c>
      <c r="I93" s="53"/>
      <c r="J93" s="53"/>
    </row>
    <row r="94">
      <c r="B94" s="53" t="s">
        <v>116</v>
      </c>
      <c r="C94" s="56"/>
      <c r="D94" s="56"/>
      <c r="E94" s="56"/>
      <c r="F94" s="56"/>
      <c r="G94" s="56"/>
      <c r="H94" s="69">
        <f>H93/C93-1</f>
        <v>-0.13916030534351154</v>
      </c>
      <c r="I94" s="53"/>
      <c r="J94" s="53"/>
    </row>
    <row r="95">
      <c r="B95" s="53" t="s">
        <v>117</v>
      </c>
      <c r="C95" s="52"/>
      <c r="D95" s="52"/>
      <c r="E95" s="52"/>
      <c r="F95" s="52"/>
      <c r="G95" s="52"/>
      <c r="H95" s="54" t="str">
        <f>IF(COUNT(G93)=0,"n.a.",H93-G93)</f>
        <v>n.a.</v>
      </c>
      <c r="I95" s="53"/>
      <c r="J95" s="53"/>
    </row>
    <row r="96">
      <c r="B96" s="53" t="s">
        <v>118</v>
      </c>
      <c r="C96" s="61">
        <v>100</v>
      </c>
      <c r="D96" s="52"/>
      <c r="E96" s="52"/>
      <c r="F96" s="52"/>
      <c r="G96" s="52"/>
      <c r="H96" s="54">
        <f>H84</f>
        <v>103.96825396825398</v>
      </c>
      <c r="I96" s="53"/>
      <c r="J96" s="53"/>
    </row>
    <row r="97">
      <c r="B97" s="53" t="s">
        <v>119</v>
      </c>
      <c r="C97" s="56"/>
      <c r="D97" s="56"/>
      <c r="E97" s="56"/>
      <c r="F97" s="56"/>
      <c r="G97" s="56"/>
      <c r="H97" s="69">
        <f>H96/C96-1</f>
        <v>0.039682539682539764</v>
      </c>
      <c r="I97" s="53"/>
      <c r="J97" s="53"/>
    </row>
    <row r="98">
      <c r="B98" s="53" t="s">
        <v>120</v>
      </c>
      <c r="C98" s="52"/>
      <c r="D98" s="52"/>
      <c r="E98" s="52"/>
      <c r="F98" s="52"/>
      <c r="G98" s="52"/>
      <c r="H98" s="54" t="str">
        <f>IF(COUNT(G96)=0,"n.a.",H96-G96)</f>
        <v>n.a.</v>
      </c>
      <c r="I98" s="53"/>
      <c r="J98" s="53"/>
    </row>
    <row r="99">
      <c r="B99" s="53"/>
      <c r="C99" s="52"/>
      <c r="D99" s="52"/>
      <c r="E99" s="52"/>
      <c r="F99" s="52"/>
      <c r="G99" s="52"/>
      <c r="H99" s="54"/>
      <c r="I99" s="53"/>
      <c r="J99" s="53"/>
    </row>
    <row r="100">
      <c r="B100" s="53" t="s">
        <v>121</v>
      </c>
      <c r="C100" s="61">
        <v>100</v>
      </c>
      <c r="D100" s="52"/>
      <c r="E100" s="52"/>
      <c r="F100" s="52"/>
      <c r="G100" s="52"/>
      <c r="H100" s="76">
        <v>95.25583045136118</v>
      </c>
      <c r="I100" s="53"/>
      <c r="J100" s="53"/>
    </row>
    <row r="101">
      <c r="B101" s="53" t="s">
        <v>122</v>
      </c>
      <c r="C101" s="56"/>
      <c r="D101" s="56"/>
      <c r="E101" s="56"/>
      <c r="F101" s="56"/>
      <c r="G101" s="56"/>
      <c r="H101" s="69">
        <f>H100/C100-1</f>
        <v>-0.04744169548638821</v>
      </c>
      <c r="I101" s="53"/>
      <c r="J101" s="53"/>
    </row>
    <row r="102">
      <c r="B102" s="53" t="s">
        <v>123</v>
      </c>
      <c r="C102" s="52"/>
      <c r="D102" s="52"/>
      <c r="E102" s="52"/>
      <c r="F102" s="52"/>
      <c r="G102" s="52"/>
      <c r="H102" s="54" t="str">
        <f>IF(COUNT(G100)=0,"n.a.",H100-G100)</f>
        <v>n.a.</v>
      </c>
      <c r="I102" s="53"/>
      <c r="J102" s="53"/>
    </row>
    <row r="103">
      <c r="B103" s="53"/>
      <c r="C103" s="52"/>
      <c r="D103" s="52"/>
      <c r="E103" s="52"/>
      <c r="F103" s="52"/>
      <c r="G103" s="52"/>
      <c r="H103" s="54"/>
      <c r="I103" s="53"/>
      <c r="J103" s="53"/>
    </row>
    <row r="104">
      <c r="B104" s="53" t="s">
        <v>124</v>
      </c>
      <c r="C104" s="61">
        <v>100</v>
      </c>
      <c r="D104" s="52"/>
      <c r="E104" s="52"/>
      <c r="F104" s="52"/>
      <c r="G104" s="52"/>
      <c r="H104" s="76">
        <v>100.48328456149687</v>
      </c>
      <c r="I104" s="53"/>
      <c r="J104" s="53"/>
    </row>
    <row r="105">
      <c r="B105" s="53" t="s">
        <v>125</v>
      </c>
      <c r="C105" s="56"/>
      <c r="D105" s="56"/>
      <c r="E105" s="56"/>
      <c r="F105" s="56"/>
      <c r="G105" s="56"/>
      <c r="H105" s="69">
        <f>H104/C104-1</f>
        <v>0.004832845614968662</v>
      </c>
      <c r="I105" s="53"/>
      <c r="J105" s="53"/>
    </row>
    <row r="106">
      <c r="B106" s="53" t="s">
        <v>126</v>
      </c>
      <c r="C106" s="52"/>
      <c r="D106" s="52"/>
      <c r="E106" s="52"/>
      <c r="F106" s="52"/>
      <c r="G106" s="52"/>
      <c r="H106" s="54" t="str">
        <f>IF(COUNT(G104)=0,"n.a.",H104-G104)</f>
        <v>n.a.</v>
      </c>
      <c r="I106" s="53"/>
      <c r="J106" s="53"/>
    </row>
    <row r="107">
      <c r="B107" s="53"/>
      <c r="C107" s="52"/>
      <c r="D107" s="52"/>
      <c r="E107" s="52"/>
      <c r="F107" s="52"/>
      <c r="G107" s="52"/>
      <c r="H107" s="54"/>
      <c r="I107" s="53"/>
      <c r="J107" s="53"/>
    </row>
    <row r="108">
      <c r="B108" s="53" t="s">
        <v>127</v>
      </c>
      <c r="C108" s="61">
        <v>100</v>
      </c>
      <c r="D108" s="52"/>
      <c r="E108" s="52"/>
      <c r="F108" s="52"/>
      <c r="G108" s="52"/>
      <c r="H108" s="76">
        <v>101.64494103041592</v>
      </c>
      <c r="I108" s="53"/>
      <c r="J108" s="53"/>
    </row>
    <row r="109">
      <c r="B109" s="53" t="s">
        <v>128</v>
      </c>
      <c r="C109" s="56"/>
      <c r="D109" s="56"/>
      <c r="E109" s="56"/>
      <c r="F109" s="56"/>
      <c r="G109" s="56"/>
      <c r="H109" s="69">
        <f>H108/C108-1</f>
        <v>0.01644941030415925</v>
      </c>
      <c r="I109" s="53"/>
      <c r="J109" s="53"/>
    </row>
    <row r="110">
      <c r="B110" s="53" t="s">
        <v>129</v>
      </c>
      <c r="C110" s="52"/>
      <c r="D110" s="52"/>
      <c r="E110" s="52"/>
      <c r="F110" s="52"/>
      <c r="G110" s="52"/>
      <c r="H110" s="54" t="str">
        <f>IF(COUNT(G108)=0,"n.a.",H108-G108)</f>
        <v>n.a.</v>
      </c>
      <c r="I110" s="53"/>
      <c r="J110" s="53"/>
    </row>
    <row r="111">
      <c r="B111" s="53"/>
      <c r="C111" s="52"/>
      <c r="D111" s="52"/>
      <c r="E111" s="52"/>
      <c r="F111" s="52"/>
      <c r="G111" s="52"/>
      <c r="H111" s="54"/>
      <c r="I111" s="53"/>
      <c r="J111" s="53"/>
    </row>
    <row r="112">
      <c r="B112" s="53" t="s">
        <v>130</v>
      </c>
      <c r="C112" s="61">
        <v>100</v>
      </c>
      <c r="D112" s="52"/>
      <c r="E112" s="52"/>
      <c r="F112" s="52"/>
      <c r="G112" s="52"/>
      <c r="H112" s="76">
        <v>100.8</v>
      </c>
      <c r="I112" s="53"/>
      <c r="J112" s="53"/>
    </row>
    <row r="113">
      <c r="B113" s="53" t="s">
        <v>131</v>
      </c>
      <c r="C113" s="56"/>
      <c r="D113" s="56"/>
      <c r="E113" s="56"/>
      <c r="F113" s="56"/>
      <c r="G113" s="56"/>
      <c r="H113" s="69">
        <f>H112/C112-1</f>
        <v>0.008000000000000007</v>
      </c>
      <c r="I113" s="53"/>
      <c r="J113" s="53"/>
    </row>
    <row r="114">
      <c r="B114" s="53" t="s">
        <v>132</v>
      </c>
      <c r="C114" s="52"/>
      <c r="D114" s="52"/>
      <c r="E114" s="52"/>
      <c r="F114" s="52"/>
      <c r="G114" s="52"/>
      <c r="H114" s="54" t="str">
        <f>IF(COUNT(G112)=0,"n.a.",H112-G112)</f>
        <v>n.a.</v>
      </c>
      <c r="I114" s="53"/>
      <c r="J114" s="53"/>
    </row>
    <row r="115">
      <c r="B115" s="53" t="s">
        <v>133</v>
      </c>
      <c r="C115" s="56"/>
      <c r="D115" s="56"/>
      <c r="E115" s="56"/>
      <c r="F115" s="56"/>
      <c r="G115" s="56"/>
      <c r="H115" s="59">
        <v>-0.025</v>
      </c>
      <c r="I115" s="53"/>
      <c r="J115" s="53"/>
    </row>
    <row r="116">
      <c r="B116" s="53" t="s">
        <v>134</v>
      </c>
      <c r="C116" s="56"/>
      <c r="D116" s="56"/>
      <c r="E116" s="56"/>
      <c r="F116" s="56"/>
      <c r="G116" s="56"/>
      <c r="H116" s="59">
        <v>-0.1</v>
      </c>
      <c r="I116" s="53"/>
      <c r="J116" s="53"/>
    </row>
    <row r="117">
      <c r="B117" s="53" t="s">
        <v>135</v>
      </c>
      <c r="C117" s="56"/>
      <c r="D117" s="56"/>
      <c r="E117" s="56"/>
      <c r="F117" s="56"/>
      <c r="G117" s="56"/>
      <c r="H117" s="59">
        <v>-0.03</v>
      </c>
      <c r="I117" s="53"/>
      <c r="J117" s="53"/>
    </row>
    <row r="118">
      <c r="B118" s="53" t="s">
        <v>136</v>
      </c>
      <c r="C118" s="56"/>
      <c r="D118" s="56"/>
      <c r="E118" s="56"/>
      <c r="F118" s="56"/>
      <c r="G118" s="56"/>
      <c r="H118" s="59">
        <v>-0.05</v>
      </c>
      <c r="I118" s="53"/>
      <c r="J118" s="53"/>
    </row>
    <row r="119">
      <c r="B119" s="53" t="s">
        <v>137</v>
      </c>
      <c r="C119" s="56"/>
      <c r="D119" s="56"/>
      <c r="E119" s="56"/>
      <c r="F119" s="56"/>
      <c r="G119" s="56"/>
      <c r="H119" s="59">
        <v>0</v>
      </c>
      <c r="I119" s="53"/>
      <c r="J119" s="53"/>
    </row>
    <row r="120">
      <c r="B120" s="53"/>
      <c r="C120" s="52"/>
      <c r="D120" s="52"/>
      <c r="E120" s="52"/>
      <c r="F120" s="52"/>
      <c r="G120" s="52"/>
      <c r="H120" s="54"/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/>
      <c r="C122" s="52"/>
      <c r="D122" s="52"/>
      <c r="E122" s="52"/>
      <c r="F122" s="52"/>
      <c r="G122" s="52"/>
      <c r="H122" s="54"/>
      <c r="I122" s="53"/>
      <c r="J122" s="53"/>
    </row>
    <row r="123">
      <c r="B123" s="53"/>
      <c r="C123" s="52"/>
      <c r="D123" s="52"/>
      <c r="E123" s="52"/>
      <c r="F123" s="52"/>
      <c r="G123" s="52"/>
      <c r="H123" s="54"/>
      <c r="I123" s="53"/>
      <c r="J123" s="53"/>
    </row>
    <row r="124">
      <c r="B124" s="53"/>
      <c r="C124" s="52"/>
      <c r="D124" s="52"/>
      <c r="E124" s="52"/>
      <c r="F124" s="52"/>
      <c r="G124" s="52"/>
      <c r="H124" s="54"/>
      <c r="I124" s="53"/>
      <c r="J124" s="53"/>
    </row>
    <row r="125">
      <c r="B125" s="53"/>
      <c r="C125" s="52"/>
      <c r="D125" s="52"/>
      <c r="E125" s="52"/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/>
      <c r="C127" s="52"/>
      <c r="D127" s="52"/>
      <c r="E127" s="52"/>
      <c r="F127" s="52"/>
      <c r="G127" s="52"/>
      <c r="H127" s="54"/>
      <c r="I127" s="53"/>
      <c r="J127" s="53"/>
    </row>
    <row r="128">
      <c r="B128" s="53"/>
      <c r="C128" s="52"/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3" customWidth="1"/>
    <col min="10" max="10" width="18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138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>
      <c r="B9" s="53"/>
      <c r="C9" s="52"/>
      <c r="D9" s="52"/>
      <c r="E9" s="52"/>
      <c r="F9" s="52"/>
      <c r="G9" s="52"/>
      <c r="H9" s="54"/>
      <c r="I9" s="53"/>
      <c r="J9" s="53"/>
    </row>
    <row r="10">
      <c r="B10" s="53" t="s">
        <v>139</v>
      </c>
      <c r="C10" s="57">
        <f>D10-Inputs!C108</f>
        <v>31.565999999999995</v>
      </c>
      <c r="D10" s="61">
        <v>88.184</v>
      </c>
      <c r="E10" s="61">
        <v>28.447</v>
      </c>
      <c r="F10" s="61">
        <v>12.741</v>
      </c>
      <c r="G10" s="61">
        <v>12.861</v>
      </c>
      <c r="H10" s="54">
        <f>C10*(H66/C66)*(H69/C69)</f>
        <v>31.944792</v>
      </c>
      <c r="I10" s="53"/>
      <c r="J10" s="53"/>
    </row>
    <row r="11">
      <c r="B11" s="53" t="s">
        <v>58</v>
      </c>
      <c r="C11" s="56"/>
      <c r="D11" s="56"/>
      <c r="E11" s="56"/>
      <c r="F11" s="56"/>
      <c r="G11" s="56"/>
      <c r="H11" s="69">
        <f>(1+H14)/((1+H12)*(1+H13))-1</f>
        <v>0.012000000000000233</v>
      </c>
      <c r="I11" s="53"/>
      <c r="J11" s="53"/>
    </row>
    <row r="12">
      <c r="B12" s="53" t="s">
        <v>59</v>
      </c>
      <c r="C12" s="56"/>
      <c r="D12" s="56"/>
      <c r="E12" s="56"/>
      <c r="F12" s="56"/>
      <c r="G12" s="56"/>
      <c r="H12" s="59">
        <v>0</v>
      </c>
      <c r="I12" s="53"/>
      <c r="J12" s="53"/>
    </row>
    <row r="13">
      <c r="B13" s="53" t="s">
        <v>60</v>
      </c>
      <c r="C13" s="56"/>
      <c r="D13" s="56"/>
      <c r="E13" s="56"/>
      <c r="F13" s="56"/>
      <c r="G13" s="56"/>
      <c r="H13" s="59">
        <v>0</v>
      </c>
      <c r="I13" s="53"/>
      <c r="J13" s="53"/>
    </row>
    <row r="14">
      <c r="B14" s="53" t="s">
        <v>61</v>
      </c>
      <c r="C14" s="56"/>
      <c r="D14" s="56"/>
      <c r="E14" s="56"/>
      <c r="F14" s="56"/>
      <c r="G14" s="56"/>
      <c r="H14" s="69">
        <f>H10/C10-1</f>
        <v>0.012000000000000233</v>
      </c>
      <c r="I14" s="53"/>
      <c r="J14" s="53"/>
    </row>
    <row r="15">
      <c r="B15" s="53" t="s">
        <v>140</v>
      </c>
      <c r="C15" s="57">
        <f>D15-Inputs!C109</f>
        <v>10.112000000000009</v>
      </c>
      <c r="D15" s="61">
        <v>81.525</v>
      </c>
      <c r="E15" s="61">
        <v>9.69</v>
      </c>
      <c r="F15" s="61">
        <v>26.089</v>
      </c>
      <c r="G15" s="61">
        <v>28.345</v>
      </c>
      <c r="H15" s="54">
        <f>C15*(H73/C73)*(H122/C122)</f>
        <v>9.555840000000007</v>
      </c>
      <c r="I15" s="53"/>
      <c r="J15" s="53"/>
    </row>
    <row r="16">
      <c r="B16" s="53" t="s">
        <v>58</v>
      </c>
      <c r="C16" s="56"/>
      <c r="D16" s="56"/>
      <c r="E16" s="56"/>
      <c r="F16" s="56"/>
      <c r="G16" s="56"/>
      <c r="H16" s="69">
        <f>(1+H19)/((1+H17)*(1+H18))-1</f>
        <v>-0.05500000000000016</v>
      </c>
      <c r="I16" s="53"/>
      <c r="J16" s="53"/>
    </row>
    <row r="17">
      <c r="B17" s="53" t="s">
        <v>59</v>
      </c>
      <c r="C17" s="56"/>
      <c r="D17" s="56"/>
      <c r="E17" s="56"/>
      <c r="F17" s="56"/>
      <c r="G17" s="56"/>
      <c r="H17" s="59">
        <v>0</v>
      </c>
      <c r="I17" s="53"/>
      <c r="J17" s="53"/>
    </row>
    <row r="18">
      <c r="B18" s="53" t="s">
        <v>60</v>
      </c>
      <c r="C18" s="56"/>
      <c r="D18" s="56"/>
      <c r="E18" s="56"/>
      <c r="F18" s="56"/>
      <c r="G18" s="56"/>
      <c r="H18" s="59">
        <v>0</v>
      </c>
      <c r="I18" s="53"/>
      <c r="J18" s="53"/>
    </row>
    <row r="19">
      <c r="B19" s="53" t="s">
        <v>61</v>
      </c>
      <c r="C19" s="56"/>
      <c r="D19" s="56"/>
      <c r="E19" s="56"/>
      <c r="F19" s="56"/>
      <c r="G19" s="56"/>
      <c r="H19" s="69">
        <f>H15/C15-1</f>
        <v>-0.05500000000000016</v>
      </c>
      <c r="I19" s="53"/>
      <c r="J19" s="53"/>
    </row>
    <row r="20">
      <c r="B20" s="53" t="s">
        <v>141</v>
      </c>
      <c r="C20" s="57">
        <f>D20-Inputs!C110</f>
        <v>17.797999999999995</v>
      </c>
      <c r="D20" s="61">
        <v>66.374</v>
      </c>
      <c r="E20" s="61">
        <v>19.382</v>
      </c>
      <c r="F20" s="61">
        <v>13.379</v>
      </c>
      <c r="G20" s="61">
        <v>13.816</v>
      </c>
      <c r="H20" s="54">
        <f>C20*(H76/C76)*(H125/C125)</f>
        <v>17.477636</v>
      </c>
      <c r="I20" s="53"/>
      <c r="J20" s="53"/>
    </row>
    <row r="21">
      <c r="B21" s="53" t="s">
        <v>58</v>
      </c>
      <c r="C21" s="56"/>
      <c r="D21" s="56"/>
      <c r="E21" s="56"/>
      <c r="F21" s="56"/>
      <c r="G21" s="56"/>
      <c r="H21" s="69">
        <f>(1+H24)/((1+H22)*(1+H23))-1</f>
        <v>-0.017999999999999683</v>
      </c>
      <c r="I21" s="53"/>
      <c r="J21" s="53"/>
    </row>
    <row r="22">
      <c r="B22" s="53" t="s">
        <v>59</v>
      </c>
      <c r="C22" s="56"/>
      <c r="D22" s="56"/>
      <c r="E22" s="56"/>
      <c r="F22" s="56"/>
      <c r="G22" s="56"/>
      <c r="H22" s="59">
        <v>0</v>
      </c>
      <c r="I22" s="53"/>
      <c r="J22" s="53"/>
    </row>
    <row r="23">
      <c r="B23" s="53" t="s">
        <v>60</v>
      </c>
      <c r="C23" s="56"/>
      <c r="D23" s="56"/>
      <c r="E23" s="56"/>
      <c r="F23" s="56"/>
      <c r="G23" s="56"/>
      <c r="H23" s="59">
        <v>0</v>
      </c>
      <c r="I23" s="53"/>
      <c r="J23" s="53"/>
    </row>
    <row r="24">
      <c r="B24" s="53" t="s">
        <v>61</v>
      </c>
      <c r="C24" s="56"/>
      <c r="D24" s="56"/>
      <c r="E24" s="56"/>
      <c r="F24" s="56"/>
      <c r="G24" s="56"/>
      <c r="H24" s="69">
        <f>H20/C20-1</f>
        <v>-0.017999999999999683</v>
      </c>
      <c r="I24" s="53"/>
      <c r="J24" s="53"/>
    </row>
    <row r="25">
      <c r="B25" s="53" t="s">
        <v>142</v>
      </c>
      <c r="C25" s="57">
        <f>D25-Inputs!C111</f>
        <v>1.068999999999999</v>
      </c>
      <c r="D25" s="61">
        <v>14.853</v>
      </c>
      <c r="E25" s="52"/>
      <c r="F25" s="61">
        <v>4.804</v>
      </c>
      <c r="G25" s="61">
        <v>5.2</v>
      </c>
      <c r="H25" s="54">
        <f>C25*(H128/C128)</f>
        <v>1.0262399999999992</v>
      </c>
      <c r="I25" s="53"/>
      <c r="J25" s="53"/>
    </row>
    <row r="26">
      <c r="B26" s="53" t="s">
        <v>58</v>
      </c>
      <c r="C26" s="56"/>
      <c r="D26" s="56"/>
      <c r="E26" s="56"/>
      <c r="F26" s="56"/>
      <c r="G26" s="56"/>
      <c r="H26" s="69">
        <f>(1+H29)/((1+H27)*(1+H28))-1</f>
        <v>-0.039999999999999925</v>
      </c>
      <c r="I26" s="53"/>
      <c r="J26" s="53"/>
    </row>
    <row r="27">
      <c r="B27" s="53" t="s">
        <v>59</v>
      </c>
      <c r="C27" s="56"/>
      <c r="D27" s="56"/>
      <c r="E27" s="56"/>
      <c r="F27" s="56"/>
      <c r="G27" s="56"/>
      <c r="H27" s="59">
        <v>0</v>
      </c>
      <c r="I27" s="53"/>
      <c r="J27" s="53"/>
    </row>
    <row r="28">
      <c r="B28" s="53" t="s">
        <v>60</v>
      </c>
      <c r="C28" s="56"/>
      <c r="D28" s="56"/>
      <c r="E28" s="56"/>
      <c r="F28" s="56"/>
      <c r="G28" s="56"/>
      <c r="H28" s="59">
        <v>0</v>
      </c>
      <c r="I28" s="53"/>
      <c r="J28" s="53"/>
    </row>
    <row r="29">
      <c r="B29" s="53" t="s">
        <v>61</v>
      </c>
      <c r="C29" s="56"/>
      <c r="D29" s="56"/>
      <c r="E29" s="56"/>
      <c r="F29" s="56"/>
      <c r="G29" s="56"/>
      <c r="H29" s="69">
        <f>H25/C25-1</f>
        <v>-0.039999999999999925</v>
      </c>
      <c r="I29" s="53"/>
      <c r="J29" s="53"/>
    </row>
    <row r="30">
      <c r="B30" s="53" t="s">
        <v>143</v>
      </c>
      <c r="C30" s="57">
        <f>D30-Inputs!C112</f>
        <v>7.876999999999999</v>
      </c>
      <c r="D30" s="61">
        <v>16.008</v>
      </c>
      <c r="E30" s="61">
        <v>7.772</v>
      </c>
      <c r="F30" s="61">
        <v>0</v>
      </c>
      <c r="G30" s="61">
        <v>0</v>
      </c>
      <c r="H30" s="54">
        <f>C30*(H131/C131)</f>
        <v>7.680074999999999</v>
      </c>
      <c r="I30" s="53"/>
      <c r="J30" s="53"/>
    </row>
    <row r="31">
      <c r="B31" s="53" t="s">
        <v>58</v>
      </c>
      <c r="C31" s="56"/>
      <c r="D31" s="56"/>
      <c r="E31" s="56"/>
      <c r="F31" s="56"/>
      <c r="G31" s="56"/>
      <c r="H31" s="69">
        <f>(1+H34)/((1+H32)*(1+H33))-1</f>
        <v>-0.025000000000000022</v>
      </c>
      <c r="I31" s="53"/>
      <c r="J31" s="53"/>
    </row>
    <row r="32">
      <c r="B32" s="53" t="s">
        <v>59</v>
      </c>
      <c r="C32" s="56"/>
      <c r="D32" s="56"/>
      <c r="E32" s="56"/>
      <c r="F32" s="56"/>
      <c r="G32" s="56"/>
      <c r="H32" s="59">
        <v>0</v>
      </c>
      <c r="I32" s="53"/>
      <c r="J32" s="53"/>
    </row>
    <row r="33">
      <c r="B33" s="53" t="s">
        <v>60</v>
      </c>
      <c r="C33" s="56"/>
      <c r="D33" s="56"/>
      <c r="E33" s="56"/>
      <c r="F33" s="56"/>
      <c r="G33" s="56"/>
      <c r="H33" s="59">
        <v>0</v>
      </c>
      <c r="I33" s="53"/>
      <c r="J33" s="53"/>
    </row>
    <row r="34">
      <c r="B34" s="53" t="s">
        <v>61</v>
      </c>
      <c r="C34" s="56"/>
      <c r="D34" s="56"/>
      <c r="E34" s="56"/>
      <c r="F34" s="56"/>
      <c r="G34" s="56"/>
      <c r="H34" s="69">
        <f>H30/C30-1</f>
        <v>-0.025000000000000022</v>
      </c>
      <c r="I34" s="53"/>
      <c r="J34" s="53"/>
    </row>
    <row r="35">
      <c r="B35" s="53" t="s">
        <v>144</v>
      </c>
      <c r="C35" s="57">
        <f>D35-Inputs!C113</f>
        <v>18.695999999999998</v>
      </c>
      <c r="D35" s="61">
        <v>52.805</v>
      </c>
      <c r="E35" s="61">
        <v>16.583</v>
      </c>
      <c r="F35" s="61">
        <v>10.202</v>
      </c>
      <c r="G35" s="61">
        <v>9.981</v>
      </c>
      <c r="H35" s="54">
        <f>C35*(H134/C134)</f>
        <v>18.789479999999998</v>
      </c>
      <c r="I35" s="53"/>
      <c r="J35" s="53"/>
    </row>
    <row r="36">
      <c r="B36" s="53" t="s">
        <v>58</v>
      </c>
      <c r="C36" s="56"/>
      <c r="D36" s="56"/>
      <c r="E36" s="56"/>
      <c r="F36" s="56"/>
      <c r="G36" s="56"/>
      <c r="H36" s="69">
        <f>(1+H39)/((1+H37)*(1+H38))-1</f>
        <v>0.004999999999999893</v>
      </c>
      <c r="I36" s="53"/>
      <c r="J36" s="53"/>
    </row>
    <row r="37">
      <c r="B37" s="53" t="s">
        <v>59</v>
      </c>
      <c r="C37" s="56"/>
      <c r="D37" s="56"/>
      <c r="E37" s="56"/>
      <c r="F37" s="56"/>
      <c r="G37" s="56"/>
      <c r="H37" s="59">
        <v>0</v>
      </c>
      <c r="I37" s="53"/>
      <c r="J37" s="53"/>
    </row>
    <row r="38">
      <c r="B38" s="53" t="s">
        <v>60</v>
      </c>
      <c r="C38" s="56"/>
      <c r="D38" s="56"/>
      <c r="E38" s="56"/>
      <c r="F38" s="56"/>
      <c r="G38" s="56"/>
      <c r="H38" s="59">
        <v>0</v>
      </c>
      <c r="I38" s="53"/>
      <c r="J38" s="53"/>
    </row>
    <row r="39">
      <c r="B39" s="53" t="s">
        <v>61</v>
      </c>
      <c r="C39" s="56"/>
      <c r="D39" s="56"/>
      <c r="E39" s="56"/>
      <c r="F39" s="56"/>
      <c r="G39" s="56"/>
      <c r="H39" s="69">
        <f>H35/C35-1</f>
        <v>0.004999999999999893</v>
      </c>
      <c r="I39" s="53"/>
      <c r="J39" s="53"/>
    </row>
    <row r="40">
      <c r="B40" s="53" t="s">
        <v>145</v>
      </c>
      <c r="C40" s="57">
        <f>D40-Inputs!C114</f>
        <v>3.151</v>
      </c>
      <c r="D40" s="61">
        <v>14.29</v>
      </c>
      <c r="E40" s="61">
        <v>3.836</v>
      </c>
      <c r="F40" s="61">
        <v>4.371</v>
      </c>
      <c r="G40" s="61">
        <v>5.112</v>
      </c>
      <c r="H40" s="54">
        <f>C40*(H137/C137)</f>
        <v>3.103735</v>
      </c>
      <c r="I40" s="53"/>
      <c r="J40" s="53"/>
    </row>
    <row r="41">
      <c r="B41" s="53" t="s">
        <v>58</v>
      </c>
      <c r="C41" s="56"/>
      <c r="D41" s="56"/>
      <c r="E41" s="56"/>
      <c r="F41" s="56"/>
      <c r="G41" s="56"/>
      <c r="H41" s="69">
        <f>(1+H44)/((1+H42)*(1+H43))-1</f>
        <v>-0.015000000000000013</v>
      </c>
      <c r="I41" s="53"/>
      <c r="J41" s="53"/>
    </row>
    <row r="42">
      <c r="B42" s="53" t="s">
        <v>59</v>
      </c>
      <c r="C42" s="56"/>
      <c r="D42" s="56"/>
      <c r="E42" s="56"/>
      <c r="F42" s="56"/>
      <c r="G42" s="56"/>
      <c r="H42" s="59">
        <v>0</v>
      </c>
      <c r="I42" s="53"/>
      <c r="J42" s="53"/>
    </row>
    <row r="43">
      <c r="B43" s="53" t="s">
        <v>60</v>
      </c>
      <c r="C43" s="56"/>
      <c r="D43" s="56"/>
      <c r="E43" s="56"/>
      <c r="F43" s="56"/>
      <c r="G43" s="56"/>
      <c r="H43" s="59">
        <v>0</v>
      </c>
      <c r="I43" s="53"/>
      <c r="J43" s="53"/>
    </row>
    <row r="44">
      <c r="B44" s="53" t="s">
        <v>61</v>
      </c>
      <c r="C44" s="56"/>
      <c r="D44" s="56"/>
      <c r="E44" s="56"/>
      <c r="F44" s="56"/>
      <c r="G44" s="56"/>
      <c r="H44" s="69">
        <f>H40/C40-1</f>
        <v>-0.015000000000000013</v>
      </c>
      <c r="I44" s="53"/>
      <c r="J44" s="53"/>
    </row>
    <row r="45">
      <c r="B45" s="53"/>
      <c r="C45" s="52"/>
      <c r="D45" s="52"/>
      <c r="E45" s="52"/>
      <c r="F45" s="52"/>
      <c r="G45" s="52"/>
      <c r="H45" s="54"/>
      <c r="I45" s="53"/>
      <c r="J45" s="53"/>
    </row>
    <row r="46">
      <c r="B46" s="53"/>
      <c r="C46" s="52"/>
      <c r="D46" s="52"/>
      <c r="E46" s="52"/>
      <c r="F46" s="52"/>
      <c r="G46" s="52"/>
      <c r="H46" s="54"/>
      <c r="I46" s="53"/>
      <c r="J46" s="53"/>
    </row>
    <row r="47">
      <c r="B47" s="53"/>
      <c r="C47" s="52"/>
      <c r="D47" s="52"/>
      <c r="E47" s="52"/>
      <c r="F47" s="52"/>
      <c r="G47" s="52"/>
      <c r="H47" s="54"/>
      <c r="I47" s="53"/>
      <c r="J47" s="53"/>
    </row>
    <row r="48">
      <c r="B48" s="53"/>
      <c r="C48" s="52"/>
      <c r="D48" s="52"/>
      <c r="E48" s="52"/>
      <c r="F48" s="52"/>
      <c r="G48" s="52"/>
      <c r="H48" s="54"/>
      <c r="I48" s="53"/>
      <c r="J48" s="53"/>
    </row>
    <row r="49">
      <c r="B49" s="53"/>
      <c r="C49" s="52"/>
      <c r="D49" s="52"/>
      <c r="E49" s="52"/>
      <c r="F49" s="52"/>
      <c r="G49" s="52"/>
      <c r="H49" s="54"/>
      <c r="I49" s="53"/>
      <c r="J49" s="53"/>
    </row>
    <row r="50">
      <c r="B50" s="65" t="s">
        <v>146</v>
      </c>
      <c r="C50" s="62">
        <f>SUM(C10,C15,C20,C25,C30,C35,C40)</f>
        <v>90.26899999999999</v>
      </c>
      <c r="D50" s="62">
        <f>SUM(D10,D15,D20,D25,D30,D35,D40)</f>
        <v>334.039</v>
      </c>
      <c r="E50" s="62">
        <f>SUM(E10,E15,E20,E25,E30,E35,E40)</f>
        <v>85.71</v>
      </c>
      <c r="F50" s="62">
        <f>SUM(F10,F15,F20,F25,F30,F35,F40)</f>
        <v>71.586</v>
      </c>
      <c r="G50" s="62">
        <f>SUM(G10,G15,G20,G25,G30,G35,G40)</f>
        <v>75.315</v>
      </c>
      <c r="H50" s="70">
        <f>SUM(H10,H15,H20,H25,H30,H35,H40)</f>
        <v>89.577798</v>
      </c>
      <c r="I50" s="53"/>
      <c r="J50" s="53"/>
    </row>
    <row r="51">
      <c r="B51" s="53" t="s">
        <v>147</v>
      </c>
      <c r="C51" s="56"/>
      <c r="D51" s="56"/>
      <c r="E51" s="56"/>
      <c r="F51" s="56"/>
      <c r="G51" s="56"/>
      <c r="H51" s="69">
        <f>H50/C50-1</f>
        <v>-0.007657135893828326</v>
      </c>
      <c r="I51" s="53"/>
      <c r="J51" s="53"/>
    </row>
    <row r="52">
      <c r="B52" s="53" t="s">
        <v>148</v>
      </c>
      <c r="C52" s="56"/>
      <c r="D52" s="56"/>
      <c r="E52" s="56"/>
      <c r="F52" s="56"/>
      <c r="G52" s="56"/>
      <c r="H52" s="69">
        <f>H50/G50-1</f>
        <v>0.18937526389165504</v>
      </c>
      <c r="I52" s="53"/>
      <c r="J52" s="53"/>
    </row>
    <row r="53">
      <c r="B53" s="53" t="s">
        <v>149</v>
      </c>
      <c r="C53" s="56">
        <f>IFERROR(C60/C50,0)</f>
        <v>0.04538656681695814</v>
      </c>
      <c r="D53" s="56">
        <f>IFERROR(D60/D50,0)</f>
        <v>0.068240534787854</v>
      </c>
      <c r="E53" s="56">
        <f>IFERROR(E60/E50,0)</f>
        <v>0.03387002683467497</v>
      </c>
      <c r="F53" s="56">
        <f>IFERROR(F60/F50,0)</f>
        <v>-0.012209091163076712</v>
      </c>
      <c r="G53" s="56">
        <f>IFERROR(G60/G50,0)</f>
        <v>0.09035384717519741</v>
      </c>
      <c r="H53" s="69">
        <f>IFERROR(H60/H50,0)</f>
        <v>0.04954222027203675</v>
      </c>
      <c r="I53" s="53"/>
      <c r="J53" s="53"/>
    </row>
    <row r="54">
      <c r="B54" s="53" t="s">
        <v>150</v>
      </c>
      <c r="C54" s="52"/>
      <c r="D54" s="52"/>
      <c r="E54" s="52"/>
      <c r="F54" s="52"/>
      <c r="G54" s="52"/>
      <c r="H54" s="54">
        <f>(H53-C53)*10000</f>
        <v>41.55653455078609</v>
      </c>
      <c r="I54" s="53"/>
      <c r="J54" s="53"/>
    </row>
    <row r="55">
      <c r="B55" s="53" t="s">
        <v>68</v>
      </c>
      <c r="C55" s="57">
        <f>D55-Inputs!C95</f>
        <v>37.196</v>
      </c>
      <c r="D55" s="61">
        <v>138.041</v>
      </c>
      <c r="E55" s="61">
        <v>36.679</v>
      </c>
      <c r="F55" s="61">
        <v>31.051</v>
      </c>
      <c r="G55" s="61">
        <v>29.257</v>
      </c>
      <c r="H55" s="54">
        <f>C55*(1+H80)</f>
        <v>36.452079999999995</v>
      </c>
      <c r="I55" s="53"/>
      <c r="J55" s="53"/>
    </row>
    <row r="56">
      <c r="B56" s="53" t="s">
        <v>71</v>
      </c>
      <c r="C56" s="57">
        <f>D56-Inputs!C96</f>
        <v>14.490000000000002</v>
      </c>
      <c r="D56" s="61">
        <v>60.31</v>
      </c>
      <c r="E56" s="61">
        <v>13.933</v>
      </c>
      <c r="F56" s="61">
        <v>15.166</v>
      </c>
      <c r="G56" s="61">
        <v>13.224</v>
      </c>
      <c r="H56" s="54">
        <f>C56*(1+H81)</f>
        <v>14.56245</v>
      </c>
      <c r="I56" s="53"/>
      <c r="J56" s="53"/>
    </row>
    <row r="57">
      <c r="B57" s="53" t="s">
        <v>151</v>
      </c>
      <c r="C57" s="57">
        <f>D57-Inputs!C97</f>
        <v>3.151</v>
      </c>
      <c r="D57" s="61">
        <v>14.29</v>
      </c>
      <c r="E57" s="61">
        <v>3.836</v>
      </c>
      <c r="F57" s="61">
        <v>4.371</v>
      </c>
      <c r="G57" s="61">
        <v>5.112</v>
      </c>
      <c r="H57" s="54">
        <f>C57*(1+H82)</f>
        <v>3.103735</v>
      </c>
      <c r="I57" s="53"/>
      <c r="J57" s="53"/>
    </row>
    <row r="58">
      <c r="B58" s="53" t="s">
        <v>152</v>
      </c>
      <c r="C58" s="57">
        <f>D58-Inputs!C98</f>
        <v>31.334999999999994</v>
      </c>
      <c r="D58" s="61">
        <v>98.603</v>
      </c>
      <c r="E58" s="61">
        <v>28.359</v>
      </c>
      <c r="F58" s="61">
        <v>21.872</v>
      </c>
      <c r="G58" s="61">
        <v>20.917</v>
      </c>
      <c r="H58" s="54">
        <f>C58*(1+H83)</f>
        <v>31.021649999999994</v>
      </c>
      <c r="I58" s="53"/>
      <c r="J58" s="53"/>
    </row>
    <row r="59">
      <c r="B59" s="53" t="s">
        <v>153</v>
      </c>
      <c r="C59" s="62">
        <f>SUM(C55:C58)</f>
        <v>86.172</v>
      </c>
      <c r="D59" s="62">
        <f>SUM(D55:D58)</f>
        <v>311.244</v>
      </c>
      <c r="E59" s="62">
        <f>SUM(E55:E58)</f>
        <v>82.807</v>
      </c>
      <c r="F59" s="62">
        <f>SUM(F55:F58)</f>
        <v>72.46000000000001</v>
      </c>
      <c r="G59" s="62">
        <f>SUM(G55:G58)</f>
        <v>68.51</v>
      </c>
      <c r="H59" s="70">
        <f>SUM(H55:H58)</f>
        <v>85.13991499999999</v>
      </c>
      <c r="I59" s="53"/>
      <c r="J59" s="53"/>
    </row>
    <row r="60">
      <c r="B60" s="65" t="s">
        <v>154</v>
      </c>
      <c r="C60" s="62">
        <f>C50-C59</f>
        <v>4.096999999999994</v>
      </c>
      <c r="D60" s="62">
        <f>D50-D59</f>
        <v>22.79499999999996</v>
      </c>
      <c r="E60" s="62">
        <f>E50-E59</f>
        <v>2.9029999999999916</v>
      </c>
      <c r="F60" s="62">
        <f>F50-F59</f>
        <v>-0.8740000000000094</v>
      </c>
      <c r="G60" s="62">
        <f>G50-G59</f>
        <v>6.804999999999993</v>
      </c>
      <c r="H60" s="70">
        <f>H50-H59</f>
        <v>4.437883000000014</v>
      </c>
      <c r="I60" s="53"/>
      <c r="J60" s="53"/>
    </row>
    <row r="61">
      <c r="B61" s="53"/>
      <c r="C61" s="52"/>
      <c r="D61" s="52"/>
      <c r="E61" s="52"/>
      <c r="F61" s="52"/>
      <c r="G61" s="52"/>
      <c r="H61" s="54"/>
      <c r="I61" s="53"/>
      <c r="J61" s="53" t="s">
        <v>82</v>
      </c>
    </row>
    <row r="62">
      <c r="B62" s="53" t="s">
        <v>155</v>
      </c>
      <c r="C62" s="52"/>
      <c r="D62" s="52"/>
      <c r="E62" s="52"/>
      <c r="F62" s="52"/>
      <c r="G62" s="52"/>
      <c r="H62" s="54"/>
      <c r="I62" s="53"/>
      <c r="J62" s="53"/>
    </row>
    <row r="63">
      <c r="B63" s="53" t="s">
        <v>156</v>
      </c>
      <c r="C63" s="61">
        <v>100</v>
      </c>
      <c r="D63" s="52"/>
      <c r="E63" s="52"/>
      <c r="F63" s="52"/>
      <c r="G63" s="52"/>
      <c r="H63" s="76">
        <v>100</v>
      </c>
      <c r="I63" s="53"/>
      <c r="J63" s="53"/>
    </row>
    <row r="64">
      <c r="B64" s="53" t="s">
        <v>157</v>
      </c>
      <c r="C64" s="89"/>
      <c r="D64" s="89"/>
      <c r="E64" s="89"/>
      <c r="F64" s="89"/>
      <c r="G64" s="89"/>
      <c r="H64" s="80">
        <f>H63-C63</f>
        <v>0</v>
      </c>
      <c r="I64" s="53"/>
      <c r="J64" s="53"/>
    </row>
    <row r="65">
      <c r="B65" s="53" t="s">
        <v>158</v>
      </c>
      <c r="C65" s="52"/>
      <c r="D65" s="52"/>
      <c r="E65" s="52"/>
      <c r="F65" s="52"/>
      <c r="G65" s="52"/>
      <c r="H65" s="54" t="str">
        <f>IF(COUNT(G63)=0,"n.a.",H63-G63)</f>
        <v>n.a.</v>
      </c>
      <c r="I65" s="53"/>
      <c r="J65" s="53"/>
    </row>
    <row r="66">
      <c r="B66" s="53" t="s">
        <v>159</v>
      </c>
      <c r="C66" s="61">
        <v>100</v>
      </c>
      <c r="D66" s="52"/>
      <c r="E66" s="52"/>
      <c r="F66" s="52"/>
      <c r="G66" s="52"/>
      <c r="H66" s="54">
        <f>H104</f>
        <v>99</v>
      </c>
      <c r="I66" s="53"/>
      <c r="J66" s="53"/>
    </row>
    <row r="67">
      <c r="B67" s="53" t="s">
        <v>160</v>
      </c>
      <c r="C67" s="56"/>
      <c r="D67" s="56"/>
      <c r="E67" s="56"/>
      <c r="F67" s="56"/>
      <c r="G67" s="56"/>
      <c r="H67" s="69">
        <f>H66/C66-1</f>
        <v>-0.010000000000000009</v>
      </c>
      <c r="I67" s="53"/>
      <c r="J67" s="53"/>
    </row>
    <row r="68">
      <c r="B68" s="53" t="s">
        <v>161</v>
      </c>
      <c r="C68" s="52"/>
      <c r="D68" s="52"/>
      <c r="E68" s="52"/>
      <c r="F68" s="52"/>
      <c r="G68" s="52"/>
      <c r="H68" s="54" t="str">
        <f>IF(COUNT(G66)=0,"n.a.",H66-G66)</f>
        <v>n.a.</v>
      </c>
      <c r="I68" s="53"/>
      <c r="J68" s="53"/>
    </row>
    <row r="69">
      <c r="B69" s="53" t="s">
        <v>162</v>
      </c>
      <c r="C69" s="61">
        <v>100</v>
      </c>
      <c r="D69" s="52"/>
      <c r="E69" s="52"/>
      <c r="F69" s="52"/>
      <c r="G69" s="52"/>
      <c r="H69" s="76">
        <v>102.22222222222224</v>
      </c>
      <c r="I69" s="53"/>
      <c r="J69" s="53"/>
    </row>
    <row r="70">
      <c r="B70" s="53" t="s">
        <v>163</v>
      </c>
      <c r="C70" s="56"/>
      <c r="D70" s="56"/>
      <c r="E70" s="56"/>
      <c r="F70" s="56"/>
      <c r="G70" s="56"/>
      <c r="H70" s="69">
        <f>H69/C69-1</f>
        <v>0.022222222222222365</v>
      </c>
      <c r="I70" s="53"/>
      <c r="J70" s="53"/>
    </row>
    <row r="71">
      <c r="B71" s="53" t="s">
        <v>164</v>
      </c>
      <c r="C71" s="52"/>
      <c r="D71" s="52"/>
      <c r="E71" s="52"/>
      <c r="F71" s="52"/>
      <c r="G71" s="52"/>
      <c r="H71" s="54" t="str">
        <f>IF(COUNT(G69)=0,"n.a.",H69-G69)</f>
        <v>n.a.</v>
      </c>
      <c r="I71" s="53"/>
      <c r="J71" s="53"/>
    </row>
    <row r="72">
      <c r="B72" s="53"/>
      <c r="C72" s="52"/>
      <c r="D72" s="52"/>
      <c r="E72" s="52"/>
      <c r="F72" s="52"/>
      <c r="G72" s="52"/>
      <c r="H72" s="54"/>
      <c r="I72" s="53"/>
      <c r="J72" s="53"/>
    </row>
    <row r="73">
      <c r="B73" s="53" t="s">
        <v>165</v>
      </c>
      <c r="C73" s="61">
        <v>100</v>
      </c>
      <c r="D73" s="52"/>
      <c r="E73" s="52"/>
      <c r="F73" s="52"/>
      <c r="G73" s="52"/>
      <c r="H73" s="76">
        <v>97</v>
      </c>
      <c r="I73" s="53"/>
      <c r="J73" s="53"/>
    </row>
    <row r="74">
      <c r="B74" s="53" t="s">
        <v>166</v>
      </c>
      <c r="C74" s="56"/>
      <c r="D74" s="56"/>
      <c r="E74" s="56"/>
      <c r="F74" s="56"/>
      <c r="G74" s="56"/>
      <c r="H74" s="69">
        <f>H73/C73-1</f>
        <v>-0.030000000000000027</v>
      </c>
      <c r="I74" s="53"/>
      <c r="J74" s="53"/>
    </row>
    <row r="75">
      <c r="B75" s="53" t="s">
        <v>167</v>
      </c>
      <c r="C75" s="52"/>
      <c r="D75" s="52"/>
      <c r="E75" s="52"/>
      <c r="F75" s="52"/>
      <c r="G75" s="52"/>
      <c r="H75" s="54" t="str">
        <f>IF(COUNT(G73)=0,"n.a.",H73-G73)</f>
        <v>n.a.</v>
      </c>
      <c r="I75" s="53"/>
      <c r="J75" s="53"/>
    </row>
    <row r="76">
      <c r="B76" s="53" t="s">
        <v>168</v>
      </c>
      <c r="C76" s="61">
        <v>100</v>
      </c>
      <c r="D76" s="52"/>
      <c r="E76" s="52"/>
      <c r="F76" s="52"/>
      <c r="G76" s="52"/>
      <c r="H76" s="76">
        <v>101</v>
      </c>
      <c r="I76" s="53"/>
      <c r="J76" s="53"/>
    </row>
    <row r="77">
      <c r="B77" s="53" t="s">
        <v>169</v>
      </c>
      <c r="C77" s="56"/>
      <c r="D77" s="56"/>
      <c r="E77" s="56"/>
      <c r="F77" s="56"/>
      <c r="G77" s="56"/>
      <c r="H77" s="69">
        <f>H76/C76-1</f>
        <v>0.010000000000000009</v>
      </c>
      <c r="I77" s="53"/>
      <c r="J77" s="53"/>
    </row>
    <row r="78">
      <c r="B78" s="53" t="s">
        <v>126</v>
      </c>
      <c r="C78" s="52"/>
      <c r="D78" s="52"/>
      <c r="E78" s="52"/>
      <c r="F78" s="52"/>
      <c r="G78" s="52"/>
      <c r="H78" s="54" t="str">
        <f>IF(COUNT(G76)=0,"n.a.",H76-G76)</f>
        <v>n.a.</v>
      </c>
      <c r="I78" s="53"/>
      <c r="J78" s="53"/>
    </row>
    <row r="79">
      <c r="B79" s="53"/>
      <c r="C79" s="52"/>
      <c r="D79" s="52"/>
      <c r="E79" s="52"/>
      <c r="F79" s="52"/>
      <c r="G79" s="52"/>
      <c r="H79" s="54"/>
      <c r="I79" s="53"/>
      <c r="J79" s="53"/>
    </row>
    <row r="80">
      <c r="B80" s="53" t="s">
        <v>170</v>
      </c>
      <c r="C80" s="56"/>
      <c r="D80" s="56"/>
      <c r="E80" s="56"/>
      <c r="F80" s="56"/>
      <c r="G80" s="56"/>
      <c r="H80" s="59">
        <v>-0.02</v>
      </c>
      <c r="I80" s="53"/>
      <c r="J80" s="53"/>
    </row>
    <row r="81">
      <c r="B81" s="53" t="s">
        <v>171</v>
      </c>
      <c r="C81" s="56"/>
      <c r="D81" s="56"/>
      <c r="E81" s="56"/>
      <c r="F81" s="56"/>
      <c r="G81" s="56"/>
      <c r="H81" s="59">
        <v>0.005</v>
      </c>
      <c r="I81" s="53"/>
      <c r="J81" s="53"/>
    </row>
    <row r="82">
      <c r="B82" s="53" t="s">
        <v>172</v>
      </c>
      <c r="C82" s="56"/>
      <c r="D82" s="56"/>
      <c r="E82" s="56"/>
      <c r="F82" s="56"/>
      <c r="G82" s="56"/>
      <c r="H82" s="59">
        <v>-0.015</v>
      </c>
      <c r="I82" s="53"/>
      <c r="J82" s="53"/>
    </row>
    <row r="83">
      <c r="B83" s="53" t="s">
        <v>173</v>
      </c>
      <c r="C83" s="56"/>
      <c r="D83" s="56"/>
      <c r="E83" s="56"/>
      <c r="F83" s="56"/>
      <c r="G83" s="56"/>
      <c r="H83" s="59">
        <v>-0.01</v>
      </c>
      <c r="I83" s="53"/>
      <c r="J83" s="53"/>
    </row>
    <row r="84">
      <c r="B84" s="53"/>
      <c r="C84" s="52"/>
      <c r="D84" s="52"/>
      <c r="E84" s="52"/>
      <c r="F84" s="52"/>
      <c r="G84" s="52"/>
      <c r="H84" s="54"/>
      <c r="I84" s="53"/>
      <c r="J84" s="53"/>
    </row>
    <row r="85">
      <c r="B85" s="53"/>
      <c r="C85" s="52"/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/>
      <c r="C89" s="52"/>
      <c r="D89" s="52"/>
      <c r="E89" s="52"/>
      <c r="F89" s="52"/>
      <c r="G89" s="52"/>
      <c r="H89" s="54"/>
      <c r="I89" s="53"/>
      <c r="J89" s="53"/>
    </row>
    <row r="90">
      <c r="B90" s="53"/>
      <c r="C90" s="52"/>
      <c r="D90" s="52"/>
      <c r="E90" s="52"/>
      <c r="F90" s="52"/>
      <c r="G90" s="52"/>
      <c r="H90" s="54"/>
      <c r="I90" s="53"/>
      <c r="J90" s="53"/>
    </row>
    <row r="91">
      <c r="B91" s="53"/>
      <c r="C91" s="52"/>
      <c r="D91" s="52"/>
      <c r="E91" s="52"/>
      <c r="F91" s="52"/>
      <c r="G91" s="52"/>
      <c r="H91" s="54"/>
      <c r="I91" s="53"/>
      <c r="J91" s="53"/>
    </row>
    <row r="92">
      <c r="B92" s="53" t="s">
        <v>174</v>
      </c>
      <c r="C92" s="61">
        <v>100</v>
      </c>
      <c r="D92" s="52"/>
      <c r="E92" s="52"/>
      <c r="F92" s="52"/>
      <c r="G92" s="52"/>
      <c r="H92" s="54">
        <f>C92</f>
        <v>100</v>
      </c>
      <c r="I92" s="53"/>
      <c r="J92" s="53"/>
    </row>
    <row r="93">
      <c r="B93" s="53" t="s">
        <v>175</v>
      </c>
      <c r="C93" s="52"/>
      <c r="D93" s="52"/>
      <c r="E93" s="52"/>
      <c r="F93" s="52"/>
      <c r="G93" s="52"/>
      <c r="H93" s="54">
        <f>H92-C92</f>
        <v>0</v>
      </c>
      <c r="I93" s="53"/>
      <c r="J93" s="53"/>
    </row>
    <row r="94">
      <c r="B94" s="53" t="s">
        <v>176</v>
      </c>
      <c r="C94" s="52"/>
      <c r="D94" s="52"/>
      <c r="E94" s="52"/>
      <c r="F94" s="52"/>
      <c r="G94" s="52"/>
      <c r="H94" s="54" t="str">
        <f>IF(COUNT(G92)=0,"n.a.",H92-G92)</f>
        <v>n.a.</v>
      </c>
      <c r="I94" s="53"/>
      <c r="J94" s="53"/>
    </row>
    <row r="95">
      <c r="B95" s="53" t="s">
        <v>177</v>
      </c>
      <c r="C95" s="61">
        <v>0</v>
      </c>
      <c r="D95" s="52"/>
      <c r="E95" s="52"/>
      <c r="F95" s="52"/>
      <c r="G95" s="52"/>
      <c r="H95" s="76">
        <v>0</v>
      </c>
      <c r="I95" s="53"/>
      <c r="J95" s="53"/>
    </row>
    <row r="96">
      <c r="B96" s="53" t="s">
        <v>178</v>
      </c>
      <c r="C96" s="52"/>
      <c r="D96" s="52"/>
      <c r="E96" s="52"/>
      <c r="F96" s="52"/>
      <c r="G96" s="52"/>
      <c r="H96" s="54">
        <f>H95-C95</f>
        <v>0</v>
      </c>
      <c r="I96" s="53"/>
      <c r="J96" s="53"/>
    </row>
    <row r="97">
      <c r="B97" s="53" t="s">
        <v>179</v>
      </c>
      <c r="C97" s="52"/>
      <c r="D97" s="52"/>
      <c r="E97" s="52"/>
      <c r="F97" s="52"/>
      <c r="G97" s="52"/>
      <c r="H97" s="54" t="str">
        <f>IF(COUNT(G95)=0,"n.a.",H95-G95)</f>
        <v>n.a.</v>
      </c>
      <c r="I97" s="53"/>
      <c r="J97" s="53"/>
    </row>
    <row r="98">
      <c r="B98" s="53" t="s">
        <v>180</v>
      </c>
      <c r="C98" s="61">
        <v>0</v>
      </c>
      <c r="D98" s="52"/>
      <c r="E98" s="52"/>
      <c r="F98" s="52"/>
      <c r="G98" s="52"/>
      <c r="H98" s="76">
        <v>1</v>
      </c>
      <c r="I98" s="53"/>
      <c r="J98" s="53"/>
    </row>
    <row r="99">
      <c r="B99" s="53" t="s">
        <v>181</v>
      </c>
      <c r="C99" s="52"/>
      <c r="D99" s="52"/>
      <c r="E99" s="52"/>
      <c r="F99" s="52"/>
      <c r="G99" s="52"/>
      <c r="H99" s="54">
        <f>H98-C98</f>
        <v>1</v>
      </c>
      <c r="I99" s="53"/>
      <c r="J99" s="53"/>
    </row>
    <row r="100">
      <c r="B100" s="53" t="s">
        <v>182</v>
      </c>
      <c r="C100" s="52"/>
      <c r="D100" s="52"/>
      <c r="E100" s="52"/>
      <c r="F100" s="52"/>
      <c r="G100" s="52"/>
      <c r="H100" s="54" t="str">
        <f>IF(COUNT(G98)=0,"n.a.",H98-G98)</f>
        <v>n.a.</v>
      </c>
      <c r="I100" s="53"/>
      <c r="J100" s="53"/>
    </row>
    <row r="101">
      <c r="B101" s="53" t="s">
        <v>183</v>
      </c>
      <c r="C101" s="55">
        <v>0</v>
      </c>
      <c r="D101" s="62"/>
      <c r="E101" s="62"/>
      <c r="F101" s="62"/>
      <c r="G101" s="62"/>
      <c r="H101" s="70">
        <f>H95-H98</f>
        <v>-1</v>
      </c>
      <c r="I101" s="53"/>
      <c r="J101" s="53"/>
    </row>
    <row r="102">
      <c r="B102" s="53" t="s">
        <v>184</v>
      </c>
      <c r="C102" s="52"/>
      <c r="D102" s="52"/>
      <c r="E102" s="52"/>
      <c r="F102" s="52"/>
      <c r="G102" s="52"/>
      <c r="H102" s="54">
        <f>H101-C101</f>
        <v>-1</v>
      </c>
      <c r="I102" s="53"/>
      <c r="J102" s="53"/>
    </row>
    <row r="103">
      <c r="B103" s="53" t="s">
        <v>185</v>
      </c>
      <c r="C103" s="52"/>
      <c r="D103" s="52"/>
      <c r="E103" s="52"/>
      <c r="F103" s="52"/>
      <c r="G103" s="52"/>
      <c r="H103" s="54" t="str">
        <f>IF(COUNT(G101)=0,"n.a.",H101-G101)</f>
        <v>n.a.</v>
      </c>
      <c r="I103" s="53"/>
      <c r="J103" s="53"/>
    </row>
    <row r="104">
      <c r="B104" s="53" t="s">
        <v>186</v>
      </c>
      <c r="C104" s="55">
        <v>100</v>
      </c>
      <c r="D104" s="62"/>
      <c r="E104" s="62"/>
      <c r="F104" s="62"/>
      <c r="G104" s="62"/>
      <c r="H104" s="70">
        <f>H92+H101</f>
        <v>99</v>
      </c>
      <c r="I104" s="53"/>
      <c r="J104" s="53"/>
    </row>
    <row r="105">
      <c r="B105" s="53" t="s">
        <v>187</v>
      </c>
      <c r="C105" s="56"/>
      <c r="D105" s="56"/>
      <c r="E105" s="56"/>
      <c r="F105" s="56"/>
      <c r="G105" s="56"/>
      <c r="H105" s="69">
        <f>H104/C104-1</f>
        <v>-0.010000000000000009</v>
      </c>
      <c r="I105" s="53"/>
      <c r="J105" s="53"/>
    </row>
    <row r="106">
      <c r="B106" s="53" t="s">
        <v>188</v>
      </c>
      <c r="C106" s="52"/>
      <c r="D106" s="52"/>
      <c r="E106" s="52"/>
      <c r="F106" s="52"/>
      <c r="G106" s="52"/>
      <c r="H106" s="54" t="str">
        <f>IF(COUNT(G104)=0,"n.a.",H104-G104)</f>
        <v>n.a.</v>
      </c>
      <c r="I106" s="53"/>
      <c r="J106" s="53"/>
    </row>
    <row r="107">
      <c r="B107" s="53" t="s">
        <v>189</v>
      </c>
      <c r="C107" s="55">
        <v>100</v>
      </c>
      <c r="D107" s="62"/>
      <c r="E107" s="62"/>
      <c r="F107" s="62"/>
      <c r="G107" s="62"/>
      <c r="H107" s="70">
        <f>AVERAGE(H92,H104)</f>
        <v>99.5</v>
      </c>
      <c r="I107" s="53"/>
      <c r="J107" s="53"/>
    </row>
    <row r="108">
      <c r="B108" s="53" t="s">
        <v>190</v>
      </c>
      <c r="C108" s="56"/>
      <c r="D108" s="56"/>
      <c r="E108" s="56"/>
      <c r="F108" s="56"/>
      <c r="G108" s="56"/>
      <c r="H108" s="69">
        <f>H107/C107-1</f>
        <v>-0.0050000000000000044</v>
      </c>
      <c r="I108" s="53"/>
      <c r="J108" s="53"/>
    </row>
    <row r="109">
      <c r="B109" s="53" t="s">
        <v>191</v>
      </c>
      <c r="C109" s="52"/>
      <c r="D109" s="52"/>
      <c r="E109" s="52"/>
      <c r="F109" s="52"/>
      <c r="G109" s="52"/>
      <c r="H109" s="54" t="str">
        <f>IF(COUNT(G107)=0,"n.a.",H107-G107)</f>
        <v>n.a.</v>
      </c>
      <c r="I109" s="53"/>
      <c r="J109" s="53"/>
    </row>
    <row r="110">
      <c r="B110" s="53" t="s">
        <v>192</v>
      </c>
      <c r="C110" s="64">
        <v>0</v>
      </c>
      <c r="D110" s="56"/>
      <c r="E110" s="56"/>
      <c r="F110" s="56"/>
      <c r="G110" s="56"/>
      <c r="H110" s="69">
        <f>IFERROR(H98/H92,0)</f>
        <v>0.01</v>
      </c>
      <c r="I110" s="53"/>
      <c r="J110" s="53"/>
    </row>
    <row r="111">
      <c r="B111" s="53" t="s">
        <v>193</v>
      </c>
      <c r="C111" s="52"/>
      <c r="D111" s="52"/>
      <c r="E111" s="52"/>
      <c r="F111" s="52"/>
      <c r="G111" s="52"/>
      <c r="H111" s="54">
        <f>(H110-C110)*10000</f>
        <v>100</v>
      </c>
      <c r="I111" s="53"/>
      <c r="J111" s="53"/>
    </row>
    <row r="112">
      <c r="B112" s="53"/>
      <c r="C112" s="52"/>
      <c r="D112" s="52"/>
      <c r="E112" s="52"/>
      <c r="F112" s="52"/>
      <c r="G112" s="52"/>
      <c r="H112" s="54"/>
      <c r="I112" s="53"/>
      <c r="J112" s="53"/>
    </row>
    <row r="113">
      <c r="B113" s="53"/>
      <c r="C113" s="52"/>
      <c r="D113" s="52"/>
      <c r="E113" s="52"/>
      <c r="F113" s="52"/>
      <c r="G113" s="52"/>
      <c r="H113" s="54"/>
      <c r="I113" s="53"/>
      <c r="J113" s="53"/>
    </row>
    <row r="114">
      <c r="B114" s="53"/>
      <c r="C114" s="52"/>
      <c r="D114" s="52"/>
      <c r="E114" s="52"/>
      <c r="F114" s="52"/>
      <c r="G114" s="52"/>
      <c r="H114" s="54"/>
      <c r="I114" s="53"/>
      <c r="J114" s="53"/>
    </row>
    <row r="115">
      <c r="B115" s="53" t="s">
        <v>194</v>
      </c>
      <c r="C115" s="64">
        <v>1</v>
      </c>
      <c r="D115" s="56"/>
      <c r="E115" s="56"/>
      <c r="F115" s="56"/>
      <c r="G115" s="56"/>
      <c r="H115" s="69">
        <f>H66/H63</f>
        <v>0.99</v>
      </c>
      <c r="I115" s="53"/>
      <c r="J115" s="53"/>
    </row>
    <row r="116">
      <c r="B116" s="53" t="s">
        <v>195</v>
      </c>
      <c r="C116" s="52"/>
      <c r="D116" s="52"/>
      <c r="E116" s="52"/>
      <c r="F116" s="52"/>
      <c r="G116" s="52"/>
      <c r="H116" s="54">
        <f>(H115-C115)*10000</f>
        <v>-100.00000000000009</v>
      </c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 t="s">
        <v>196</v>
      </c>
      <c r="C118" s="61">
        <v>100</v>
      </c>
      <c r="D118" s="52"/>
      <c r="E118" s="52"/>
      <c r="F118" s="52"/>
      <c r="G118" s="52"/>
      <c r="H118" s="54">
        <f>H115*H69</f>
        <v>101.20000000000002</v>
      </c>
      <c r="I118" s="53"/>
      <c r="J118" s="53"/>
    </row>
    <row r="119">
      <c r="B119" s="53" t="s">
        <v>197</v>
      </c>
      <c r="C119" s="56"/>
      <c r="D119" s="56"/>
      <c r="E119" s="56"/>
      <c r="F119" s="56"/>
      <c r="G119" s="56"/>
      <c r="H119" s="69">
        <f>H118/C118-1</f>
        <v>0.012000000000000233</v>
      </c>
      <c r="I119" s="53"/>
      <c r="J119" s="53"/>
    </row>
    <row r="120">
      <c r="B120" s="53" t="s">
        <v>198</v>
      </c>
      <c r="C120" s="52"/>
      <c r="D120" s="52"/>
      <c r="E120" s="52"/>
      <c r="F120" s="52"/>
      <c r="G120" s="52"/>
      <c r="H120" s="54" t="str">
        <f>IF(COUNT(G118)=0,"n.a.",H118-G118)</f>
        <v>n.a.</v>
      </c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 t="s">
        <v>199</v>
      </c>
      <c r="C122" s="61">
        <v>100</v>
      </c>
      <c r="D122" s="52"/>
      <c r="E122" s="52"/>
      <c r="F122" s="52"/>
      <c r="G122" s="52"/>
      <c r="H122" s="76">
        <v>97.42268041237114</v>
      </c>
      <c r="I122" s="53"/>
      <c r="J122" s="53"/>
    </row>
    <row r="123">
      <c r="B123" s="53" t="s">
        <v>200</v>
      </c>
      <c r="C123" s="56"/>
      <c r="D123" s="56"/>
      <c r="E123" s="56"/>
      <c r="F123" s="56"/>
      <c r="G123" s="56"/>
      <c r="H123" s="69">
        <f>H122/C122-1</f>
        <v>-0.02577319587628868</v>
      </c>
      <c r="I123" s="53"/>
      <c r="J123" s="53"/>
    </row>
    <row r="124">
      <c r="B124" s="53" t="s">
        <v>201</v>
      </c>
      <c r="C124" s="52"/>
      <c r="D124" s="52"/>
      <c r="E124" s="52"/>
      <c r="F124" s="52"/>
      <c r="G124" s="52"/>
      <c r="H124" s="54" t="str">
        <f>IF(COUNT(G122)=0,"n.a.",H122-G122)</f>
        <v>n.a.</v>
      </c>
      <c r="I124" s="53"/>
      <c r="J124" s="53"/>
    </row>
    <row r="125">
      <c r="B125" s="53" t="s">
        <v>202</v>
      </c>
      <c r="C125" s="61">
        <v>100</v>
      </c>
      <c r="D125" s="52"/>
      <c r="E125" s="52"/>
      <c r="F125" s="52"/>
      <c r="G125" s="52"/>
      <c r="H125" s="76">
        <v>97.22772277227725</v>
      </c>
      <c r="I125" s="53"/>
      <c r="J125" s="53"/>
    </row>
    <row r="126">
      <c r="B126" s="53" t="s">
        <v>200</v>
      </c>
      <c r="C126" s="56"/>
      <c r="D126" s="56"/>
      <c r="E126" s="56"/>
      <c r="F126" s="56"/>
      <c r="G126" s="56"/>
      <c r="H126" s="69">
        <f>H125/C125-1</f>
        <v>-0.027722772277227525</v>
      </c>
      <c r="I126" s="53"/>
      <c r="J126" s="53"/>
    </row>
    <row r="127">
      <c r="B127" s="53" t="s">
        <v>201</v>
      </c>
      <c r="C127" s="52"/>
      <c r="D127" s="52"/>
      <c r="E127" s="52"/>
      <c r="F127" s="52"/>
      <c r="G127" s="52"/>
      <c r="H127" s="54" t="str">
        <f>IF(COUNT(G125)=0,"n.a.",H125-G125)</f>
        <v>n.a.</v>
      </c>
      <c r="I127" s="53"/>
      <c r="J127" s="53"/>
    </row>
    <row r="128">
      <c r="B128" s="53" t="s">
        <v>203</v>
      </c>
      <c r="C128" s="61">
        <v>100</v>
      </c>
      <c r="D128" s="52"/>
      <c r="E128" s="52"/>
      <c r="F128" s="52"/>
      <c r="G128" s="52"/>
      <c r="H128" s="76">
        <v>96</v>
      </c>
      <c r="I128" s="53"/>
      <c r="J128" s="53"/>
    </row>
    <row r="129">
      <c r="B129" s="53" t="s">
        <v>200</v>
      </c>
      <c r="C129" s="56"/>
      <c r="D129" s="56"/>
      <c r="E129" s="56"/>
      <c r="F129" s="56"/>
      <c r="G129" s="56"/>
      <c r="H129" s="69">
        <f>H128/C128-1</f>
        <v>-0.040000000000000036</v>
      </c>
      <c r="I129" s="53"/>
      <c r="J129" s="53"/>
    </row>
    <row r="130">
      <c r="B130" s="53" t="s">
        <v>201</v>
      </c>
      <c r="C130" s="52"/>
      <c r="D130" s="52"/>
      <c r="E130" s="52"/>
      <c r="F130" s="52"/>
      <c r="G130" s="52"/>
      <c r="H130" s="54" t="str">
        <f>IF(COUNT(G128)=0,"n.a.",H128-G128)</f>
        <v>n.a.</v>
      </c>
      <c r="I130" s="53"/>
      <c r="J130" s="53"/>
    </row>
    <row r="131">
      <c r="B131" s="53" t="s">
        <v>204</v>
      </c>
      <c r="C131" s="61">
        <v>100</v>
      </c>
      <c r="D131" s="52"/>
      <c r="E131" s="52"/>
      <c r="F131" s="52"/>
      <c r="G131" s="52"/>
      <c r="H131" s="76">
        <v>97.5</v>
      </c>
      <c r="I131" s="53"/>
      <c r="J131" s="53"/>
    </row>
    <row r="132">
      <c r="B132" s="53" t="s">
        <v>200</v>
      </c>
      <c r="C132" s="56"/>
      <c r="D132" s="56"/>
      <c r="E132" s="56"/>
      <c r="F132" s="56"/>
      <c r="G132" s="56"/>
      <c r="H132" s="69">
        <f>H131/C131-1</f>
        <v>-0.025000000000000022</v>
      </c>
      <c r="I132" s="53"/>
      <c r="J132" s="53"/>
    </row>
    <row r="133">
      <c r="B133" s="53" t="s">
        <v>201</v>
      </c>
      <c r="C133" s="52"/>
      <c r="D133" s="52"/>
      <c r="E133" s="52"/>
      <c r="F133" s="52"/>
      <c r="G133" s="52"/>
      <c r="H133" s="54" t="str">
        <f>IF(COUNT(G131)=0,"n.a.",H131-G131)</f>
        <v>n.a.</v>
      </c>
      <c r="I133" s="53"/>
      <c r="J133" s="53"/>
    </row>
    <row r="134">
      <c r="B134" s="53" t="s">
        <v>205</v>
      </c>
      <c r="C134" s="61">
        <v>100</v>
      </c>
      <c r="D134" s="52"/>
      <c r="E134" s="52"/>
      <c r="F134" s="52"/>
      <c r="G134" s="52"/>
      <c r="H134" s="76">
        <v>100.5</v>
      </c>
      <c r="I134" s="53"/>
      <c r="J134" s="53"/>
    </row>
    <row r="135">
      <c r="B135" s="53" t="s">
        <v>200</v>
      </c>
      <c r="C135" s="56"/>
      <c r="D135" s="56"/>
      <c r="E135" s="56"/>
      <c r="F135" s="56"/>
      <c r="G135" s="56"/>
      <c r="H135" s="69">
        <f>H134/C134-1</f>
        <v>0.004999999999999893</v>
      </c>
      <c r="I135" s="53"/>
      <c r="J135" s="53"/>
    </row>
    <row r="136">
      <c r="B136" s="53" t="s">
        <v>201</v>
      </c>
      <c r="C136" s="52"/>
      <c r="D136" s="52"/>
      <c r="E136" s="52"/>
      <c r="F136" s="52"/>
      <c r="G136" s="52"/>
      <c r="H136" s="54" t="str">
        <f>IF(COUNT(G134)=0,"n.a.",H134-G134)</f>
        <v>n.a.</v>
      </c>
      <c r="I136" s="53"/>
      <c r="J136" s="53"/>
    </row>
    <row r="137">
      <c r="B137" s="53" t="s">
        <v>206</v>
      </c>
      <c r="C137" s="61">
        <v>100</v>
      </c>
      <c r="D137" s="52"/>
      <c r="E137" s="52"/>
      <c r="F137" s="52"/>
      <c r="G137" s="52"/>
      <c r="H137" s="76">
        <v>98.5</v>
      </c>
      <c r="I137" s="53"/>
      <c r="J137" s="53"/>
    </row>
    <row r="138">
      <c r="B138" s="53" t="s">
        <v>200</v>
      </c>
      <c r="C138" s="56"/>
      <c r="D138" s="56"/>
      <c r="E138" s="56"/>
      <c r="F138" s="56"/>
      <c r="G138" s="56"/>
      <c r="H138" s="69">
        <f>H137/C137-1</f>
        <v>-0.015000000000000013</v>
      </c>
      <c r="I138" s="53"/>
      <c r="J138" s="53"/>
    </row>
    <row r="139">
      <c r="B139" s="53" t="s">
        <v>201</v>
      </c>
      <c r="C139" s="52"/>
      <c r="D139" s="52"/>
      <c r="E139" s="52"/>
      <c r="F139" s="52"/>
      <c r="G139" s="52"/>
      <c r="H139" s="54" t="str">
        <f>IF(COUNT(G137)=0,"n.a.",H137-G137)</f>
        <v>n.a.</v>
      </c>
      <c r="I139" s="53"/>
      <c r="J139" s="53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3" customWidth="1"/>
    <col min="10" max="10" width="18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207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>
      <c r="B9" s="53"/>
      <c r="C9" s="52"/>
      <c r="D9" s="52"/>
      <c r="E9" s="52"/>
      <c r="F9" s="52"/>
      <c r="G9" s="52"/>
      <c r="H9" s="54"/>
      <c r="I9" s="53"/>
      <c r="J9" s="53"/>
    </row>
    <row r="10">
      <c r="B10" s="53" t="s">
        <v>208</v>
      </c>
      <c r="C10" s="57">
        <f>D10-Inputs!C115</f>
        <v>0.08600000000000002</v>
      </c>
      <c r="D10" s="61">
        <v>0.435</v>
      </c>
      <c r="E10" s="61">
        <v>0.08</v>
      </c>
      <c r="F10" s="61">
        <v>0.042</v>
      </c>
      <c r="G10" s="61">
        <v>0.082</v>
      </c>
      <c r="H10" s="54">
        <f>C10*(H30/C30)*(H33/C33)</f>
        <v>0.08600000000000002</v>
      </c>
      <c r="I10" s="53"/>
      <c r="J10" s="53"/>
    </row>
    <row r="11">
      <c r="B11" s="53" t="s">
        <v>209</v>
      </c>
      <c r="C11" s="56"/>
      <c r="D11" s="56"/>
      <c r="E11" s="56"/>
      <c r="F11" s="56"/>
      <c r="G11" s="56"/>
      <c r="H11" s="69">
        <f>(1+H14)/((1+H12)*(1+H13))-1</f>
        <v>0</v>
      </c>
      <c r="I11" s="53"/>
      <c r="J11" s="53"/>
    </row>
    <row r="12">
      <c r="B12" s="53" t="s">
        <v>210</v>
      </c>
      <c r="C12" s="56"/>
      <c r="D12" s="56"/>
      <c r="E12" s="56"/>
      <c r="F12" s="56"/>
      <c r="G12" s="56"/>
      <c r="H12" s="59">
        <v>0</v>
      </c>
      <c r="I12" s="53"/>
      <c r="J12" s="53"/>
    </row>
    <row r="13">
      <c r="B13" s="53" t="s">
        <v>211</v>
      </c>
      <c r="C13" s="56"/>
      <c r="D13" s="56"/>
      <c r="E13" s="56"/>
      <c r="F13" s="56"/>
      <c r="G13" s="56"/>
      <c r="H13" s="59">
        <v>0</v>
      </c>
      <c r="I13" s="53"/>
      <c r="J13" s="53"/>
    </row>
    <row r="14">
      <c r="B14" s="53" t="s">
        <v>61</v>
      </c>
      <c r="C14" s="56"/>
      <c r="D14" s="56"/>
      <c r="E14" s="56"/>
      <c r="F14" s="56"/>
      <c r="G14" s="56"/>
      <c r="H14" s="69">
        <f>H10/C10-1</f>
        <v>0</v>
      </c>
      <c r="I14" s="53"/>
      <c r="J14" s="53"/>
    </row>
    <row r="15">
      <c r="B15" s="65" t="s">
        <v>212</v>
      </c>
      <c r="C15" s="62">
        <f>C10</f>
        <v>0.08600000000000002</v>
      </c>
      <c r="D15" s="62">
        <f>D10</f>
        <v>0.435</v>
      </c>
      <c r="E15" s="62">
        <f>E10</f>
        <v>0.08</v>
      </c>
      <c r="F15" s="62">
        <f>F10</f>
        <v>0.042</v>
      </c>
      <c r="G15" s="62">
        <f>G10</f>
        <v>0.082</v>
      </c>
      <c r="H15" s="70">
        <f>H10</f>
        <v>0.08600000000000002</v>
      </c>
      <c r="I15" s="53"/>
      <c r="J15" s="53"/>
    </row>
    <row r="16">
      <c r="B16" s="53" t="s">
        <v>43</v>
      </c>
      <c r="C16" s="56"/>
      <c r="D16" s="56"/>
      <c r="E16" s="56"/>
      <c r="F16" s="56"/>
      <c r="G16" s="56"/>
      <c r="H16" s="69">
        <f>IFERROR(H15/C15-1,0)</f>
        <v>0</v>
      </c>
      <c r="I16" s="53"/>
      <c r="J16" s="53"/>
    </row>
    <row r="17">
      <c r="B17" s="53" t="s">
        <v>44</v>
      </c>
      <c r="C17" s="56"/>
      <c r="D17" s="56"/>
      <c r="E17" s="56"/>
      <c r="F17" s="56"/>
      <c r="G17" s="56"/>
      <c r="H17" s="69">
        <f>IFERROR(H15/G15-1,0)</f>
        <v>0.048780487804878314</v>
      </c>
      <c r="I17" s="53"/>
      <c r="J17" s="53"/>
    </row>
    <row r="18">
      <c r="B18" s="53"/>
      <c r="C18" s="52"/>
      <c r="D18" s="52"/>
      <c r="E18" s="52"/>
      <c r="F18" s="52"/>
      <c r="G18" s="52"/>
      <c r="H18" s="54"/>
      <c r="I18" s="53"/>
      <c r="J18" s="53"/>
    </row>
    <row r="19">
      <c r="B19" s="53"/>
      <c r="C19" s="52"/>
      <c r="D19" s="52"/>
      <c r="E19" s="52"/>
      <c r="F19" s="52"/>
      <c r="G19" s="52"/>
      <c r="H19" s="54"/>
      <c r="I19" s="53"/>
      <c r="J19" s="53"/>
    </row>
    <row r="20">
      <c r="B20" s="53" t="s">
        <v>213</v>
      </c>
      <c r="C20" s="57">
        <f>D20-Inputs!C99</f>
        <v>1.3020000000000005</v>
      </c>
      <c r="D20" s="61">
        <v>6.213</v>
      </c>
      <c r="E20" s="61">
        <v>1.624</v>
      </c>
      <c r="F20" s="61">
        <v>1.669</v>
      </c>
      <c r="G20" s="61">
        <v>1.475</v>
      </c>
      <c r="H20" s="54">
        <f>C20*(1+H37)</f>
        <v>1.3020000000000005</v>
      </c>
      <c r="I20" s="53"/>
      <c r="J20" s="53"/>
    </row>
    <row r="21">
      <c r="B21" s="65" t="s">
        <v>214</v>
      </c>
      <c r="C21" s="62">
        <f>C20</f>
        <v>1.3020000000000005</v>
      </c>
      <c r="D21" s="62">
        <f>D20</f>
        <v>6.213</v>
      </c>
      <c r="E21" s="62">
        <f>E20</f>
        <v>1.624</v>
      </c>
      <c r="F21" s="62">
        <f>F20</f>
        <v>1.669</v>
      </c>
      <c r="G21" s="62">
        <f>G20</f>
        <v>1.475</v>
      </c>
      <c r="H21" s="70">
        <f>H20</f>
        <v>1.3020000000000005</v>
      </c>
      <c r="I21" s="53"/>
      <c r="J21" s="53"/>
    </row>
    <row r="22">
      <c r="B22" s="53" t="s">
        <v>215</v>
      </c>
      <c r="C22" s="61">
        <v>0</v>
      </c>
      <c r="D22" s="61">
        <v>24.404</v>
      </c>
      <c r="E22" s="61">
        <v>13.02</v>
      </c>
      <c r="F22" s="61">
        <v>-1.962</v>
      </c>
      <c r="G22" s="61">
        <v>0.4</v>
      </c>
      <c r="H22" s="54">
        <f>C22</f>
        <v>0</v>
      </c>
      <c r="I22" s="53"/>
      <c r="J22" s="53"/>
    </row>
    <row r="23">
      <c r="B23" s="65" t="s">
        <v>216</v>
      </c>
      <c r="C23" s="62">
        <f>C15-C21+C22</f>
        <v>-1.2160000000000004</v>
      </c>
      <c r="D23" s="62">
        <f>D15-D21+D22</f>
        <v>18.625999999999998</v>
      </c>
      <c r="E23" s="62">
        <f>E15-E21+E22</f>
        <v>11.475999999999999</v>
      </c>
      <c r="F23" s="62">
        <f>F15-F21+F22</f>
        <v>-3.589</v>
      </c>
      <c r="G23" s="62">
        <f>G15-G21+G22</f>
        <v>-0.993</v>
      </c>
      <c r="H23" s="70">
        <f>H15-H21+H22</f>
        <v>-1.2160000000000004</v>
      </c>
      <c r="I23" s="53"/>
      <c r="J23" s="53"/>
    </row>
    <row r="24">
      <c r="B24" s="53" t="s">
        <v>149</v>
      </c>
      <c r="C24" s="56">
        <f>IFERROR(C23/C15,0)</f>
        <v>-14.139534883720932</v>
      </c>
      <c r="D24" s="56">
        <f>IFERROR(D23/D15,0)</f>
        <v>42.8183908045977</v>
      </c>
      <c r="E24" s="56">
        <f>IFERROR(E23/E15,0)</f>
        <v>143.45</v>
      </c>
      <c r="F24" s="56">
        <f>IFERROR(F23/F15,0)</f>
        <v>-85.45238095238095</v>
      </c>
      <c r="G24" s="56">
        <f>IFERROR(G23/G15,0)</f>
        <v>-12.109756097560975</v>
      </c>
      <c r="H24" s="69">
        <f>IFERROR(H23/H15,0)</f>
        <v>-14.139534883720932</v>
      </c>
      <c r="I24" s="53"/>
      <c r="J24" s="53"/>
    </row>
    <row r="25">
      <c r="B25" s="53" t="s">
        <v>150</v>
      </c>
      <c r="C25" s="52"/>
      <c r="D25" s="52"/>
      <c r="E25" s="52"/>
      <c r="F25" s="52"/>
      <c r="G25" s="52"/>
      <c r="H25" s="54">
        <f>(H24-C24)*10000</f>
        <v>0</v>
      </c>
      <c r="I25" s="53"/>
      <c r="J25" s="53"/>
    </row>
    <row r="26">
      <c r="B26" s="53"/>
      <c r="C26" s="52"/>
      <c r="D26" s="52"/>
      <c r="E26" s="52"/>
      <c r="F26" s="52"/>
      <c r="G26" s="52"/>
      <c r="H26" s="54"/>
      <c r="I26" s="53"/>
      <c r="J26" s="53"/>
    </row>
    <row r="27">
      <c r="B27" s="53" t="s">
        <v>217</v>
      </c>
      <c r="C27" s="61">
        <v>87.853</v>
      </c>
      <c r="D27" s="61">
        <v>87.853</v>
      </c>
      <c r="E27" s="61">
        <v>85.222</v>
      </c>
      <c r="F27" s="61">
        <v>76.317</v>
      </c>
      <c r="G27" s="61">
        <v>76.439</v>
      </c>
      <c r="H27" s="54">
        <f>G27+H38</f>
        <v>76.439</v>
      </c>
      <c r="I27" s="53"/>
      <c r="J27" s="53"/>
    </row>
    <row r="28">
      <c r="B28" s="53" t="s">
        <v>218</v>
      </c>
      <c r="C28" s="89"/>
      <c r="D28" s="89"/>
      <c r="E28" s="89"/>
      <c r="F28" s="89"/>
      <c r="G28" s="89"/>
      <c r="H28" s="80">
        <f>H27-C27</f>
        <v>-11.414000000000001</v>
      </c>
      <c r="I28" s="53"/>
      <c r="J28" s="53"/>
    </row>
    <row r="29">
      <c r="B29" s="53" t="s">
        <v>219</v>
      </c>
      <c r="C29" s="52"/>
      <c r="D29" s="52"/>
      <c r="E29" s="52"/>
      <c r="F29" s="52"/>
      <c r="G29" s="52"/>
      <c r="H29" s="54">
        <f>H27-G27</f>
        <v>0</v>
      </c>
      <c r="I29" s="53"/>
      <c r="J29" s="53"/>
    </row>
    <row r="30">
      <c r="B30" s="53" t="s">
        <v>220</v>
      </c>
      <c r="C30" s="61">
        <v>100</v>
      </c>
      <c r="D30" s="52"/>
      <c r="E30" s="52"/>
      <c r="F30" s="52"/>
      <c r="G30" s="52"/>
      <c r="H30" s="76">
        <v>100</v>
      </c>
      <c r="I30" s="53"/>
      <c r="J30" s="53"/>
    </row>
    <row r="31">
      <c r="B31" s="53" t="s">
        <v>221</v>
      </c>
      <c r="C31" s="56"/>
      <c r="D31" s="56"/>
      <c r="E31" s="56"/>
      <c r="F31" s="56"/>
      <c r="G31" s="56"/>
      <c r="H31" s="69">
        <f>H30/C30-1</f>
        <v>0</v>
      </c>
      <c r="I31" s="53"/>
      <c r="J31" s="53"/>
    </row>
    <row r="32">
      <c r="B32" s="53" t="s">
        <v>222</v>
      </c>
      <c r="C32" s="52"/>
      <c r="D32" s="52"/>
      <c r="E32" s="52"/>
      <c r="F32" s="52"/>
      <c r="G32" s="52"/>
      <c r="H32" s="54" t="str">
        <f>IF(COUNT(G30)=0,"n.a.",H30-G30)</f>
        <v>n.a.</v>
      </c>
      <c r="I32" s="53"/>
      <c r="J32" s="53"/>
    </row>
    <row r="33">
      <c r="B33" s="53" t="s">
        <v>223</v>
      </c>
      <c r="C33" s="61">
        <v>100</v>
      </c>
      <c r="D33" s="52"/>
      <c r="E33" s="52"/>
      <c r="F33" s="52"/>
      <c r="G33" s="52"/>
      <c r="H33" s="76">
        <v>100</v>
      </c>
      <c r="I33" s="53"/>
      <c r="J33" s="53"/>
    </row>
    <row r="34">
      <c r="B34" s="53" t="s">
        <v>224</v>
      </c>
      <c r="C34" s="56"/>
      <c r="D34" s="56"/>
      <c r="E34" s="56"/>
      <c r="F34" s="56"/>
      <c r="G34" s="56"/>
      <c r="H34" s="69">
        <f>H33/C33-1</f>
        <v>0</v>
      </c>
      <c r="I34" s="53"/>
      <c r="J34" s="53"/>
    </row>
    <row r="35">
      <c r="B35" s="53" t="s">
        <v>225</v>
      </c>
      <c r="C35" s="52"/>
      <c r="D35" s="52"/>
      <c r="E35" s="52"/>
      <c r="F35" s="52"/>
      <c r="G35" s="52"/>
      <c r="H35" s="54" t="str">
        <f>IF(COUNT(G33)=0,"n.a.",H33-G33)</f>
        <v>n.a.</v>
      </c>
      <c r="I35" s="53"/>
      <c r="J35" s="53"/>
    </row>
    <row r="36">
      <c r="B36" s="53"/>
      <c r="C36" s="52"/>
      <c r="D36" s="52"/>
      <c r="E36" s="52"/>
      <c r="F36" s="52"/>
      <c r="G36" s="52"/>
      <c r="H36" s="54"/>
      <c r="I36" s="53"/>
      <c r="J36" s="53"/>
    </row>
    <row r="37">
      <c r="B37" s="53" t="s">
        <v>226</v>
      </c>
      <c r="C37" s="56"/>
      <c r="D37" s="56"/>
      <c r="E37" s="56"/>
      <c r="F37" s="56"/>
      <c r="G37" s="56"/>
      <c r="H37" s="59">
        <v>0</v>
      </c>
      <c r="I37" s="53"/>
      <c r="J37" s="53"/>
    </row>
    <row r="38">
      <c r="B38" s="53" t="s">
        <v>227</v>
      </c>
      <c r="C38" s="52"/>
      <c r="D38" s="52"/>
      <c r="E38" s="52"/>
      <c r="F38" s="52"/>
      <c r="G38" s="52"/>
      <c r="H38" s="76">
        <v>0</v>
      </c>
      <c r="I38" s="53"/>
      <c r="J38" s="53"/>
    </row>
    <row r="39">
      <c r="B39" s="53"/>
      <c r="C39" s="52"/>
      <c r="D39" s="52"/>
      <c r="E39" s="52"/>
      <c r="F39" s="52"/>
      <c r="G39" s="52"/>
      <c r="H39" s="54"/>
      <c r="I39" s="53"/>
      <c r="J39" s="53"/>
    </row>
    <row r="40">
      <c r="B40" s="53"/>
      <c r="C40" s="52"/>
      <c r="D40" s="52"/>
      <c r="E40" s="52"/>
      <c r="F40" s="52"/>
      <c r="G40" s="52"/>
      <c r="H40" s="54"/>
      <c r="I40" s="53"/>
      <c r="J40" s="53"/>
    </row>
    <row r="41">
      <c r="B41" s="53"/>
      <c r="C41" s="52"/>
      <c r="D41" s="52"/>
      <c r="E41" s="52"/>
      <c r="F41" s="52"/>
      <c r="G41" s="52"/>
      <c r="H41" s="54"/>
      <c r="I41" s="53"/>
      <c r="J41" s="53"/>
    </row>
    <row r="42">
      <c r="B42" s="53"/>
      <c r="C42" s="52"/>
      <c r="D42" s="52"/>
      <c r="E42" s="52"/>
      <c r="F42" s="52"/>
      <c r="G42" s="52"/>
      <c r="H42" s="54"/>
      <c r="I42" s="53"/>
      <c r="J42" s="53"/>
    </row>
    <row r="43">
      <c r="B43" s="53"/>
      <c r="C43" s="52"/>
      <c r="D43" s="52"/>
      <c r="E43" s="52"/>
      <c r="F43" s="52"/>
      <c r="G43" s="52"/>
      <c r="H43" s="54"/>
      <c r="I43" s="53"/>
      <c r="J43" s="53"/>
    </row>
    <row r="44">
      <c r="B44" s="53"/>
      <c r="C44" s="52"/>
      <c r="D44" s="52"/>
      <c r="E44" s="52"/>
      <c r="F44" s="52"/>
      <c r="G44" s="52"/>
      <c r="H44" s="54"/>
      <c r="I44" s="53"/>
      <c r="J44" s="53"/>
    </row>
    <row r="45">
      <c r="B45" s="53"/>
      <c r="C45" s="52"/>
      <c r="D45" s="52"/>
      <c r="E45" s="52"/>
      <c r="F45" s="52"/>
      <c r="G45" s="52"/>
      <c r="H45" s="54"/>
      <c r="I45" s="53"/>
      <c r="J45" s="53"/>
    </row>
    <row r="46">
      <c r="B46" s="53"/>
      <c r="C46" s="52"/>
      <c r="D46" s="52"/>
      <c r="E46" s="52"/>
      <c r="F46" s="52"/>
      <c r="G46" s="52"/>
      <c r="H46" s="54"/>
      <c r="I46" s="53"/>
      <c r="J46" s="53"/>
    </row>
    <row r="47">
      <c r="B47" s="53"/>
      <c r="C47" s="52"/>
      <c r="D47" s="52"/>
      <c r="E47" s="52"/>
      <c r="F47" s="52"/>
      <c r="G47" s="52"/>
      <c r="H47" s="54"/>
      <c r="I47" s="53"/>
      <c r="J47" s="53"/>
    </row>
    <row r="48">
      <c r="B48" s="53"/>
      <c r="C48" s="52"/>
      <c r="D48" s="52"/>
      <c r="E48" s="52"/>
      <c r="F48" s="52"/>
      <c r="G48" s="52"/>
      <c r="H48" s="54"/>
      <c r="I48" s="53"/>
      <c r="J48" s="53"/>
    </row>
    <row r="49">
      <c r="B49" s="53"/>
      <c r="C49" s="52"/>
      <c r="D49" s="52"/>
      <c r="E49" s="52"/>
      <c r="F49" s="52"/>
      <c r="G49" s="52"/>
      <c r="H49" s="54"/>
      <c r="I49" s="53"/>
      <c r="J49" s="53"/>
    </row>
    <row r="50">
      <c r="B50" s="53"/>
      <c r="C50" s="52"/>
      <c r="D50" s="52"/>
      <c r="E50" s="52"/>
      <c r="F50" s="52"/>
      <c r="G50" s="52"/>
      <c r="H50" s="54"/>
      <c r="I50" s="53"/>
      <c r="J50" s="53"/>
    </row>
    <row r="51">
      <c r="B51" s="53"/>
      <c r="C51" s="52"/>
      <c r="D51" s="52"/>
      <c r="E51" s="52"/>
      <c r="F51" s="52"/>
      <c r="G51" s="52"/>
      <c r="H51" s="54"/>
      <c r="I51" s="53"/>
      <c r="J51" s="53"/>
    </row>
    <row r="52">
      <c r="B52" s="53"/>
      <c r="C52" s="52"/>
      <c r="D52" s="52"/>
      <c r="E52" s="52"/>
      <c r="F52" s="52"/>
      <c r="G52" s="52"/>
      <c r="H52" s="54"/>
      <c r="I52" s="53"/>
      <c r="J52" s="53"/>
    </row>
    <row r="53">
      <c r="B53" s="53"/>
      <c r="C53" s="52"/>
      <c r="D53" s="52"/>
      <c r="E53" s="52"/>
      <c r="F53" s="52"/>
      <c r="G53" s="52"/>
      <c r="H53" s="54"/>
      <c r="I53" s="53"/>
      <c r="J53" s="53"/>
    </row>
    <row r="54">
      <c r="B54" s="53"/>
      <c r="C54" s="52"/>
      <c r="D54" s="52"/>
      <c r="E54" s="52"/>
      <c r="F54" s="52"/>
      <c r="G54" s="52"/>
      <c r="H54" s="54"/>
      <c r="I54" s="53"/>
      <c r="J54" s="53"/>
    </row>
    <row r="55">
      <c r="B55" s="53"/>
      <c r="C55" s="52"/>
      <c r="D55" s="52"/>
      <c r="E55" s="52"/>
      <c r="F55" s="52"/>
      <c r="G55" s="52"/>
      <c r="H55" s="54"/>
      <c r="I55" s="53"/>
      <c r="J55" s="53"/>
    </row>
    <row r="56">
      <c r="B56" s="53"/>
      <c r="C56" s="52"/>
      <c r="D56" s="52"/>
      <c r="E56" s="52"/>
      <c r="F56" s="52"/>
      <c r="G56" s="52"/>
      <c r="H56" s="54"/>
      <c r="I56" s="53"/>
      <c r="J56" s="53"/>
    </row>
    <row r="57">
      <c r="B57" s="53"/>
      <c r="C57" s="52"/>
      <c r="D57" s="52"/>
      <c r="E57" s="52"/>
      <c r="F57" s="52"/>
      <c r="G57" s="52"/>
      <c r="H57" s="54"/>
      <c r="I57" s="53"/>
      <c r="J57" s="53"/>
    </row>
    <row r="58">
      <c r="B58" s="53"/>
      <c r="C58" s="52"/>
      <c r="D58" s="52"/>
      <c r="E58" s="52"/>
      <c r="F58" s="52"/>
      <c r="G58" s="52"/>
      <c r="H58" s="54"/>
      <c r="I58" s="53"/>
      <c r="J58" s="53"/>
    </row>
    <row r="59">
      <c r="B59" s="53"/>
      <c r="C59" s="52"/>
      <c r="D59" s="52"/>
      <c r="E59" s="52"/>
      <c r="F59" s="52"/>
      <c r="G59" s="52"/>
      <c r="H59" s="54"/>
      <c r="I59" s="53"/>
      <c r="J59" s="53"/>
    </row>
    <row r="60">
      <c r="B60" s="53"/>
      <c r="C60" s="52"/>
      <c r="D60" s="52"/>
      <c r="E60" s="52"/>
      <c r="F60" s="52"/>
      <c r="G60" s="52"/>
      <c r="H60" s="54"/>
      <c r="I60" s="53"/>
      <c r="J60" s="53"/>
    </row>
    <row r="61">
      <c r="B61" s="53"/>
      <c r="C61" s="52"/>
      <c r="D61" s="52"/>
      <c r="E61" s="52"/>
      <c r="F61" s="52"/>
      <c r="G61" s="52"/>
      <c r="H61" s="54"/>
      <c r="I61" s="53"/>
      <c r="J61" s="53" t="s">
        <v>82</v>
      </c>
    </row>
    <row r="62">
      <c r="B62" s="53"/>
      <c r="C62" s="52"/>
      <c r="D62" s="52"/>
      <c r="E62" s="52"/>
      <c r="F62" s="52"/>
      <c r="G62" s="52"/>
      <c r="H62" s="54"/>
      <c r="I62" s="53"/>
      <c r="J62" s="53"/>
    </row>
    <row r="63">
      <c r="B63" s="53"/>
      <c r="C63" s="52"/>
      <c r="D63" s="52"/>
      <c r="E63" s="52"/>
      <c r="F63" s="52"/>
      <c r="G63" s="52"/>
      <c r="H63" s="54"/>
      <c r="I63" s="53"/>
      <c r="J63" s="53"/>
    </row>
    <row r="64">
      <c r="B64" s="53"/>
      <c r="C64" s="52"/>
      <c r="D64" s="52"/>
      <c r="E64" s="52"/>
      <c r="F64" s="52"/>
      <c r="G64" s="52"/>
      <c r="H64" s="54"/>
      <c r="I64" s="53"/>
      <c r="J64" s="53"/>
    </row>
    <row r="65">
      <c r="B65" s="53"/>
      <c r="C65" s="52"/>
      <c r="D65" s="52"/>
      <c r="E65" s="52"/>
      <c r="F65" s="52"/>
      <c r="G65" s="52"/>
      <c r="H65" s="54"/>
      <c r="I65" s="53"/>
      <c r="J65" s="53"/>
    </row>
    <row r="66">
      <c r="B66" s="53"/>
      <c r="C66" s="52"/>
      <c r="D66" s="52"/>
      <c r="E66" s="52"/>
      <c r="F66" s="52"/>
      <c r="G66" s="52"/>
      <c r="H66" s="54"/>
      <c r="I66" s="53"/>
      <c r="J66" s="53"/>
    </row>
    <row r="67">
      <c r="B67" s="53"/>
      <c r="C67" s="52"/>
      <c r="D67" s="52"/>
      <c r="E67" s="52"/>
      <c r="F67" s="52"/>
      <c r="G67" s="52"/>
      <c r="H67" s="54"/>
      <c r="I67" s="53"/>
      <c r="J67" s="53"/>
    </row>
    <row r="68">
      <c r="B68" s="53"/>
      <c r="C68" s="52"/>
      <c r="D68" s="52"/>
      <c r="E68" s="52"/>
      <c r="F68" s="52"/>
      <c r="G68" s="52"/>
      <c r="H68" s="54"/>
      <c r="I68" s="53"/>
      <c r="J68" s="53"/>
    </row>
    <row r="69">
      <c r="B69" s="53"/>
      <c r="C69" s="52"/>
      <c r="D69" s="52"/>
      <c r="E69" s="52"/>
      <c r="F69" s="52"/>
      <c r="G69" s="52"/>
      <c r="H69" s="54"/>
      <c r="I69" s="53"/>
      <c r="J69" s="53"/>
    </row>
    <row r="70">
      <c r="B70" s="53"/>
      <c r="C70" s="52"/>
      <c r="D70" s="52"/>
      <c r="E70" s="52"/>
      <c r="F70" s="52"/>
      <c r="G70" s="52"/>
      <c r="H70" s="54"/>
      <c r="I70" s="53"/>
      <c r="J70" s="53"/>
    </row>
    <row r="71">
      <c r="B71" s="53"/>
      <c r="C71" s="52"/>
      <c r="D71" s="52"/>
      <c r="E71" s="52"/>
      <c r="F71" s="52"/>
      <c r="G71" s="52"/>
      <c r="H71" s="54"/>
      <c r="I71" s="53"/>
      <c r="J71" s="53"/>
    </row>
    <row r="72">
      <c r="B72" s="53"/>
      <c r="C72" s="52"/>
      <c r="D72" s="52"/>
      <c r="E72" s="52"/>
      <c r="F72" s="52"/>
      <c r="G72" s="52"/>
      <c r="H72" s="54"/>
      <c r="I72" s="53"/>
      <c r="J72" s="53"/>
    </row>
    <row r="73">
      <c r="B73" s="53"/>
      <c r="C73" s="52"/>
      <c r="D73" s="52"/>
      <c r="E73" s="52"/>
      <c r="F73" s="52"/>
      <c r="G73" s="52"/>
      <c r="H73" s="54"/>
      <c r="I73" s="53"/>
      <c r="J73" s="53"/>
    </row>
    <row r="74">
      <c r="B74" s="53"/>
      <c r="C74" s="52"/>
      <c r="D74" s="52"/>
      <c r="E74" s="52"/>
      <c r="F74" s="52"/>
      <c r="G74" s="52"/>
      <c r="H74" s="54"/>
      <c r="I74" s="53"/>
      <c r="J74" s="53"/>
    </row>
    <row r="75">
      <c r="B75" s="53"/>
      <c r="C75" s="52"/>
      <c r="D75" s="52"/>
      <c r="E75" s="52"/>
      <c r="F75" s="52"/>
      <c r="G75" s="52"/>
      <c r="H75" s="54"/>
      <c r="I75" s="53"/>
      <c r="J75" s="53"/>
    </row>
    <row r="76">
      <c r="B76" s="53"/>
      <c r="C76" s="52"/>
      <c r="D76" s="52"/>
      <c r="E76" s="52"/>
      <c r="F76" s="52"/>
      <c r="G76" s="52"/>
      <c r="H76" s="54"/>
      <c r="I76" s="53"/>
      <c r="J76" s="53"/>
    </row>
    <row r="77">
      <c r="B77" s="53"/>
      <c r="C77" s="52"/>
      <c r="D77" s="52"/>
      <c r="E77" s="52"/>
      <c r="F77" s="52"/>
      <c r="G77" s="52"/>
      <c r="H77" s="54"/>
      <c r="I77" s="53"/>
      <c r="J77" s="53"/>
    </row>
    <row r="78">
      <c r="B78" s="53"/>
      <c r="C78" s="52"/>
      <c r="D78" s="52"/>
      <c r="E78" s="52"/>
      <c r="F78" s="52"/>
      <c r="G78" s="52"/>
      <c r="H78" s="54"/>
      <c r="I78" s="53"/>
      <c r="J78" s="53"/>
    </row>
    <row r="79">
      <c r="B79" s="53"/>
      <c r="C79" s="52"/>
      <c r="D79" s="52"/>
      <c r="E79" s="52"/>
      <c r="F79" s="52"/>
      <c r="G79" s="52"/>
      <c r="H79" s="54"/>
      <c r="I79" s="53"/>
      <c r="J79" s="53"/>
    </row>
    <row r="80">
      <c r="B80" s="53"/>
      <c r="C80" s="52"/>
      <c r="D80" s="52"/>
      <c r="E80" s="52"/>
      <c r="F80" s="52"/>
      <c r="G80" s="52"/>
      <c r="H80" s="54"/>
      <c r="I80" s="53"/>
      <c r="J80" s="53"/>
    </row>
    <row r="81">
      <c r="B81" s="53"/>
      <c r="C81" s="52"/>
      <c r="D81" s="52"/>
      <c r="E81" s="52"/>
      <c r="F81" s="52"/>
      <c r="G81" s="52"/>
      <c r="H81" s="54"/>
      <c r="I81" s="53"/>
      <c r="J81" s="53"/>
    </row>
    <row r="82">
      <c r="B82" s="53"/>
      <c r="C82" s="52"/>
      <c r="D82" s="52"/>
      <c r="E82" s="52"/>
      <c r="F82" s="52"/>
      <c r="G82" s="52"/>
      <c r="H82" s="54"/>
      <c r="I82" s="53"/>
      <c r="J82" s="53"/>
    </row>
    <row r="83">
      <c r="B83" s="53"/>
      <c r="C83" s="52"/>
      <c r="D83" s="52"/>
      <c r="E83" s="52"/>
      <c r="F83" s="52"/>
      <c r="G83" s="52"/>
      <c r="H83" s="54"/>
      <c r="I83" s="53"/>
      <c r="J83" s="53"/>
    </row>
    <row r="84">
      <c r="B84" s="53"/>
      <c r="C84" s="52"/>
      <c r="D84" s="52"/>
      <c r="E84" s="52"/>
      <c r="F84" s="52"/>
      <c r="G84" s="52"/>
      <c r="H84" s="54"/>
      <c r="I84" s="53"/>
      <c r="J84" s="53"/>
    </row>
    <row r="85">
      <c r="B85" s="53"/>
      <c r="C85" s="52"/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/>
      <c r="C89" s="52"/>
      <c r="D89" s="52"/>
      <c r="E89" s="52"/>
      <c r="F89" s="52"/>
      <c r="G89" s="52"/>
      <c r="H89" s="54"/>
      <c r="I89" s="53"/>
      <c r="J89" s="53"/>
    </row>
    <row r="90">
      <c r="B90" s="53"/>
      <c r="C90" s="52"/>
      <c r="D90" s="52"/>
      <c r="E90" s="52"/>
      <c r="F90" s="52"/>
      <c r="G90" s="52"/>
      <c r="H90" s="54"/>
      <c r="I90" s="53"/>
      <c r="J90" s="53"/>
    </row>
    <row r="91">
      <c r="B91" s="53"/>
      <c r="C91" s="52"/>
      <c r="D91" s="52"/>
      <c r="E91" s="52"/>
      <c r="F91" s="52"/>
      <c r="G91" s="52"/>
      <c r="H91" s="54"/>
      <c r="I91" s="53"/>
      <c r="J91" s="53"/>
    </row>
    <row r="92">
      <c r="B92" s="53"/>
      <c r="C92" s="52"/>
      <c r="D92" s="52"/>
      <c r="E92" s="52"/>
      <c r="F92" s="52"/>
      <c r="G92" s="52"/>
      <c r="H92" s="54"/>
      <c r="I92" s="53"/>
      <c r="J92" s="53"/>
    </row>
    <row r="93">
      <c r="B93" s="53"/>
      <c r="C93" s="52"/>
      <c r="D93" s="52"/>
      <c r="E93" s="52"/>
      <c r="F93" s="52"/>
      <c r="G93" s="52"/>
      <c r="H93" s="54"/>
      <c r="I93" s="53"/>
      <c r="J93" s="53"/>
    </row>
    <row r="94">
      <c r="B94" s="53"/>
      <c r="C94" s="52"/>
      <c r="D94" s="52"/>
      <c r="E94" s="52"/>
      <c r="F94" s="52"/>
      <c r="G94" s="52"/>
      <c r="H94" s="54"/>
      <c r="I94" s="53"/>
      <c r="J94" s="53"/>
    </row>
    <row r="95">
      <c r="B95" s="53"/>
      <c r="C95" s="52"/>
      <c r="D95" s="52"/>
      <c r="E95" s="52"/>
      <c r="F95" s="52"/>
      <c r="G95" s="52"/>
      <c r="H95" s="54"/>
      <c r="I95" s="53"/>
      <c r="J95" s="53"/>
    </row>
    <row r="96">
      <c r="B96" s="53"/>
      <c r="C96" s="52"/>
      <c r="D96" s="52"/>
      <c r="E96" s="52"/>
      <c r="F96" s="52"/>
      <c r="G96" s="52"/>
      <c r="H96" s="54"/>
      <c r="I96" s="53"/>
      <c r="J96" s="53"/>
    </row>
    <row r="97">
      <c r="B97" s="53"/>
      <c r="C97" s="52"/>
      <c r="D97" s="52"/>
      <c r="E97" s="52"/>
      <c r="F97" s="52"/>
      <c r="G97" s="52"/>
      <c r="H97" s="54"/>
      <c r="I97" s="53"/>
      <c r="J97" s="53"/>
    </row>
    <row r="98">
      <c r="B98" s="53"/>
      <c r="C98" s="52"/>
      <c r="D98" s="52"/>
      <c r="E98" s="52"/>
      <c r="F98" s="52"/>
      <c r="G98" s="52"/>
      <c r="H98" s="54"/>
      <c r="I98" s="53"/>
      <c r="J98" s="53"/>
    </row>
    <row r="99">
      <c r="B99" s="53"/>
      <c r="C99" s="52"/>
      <c r="D99" s="52"/>
      <c r="E99" s="52"/>
      <c r="F99" s="52"/>
      <c r="G99" s="52"/>
      <c r="H99" s="54"/>
      <c r="I99" s="53"/>
      <c r="J99" s="53"/>
    </row>
    <row r="100">
      <c r="B100" s="53"/>
      <c r="C100" s="52"/>
      <c r="D100" s="52"/>
      <c r="E100" s="52"/>
      <c r="F100" s="52"/>
      <c r="G100" s="52"/>
      <c r="H100" s="54"/>
      <c r="I100" s="53"/>
      <c r="J100" s="53"/>
    </row>
    <row r="101">
      <c r="B101" s="53"/>
      <c r="C101" s="52"/>
      <c r="D101" s="52"/>
      <c r="E101" s="52"/>
      <c r="F101" s="52"/>
      <c r="G101" s="52"/>
      <c r="H101" s="54"/>
      <c r="I101" s="53"/>
      <c r="J101" s="53"/>
    </row>
    <row r="102">
      <c r="B102" s="53"/>
      <c r="C102" s="52"/>
      <c r="D102" s="52"/>
      <c r="E102" s="52"/>
      <c r="F102" s="52"/>
      <c r="G102" s="52"/>
      <c r="H102" s="54"/>
      <c r="I102" s="53"/>
      <c r="J102" s="53"/>
    </row>
    <row r="103">
      <c r="B103" s="53"/>
      <c r="C103" s="52"/>
      <c r="D103" s="52"/>
      <c r="E103" s="52"/>
      <c r="F103" s="52"/>
      <c r="G103" s="52"/>
      <c r="H103" s="54"/>
      <c r="I103" s="53"/>
      <c r="J103" s="53"/>
    </row>
    <row r="104">
      <c r="B104" s="53"/>
      <c r="C104" s="52"/>
      <c r="D104" s="52"/>
      <c r="E104" s="52"/>
      <c r="F104" s="52"/>
      <c r="G104" s="52"/>
      <c r="H104" s="54"/>
      <c r="I104" s="53"/>
      <c r="J104" s="53"/>
    </row>
    <row r="105">
      <c r="B105" s="53"/>
      <c r="C105" s="52"/>
      <c r="D105" s="52"/>
      <c r="E105" s="52"/>
      <c r="F105" s="52"/>
      <c r="G105" s="52"/>
      <c r="H105" s="54"/>
      <c r="I105" s="53"/>
      <c r="J105" s="53"/>
    </row>
    <row r="106">
      <c r="B106" s="53"/>
      <c r="C106" s="52"/>
      <c r="D106" s="52"/>
      <c r="E106" s="52"/>
      <c r="F106" s="52"/>
      <c r="G106" s="52"/>
      <c r="H106" s="54"/>
      <c r="I106" s="53"/>
      <c r="J106" s="53"/>
    </row>
    <row r="107">
      <c r="B107" s="53"/>
      <c r="C107" s="52"/>
      <c r="D107" s="52"/>
      <c r="E107" s="52"/>
      <c r="F107" s="52"/>
      <c r="G107" s="52"/>
      <c r="H107" s="54"/>
      <c r="I107" s="53"/>
      <c r="J107" s="53"/>
    </row>
    <row r="108">
      <c r="B108" s="53"/>
      <c r="C108" s="52"/>
      <c r="D108" s="52"/>
      <c r="E108" s="52"/>
      <c r="F108" s="52"/>
      <c r="G108" s="52"/>
      <c r="H108" s="54"/>
      <c r="I108" s="53"/>
      <c r="J108" s="53"/>
    </row>
    <row r="109">
      <c r="B109" s="53"/>
      <c r="C109" s="52"/>
      <c r="D109" s="52"/>
      <c r="E109" s="52"/>
      <c r="F109" s="52"/>
      <c r="G109" s="52"/>
      <c r="H109" s="54"/>
      <c r="I109" s="53"/>
      <c r="J109" s="53"/>
    </row>
    <row r="110">
      <c r="B110" s="53"/>
      <c r="C110" s="52"/>
      <c r="D110" s="52"/>
      <c r="E110" s="52"/>
      <c r="F110" s="52"/>
      <c r="G110" s="52"/>
      <c r="H110" s="54"/>
      <c r="I110" s="53"/>
      <c r="J110" s="53"/>
    </row>
    <row r="111">
      <c r="B111" s="53"/>
      <c r="C111" s="52"/>
      <c r="D111" s="52"/>
      <c r="E111" s="52"/>
      <c r="F111" s="52"/>
      <c r="G111" s="52"/>
      <c r="H111" s="54"/>
      <c r="I111" s="53"/>
      <c r="J111" s="53"/>
    </row>
    <row r="112">
      <c r="B112" s="53"/>
      <c r="C112" s="52"/>
      <c r="D112" s="52"/>
      <c r="E112" s="52"/>
      <c r="F112" s="52"/>
      <c r="G112" s="52"/>
      <c r="H112" s="54"/>
      <c r="I112" s="53"/>
      <c r="J112" s="53"/>
    </row>
    <row r="113">
      <c r="B113" s="53"/>
      <c r="C113" s="52"/>
      <c r="D113" s="52"/>
      <c r="E113" s="52"/>
      <c r="F113" s="52"/>
      <c r="G113" s="52"/>
      <c r="H113" s="54"/>
      <c r="I113" s="53"/>
      <c r="J113" s="53"/>
    </row>
    <row r="114">
      <c r="B114" s="53"/>
      <c r="C114" s="52"/>
      <c r="D114" s="52"/>
      <c r="E114" s="52"/>
      <c r="F114" s="52"/>
      <c r="G114" s="52"/>
      <c r="H114" s="54"/>
      <c r="I114" s="53"/>
      <c r="J114" s="53"/>
    </row>
    <row r="115">
      <c r="B115" s="53"/>
      <c r="C115" s="52"/>
      <c r="D115" s="52"/>
      <c r="E115" s="52"/>
      <c r="F115" s="52"/>
      <c r="G115" s="52"/>
      <c r="H115" s="54"/>
      <c r="I115" s="53"/>
      <c r="J115" s="53"/>
    </row>
    <row r="116">
      <c r="B116" s="53"/>
      <c r="C116" s="52"/>
      <c r="D116" s="52"/>
      <c r="E116" s="52"/>
      <c r="F116" s="52"/>
      <c r="G116" s="52"/>
      <c r="H116" s="54"/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/>
      <c r="C118" s="52"/>
      <c r="D118" s="52"/>
      <c r="E118" s="52"/>
      <c r="F118" s="52"/>
      <c r="G118" s="52"/>
      <c r="H118" s="54"/>
      <c r="I118" s="53"/>
      <c r="J118" s="53"/>
    </row>
    <row r="119">
      <c r="B119" s="53"/>
      <c r="C119" s="52"/>
      <c r="D119" s="52"/>
      <c r="E119" s="52"/>
      <c r="F119" s="52"/>
      <c r="G119" s="52"/>
      <c r="H119" s="54"/>
      <c r="I119" s="53"/>
      <c r="J119" s="53"/>
    </row>
    <row r="120">
      <c r="B120" s="53"/>
      <c r="C120" s="52"/>
      <c r="D120" s="52"/>
      <c r="E120" s="52"/>
      <c r="F120" s="52"/>
      <c r="G120" s="52"/>
      <c r="H120" s="54"/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/>
      <c r="C122" s="52"/>
      <c r="D122" s="52"/>
      <c r="E122" s="52"/>
      <c r="F122" s="52"/>
      <c r="G122" s="52"/>
      <c r="H122" s="54"/>
      <c r="I122" s="53"/>
      <c r="J122" s="53"/>
    </row>
    <row r="123">
      <c r="B123" s="53"/>
      <c r="C123" s="52"/>
      <c r="D123" s="52"/>
      <c r="E123" s="52"/>
      <c r="F123" s="52"/>
      <c r="G123" s="52"/>
      <c r="H123" s="54"/>
      <c r="I123" s="53"/>
      <c r="J123" s="53"/>
    </row>
    <row r="124">
      <c r="B124" s="53"/>
      <c r="C124" s="52"/>
      <c r="D124" s="52"/>
      <c r="E124" s="52"/>
      <c r="F124" s="52"/>
      <c r="G124" s="52"/>
      <c r="H124" s="54"/>
      <c r="I124" s="53"/>
      <c r="J124" s="53"/>
    </row>
    <row r="125">
      <c r="B125" s="53"/>
      <c r="C125" s="52"/>
      <c r="D125" s="52"/>
      <c r="E125" s="52"/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/>
      <c r="C127" s="52"/>
      <c r="D127" s="52"/>
      <c r="E127" s="52"/>
      <c r="F127" s="52"/>
      <c r="G127" s="52"/>
      <c r="H127" s="54"/>
      <c r="I127" s="53"/>
      <c r="J127" s="53"/>
    </row>
    <row r="128">
      <c r="B128" s="53"/>
      <c r="C128" s="52"/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3" customWidth="1"/>
    <col min="10" max="10" width="18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228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>
      <c r="B9" s="53"/>
      <c r="C9" s="52"/>
      <c r="D9" s="52"/>
      <c r="E9" s="52"/>
      <c r="F9" s="52"/>
      <c r="G9" s="52"/>
      <c r="H9" s="54"/>
      <c r="I9" s="53"/>
      <c r="J9" s="53"/>
    </row>
    <row r="10">
      <c r="B10" s="53" t="s">
        <v>229</v>
      </c>
      <c r="C10" s="61">
        <v>205.738</v>
      </c>
      <c r="D10" s="61">
        <v>2464.91</v>
      </c>
      <c r="E10" s="61">
        <v>198.052</v>
      </c>
      <c r="F10" s="61">
        <v>918.554</v>
      </c>
      <c r="G10" s="61">
        <v>1043.884</v>
      </c>
      <c r="H10" s="79">
        <f>'Revenue summary'!H22-H11-H13</f>
        <v>196.52288799999997</v>
      </c>
      <c r="I10" s="53"/>
      <c r="J10" s="53"/>
    </row>
    <row r="11">
      <c r="B11" s="53" t="s">
        <v>230</v>
      </c>
      <c r="C11" s="61">
        <v>65.465</v>
      </c>
      <c r="D11" s="61">
        <v>499.002</v>
      </c>
      <c r="E11" s="61">
        <v>72.897</v>
      </c>
      <c r="F11" s="61">
        <v>165.336</v>
      </c>
      <c r="G11" s="61">
        <v>161.209</v>
      </c>
      <c r="H11" s="54">
        <f>C11*(1+H57)</f>
        <v>62.388145</v>
      </c>
      <c r="I11" s="53"/>
      <c r="J11" s="53"/>
    </row>
    <row r="12">
      <c r="B12" s="53" t="s">
        <v>231</v>
      </c>
      <c r="C12" s="62">
        <f>SUM(C10:C11)</f>
        <v>271.203</v>
      </c>
      <c r="D12" s="62">
        <f>SUM(D10:D11)</f>
        <v>2963.912</v>
      </c>
      <c r="E12" s="62">
        <f>SUM(E10:E11)</f>
        <v>270.949</v>
      </c>
      <c r="F12" s="62">
        <f>SUM(F10:F11)</f>
        <v>1083.8899999999999</v>
      </c>
      <c r="G12" s="62">
        <f>SUM(G10:G11)</f>
        <v>1205.093</v>
      </c>
      <c r="H12" s="70">
        <f>SUM(H10:H11)</f>
        <v>258.911033</v>
      </c>
      <c r="I12" s="53"/>
      <c r="J12" s="53"/>
    </row>
    <row r="13">
      <c r="B13" s="65" t="s">
        <v>232</v>
      </c>
      <c r="C13" s="83">
        <f>'Revenue summary'!C18</f>
        <v>0.08600000000000002</v>
      </c>
      <c r="D13" s="83">
        <f>'Revenue summary'!D18</f>
        <v>0.435</v>
      </c>
      <c r="E13" s="83">
        <f>'Revenue summary'!E18</f>
        <v>0.08</v>
      </c>
      <c r="F13" s="83">
        <f>'Revenue summary'!F18</f>
        <v>0.042</v>
      </c>
      <c r="G13" s="83">
        <f>'Revenue summary'!G18</f>
        <v>0.082</v>
      </c>
      <c r="H13" s="105">
        <f>'Revenue summary'!H18</f>
        <v>0.08600000000000002</v>
      </c>
      <c r="I13" s="53"/>
      <c r="J13" s="53"/>
    </row>
    <row r="14">
      <c r="B14" s="65" t="s">
        <v>48</v>
      </c>
      <c r="C14" s="62">
        <f>SUM(C12:C13)</f>
        <v>271.289</v>
      </c>
      <c r="D14" s="62">
        <f>SUM(D12:D13)</f>
        <v>2964.3469999999998</v>
      </c>
      <c r="E14" s="62">
        <f>SUM(E12:E13)</f>
        <v>271.029</v>
      </c>
      <c r="F14" s="62">
        <f>SUM(F12:F13)</f>
        <v>1083.9319999999998</v>
      </c>
      <c r="G14" s="62">
        <f>SUM(G12:G13)</f>
        <v>1205.1750000000002</v>
      </c>
      <c r="H14" s="70">
        <f>SUM(H12:H13)</f>
        <v>258.997033</v>
      </c>
      <c r="I14" s="53"/>
      <c r="J14" s="53"/>
    </row>
    <row r="15">
      <c r="B15" s="53" t="s">
        <v>233</v>
      </c>
      <c r="C15" s="56"/>
      <c r="D15" s="56"/>
      <c r="E15" s="56"/>
      <c r="F15" s="56"/>
      <c r="G15" s="56"/>
      <c r="H15" s="69">
        <f>H14/C14-1</f>
        <v>-0.04530949282868091</v>
      </c>
      <c r="I15" s="53"/>
      <c r="J15" s="53"/>
    </row>
    <row r="16">
      <c r="B16" s="53" t="s">
        <v>234</v>
      </c>
      <c r="C16" s="56"/>
      <c r="D16" s="56"/>
      <c r="E16" s="56"/>
      <c r="F16" s="56"/>
      <c r="G16" s="56"/>
      <c r="H16" s="69">
        <f>H14/G14-1</f>
        <v>-0.7850959130416745</v>
      </c>
      <c r="I16" s="53"/>
      <c r="J16" s="53"/>
    </row>
    <row r="17">
      <c r="B17" s="53"/>
      <c r="C17" s="52"/>
      <c r="D17" s="52"/>
      <c r="E17" s="52"/>
      <c r="F17" s="52"/>
      <c r="G17" s="52"/>
      <c r="H17" s="54"/>
      <c r="I17" s="53"/>
      <c r="J17" s="53"/>
    </row>
    <row r="18">
      <c r="B18" s="53" t="s">
        <v>235</v>
      </c>
      <c r="C18" s="61">
        <v>262.983</v>
      </c>
      <c r="D18" s="61">
        <v>1507.993</v>
      </c>
      <c r="E18" s="61">
        <v>273.069</v>
      </c>
      <c r="F18" s="61">
        <v>481.277</v>
      </c>
      <c r="G18" s="61">
        <v>459.875</v>
      </c>
      <c r="H18" s="79">
        <f>'Segment - Mountain'!H45+'Segment - Lodging'!H59-H19-H20</f>
        <v>258.69592499999993</v>
      </c>
      <c r="I18" s="53"/>
      <c r="J18" s="53"/>
    </row>
    <row r="19">
      <c r="B19" s="53" t="s">
        <v>236</v>
      </c>
      <c r="C19" s="61">
        <v>25.824</v>
      </c>
      <c r="D19" s="61">
        <v>181.988</v>
      </c>
      <c r="E19" s="61">
        <v>28.234</v>
      </c>
      <c r="F19" s="61">
        <v>58.536</v>
      </c>
      <c r="G19" s="61">
        <v>56.701</v>
      </c>
      <c r="H19" s="54">
        <f>C19*(1+H58)</f>
        <v>22.85424</v>
      </c>
      <c r="I19" s="53"/>
      <c r="J19" s="53"/>
    </row>
    <row r="20">
      <c r="B20" s="53" t="s">
        <v>237</v>
      </c>
      <c r="C20" s="61">
        <v>106.306</v>
      </c>
      <c r="D20" s="61">
        <v>433.714</v>
      </c>
      <c r="E20" s="61">
        <v>110.424</v>
      </c>
      <c r="F20" s="61">
        <v>121.618</v>
      </c>
      <c r="G20" s="61">
        <v>102.559</v>
      </c>
      <c r="H20" s="54">
        <f>C20*(1+H65)</f>
        <v>103.64835</v>
      </c>
      <c r="I20" s="53"/>
      <c r="J20" s="53"/>
    </row>
    <row r="21">
      <c r="B21" s="53" t="s">
        <v>238</v>
      </c>
      <c r="C21" s="62">
        <f>SUM(C18:C20)</f>
        <v>395.113</v>
      </c>
      <c r="D21" s="62">
        <f>SUM(D18:D20)</f>
        <v>2123.6949999999997</v>
      </c>
      <c r="E21" s="62">
        <f>SUM(E18:E20)</f>
        <v>411.72700000000003</v>
      </c>
      <c r="F21" s="62">
        <f>SUM(F18:F20)</f>
        <v>661.431</v>
      </c>
      <c r="G21" s="62">
        <f>SUM(G18:G20)</f>
        <v>619.135</v>
      </c>
      <c r="H21" s="70">
        <f>SUM(H18:H20)</f>
        <v>385.19851499999993</v>
      </c>
      <c r="I21" s="53"/>
      <c r="J21" s="53"/>
    </row>
    <row r="22">
      <c r="B22" s="53" t="s">
        <v>239</v>
      </c>
      <c r="C22" s="61">
        <v>1.302</v>
      </c>
      <c r="D22" s="61">
        <v>6.213</v>
      </c>
      <c r="E22" s="61">
        <v>1.624</v>
      </c>
      <c r="F22" s="61">
        <v>1.669</v>
      </c>
      <c r="G22" s="61">
        <v>1.475</v>
      </c>
      <c r="H22" s="79">
        <f>'Segment - Real Estate'!H21</f>
        <v>1.3020000000000005</v>
      </c>
      <c r="I22" s="53"/>
      <c r="J22" s="53"/>
    </row>
    <row r="23">
      <c r="B23" s="65" t="s">
        <v>240</v>
      </c>
      <c r="C23" s="62">
        <f>SUM(C21:C22)</f>
        <v>396.415</v>
      </c>
      <c r="D23" s="62">
        <f>SUM(D21:D22)</f>
        <v>2129.908</v>
      </c>
      <c r="E23" s="62">
        <f>SUM(E21:E22)</f>
        <v>413.35100000000006</v>
      </c>
      <c r="F23" s="62">
        <f>SUM(F21:F22)</f>
        <v>663.1</v>
      </c>
      <c r="G23" s="62">
        <f>SUM(G21:G22)</f>
        <v>620.61</v>
      </c>
      <c r="H23" s="70">
        <f>SUM(H21:H22)</f>
        <v>386.50051499999995</v>
      </c>
      <c r="I23" s="53"/>
      <c r="J23" s="53"/>
    </row>
    <row r="24">
      <c r="B24" s="53" t="s">
        <v>241</v>
      </c>
      <c r="C24" s="62">
        <f>C14-C23+C26+C30</f>
        <v>-124.76900000000003</v>
      </c>
      <c r="D24" s="62">
        <f>D14-D23+D26+D30</f>
        <v>862.7619999999998</v>
      </c>
      <c r="E24" s="62">
        <f>E14-E23+E26+E30</f>
        <v>-128.20900000000006</v>
      </c>
      <c r="F24" s="62">
        <f>F14-F23+F26+F30</f>
        <v>417.7079999999998</v>
      </c>
      <c r="G24" s="62">
        <f>G14-G23+G26+G30</f>
        <v>585.4230000000001</v>
      </c>
      <c r="H24" s="70">
        <f>H14-H23+H26+H30</f>
        <v>-127.14648199999996</v>
      </c>
      <c r="I24" s="53"/>
      <c r="J24" s="53"/>
    </row>
    <row r="25">
      <c r="B25" s="53" t="s">
        <v>242</v>
      </c>
      <c r="C25" s="61">
        <v>-77.079</v>
      </c>
      <c r="D25" s="61">
        <v>-296.437</v>
      </c>
      <c r="E25" s="61">
        <v>-73.117</v>
      </c>
      <c r="F25" s="61">
        <v>-74.35</v>
      </c>
      <c r="G25" s="61">
        <v>-77.219</v>
      </c>
      <c r="H25" s="54">
        <f>C25*(1+H59)</f>
        <v>-77.84979</v>
      </c>
      <c r="I25" s="53"/>
      <c r="J25" s="53"/>
    </row>
    <row r="26">
      <c r="B26" s="53" t="s">
        <v>243</v>
      </c>
      <c r="C26" s="61">
        <v>0</v>
      </c>
      <c r="D26" s="61">
        <v>24.404</v>
      </c>
      <c r="E26" s="61">
        <v>13.02</v>
      </c>
      <c r="F26" s="61">
        <v>-1.962</v>
      </c>
      <c r="G26" s="61">
        <v>0.4</v>
      </c>
      <c r="H26" s="79">
        <f>'Segment - Real Estate'!H22</f>
        <v>0</v>
      </c>
      <c r="I26" s="53"/>
      <c r="J26" s="53"/>
    </row>
    <row r="27">
      <c r="B27" s="53" t="s">
        <v>244</v>
      </c>
      <c r="C27" s="61">
        <v>-5.3</v>
      </c>
      <c r="D27" s="61">
        <v>-9.379</v>
      </c>
      <c r="E27" s="61">
        <v>-4.639</v>
      </c>
      <c r="F27" s="61">
        <v>3.7</v>
      </c>
      <c r="G27" s="61">
        <v>-13.5</v>
      </c>
      <c r="H27" s="54">
        <f>H62</f>
        <v>-4</v>
      </c>
      <c r="I27" s="53"/>
      <c r="J27" s="53"/>
    </row>
    <row r="28">
      <c r="B28" s="53" t="s">
        <v>245</v>
      </c>
      <c r="C28" s="61">
        <v>3.902</v>
      </c>
      <c r="D28" s="61">
        <v>6.933</v>
      </c>
      <c r="E28" s="61">
        <v>-2.763</v>
      </c>
      <c r="F28" s="61">
        <v>-3.172</v>
      </c>
      <c r="G28" s="61">
        <v>-0.118</v>
      </c>
      <c r="H28" s="54">
        <f>H63</f>
        <v>-1</v>
      </c>
      <c r="I28" s="53"/>
      <c r="J28" s="53"/>
    </row>
    <row r="29">
      <c r="B29" s="53" t="s">
        <v>246</v>
      </c>
      <c r="C29" s="62">
        <f>C14-C23+SUM(C25:C28)</f>
        <v>-203.603</v>
      </c>
      <c r="D29" s="62">
        <f>D14-D23+SUM(D25:D28)</f>
        <v>559.9599999999998</v>
      </c>
      <c r="E29" s="62">
        <f>E14-E23+SUM(E25:E28)</f>
        <v>-209.82100000000008</v>
      </c>
      <c r="F29" s="62">
        <f>F14-F23+SUM(F25:F28)</f>
        <v>345.0479999999998</v>
      </c>
      <c r="G29" s="62">
        <f>G14-G23+SUM(G25:G28)</f>
        <v>494.12800000000016</v>
      </c>
      <c r="H29" s="70">
        <f>H14-H23+SUM(H25:H28)</f>
        <v>-210.35327199999995</v>
      </c>
      <c r="I29" s="53"/>
      <c r="J29" s="53"/>
    </row>
    <row r="30">
      <c r="B30" s="53" t="s">
        <v>247</v>
      </c>
      <c r="C30" s="57">
        <f>'Segment - Mountain'!C46</f>
        <v>0.357</v>
      </c>
      <c r="D30" s="57">
        <f>'Segment - Mountain'!D46</f>
        <v>3.919</v>
      </c>
      <c r="E30" s="57">
        <f>'Segment - Mountain'!E46</f>
        <v>1.093</v>
      </c>
      <c r="F30" s="57">
        <f>'Segment - Mountain'!F46</f>
        <v>-1.162</v>
      </c>
      <c r="G30" s="57">
        <f>'Segment - Mountain'!G46</f>
        <v>0.458</v>
      </c>
      <c r="H30" s="79">
        <f>'Segment - Mountain'!H46</f>
        <v>0.357</v>
      </c>
      <c r="I30" s="53"/>
      <c r="J30" s="53"/>
    </row>
    <row r="31">
      <c r="B31" s="53" t="s">
        <v>248</v>
      </c>
      <c r="C31" s="61">
        <v>1.458</v>
      </c>
      <c r="D31" s="61">
        <v>10.126</v>
      </c>
      <c r="E31" s="61">
        <v>3.023</v>
      </c>
      <c r="F31" s="61">
        <v>3.525</v>
      </c>
      <c r="G31" s="61">
        <v>2.62</v>
      </c>
      <c r="H31" s="54">
        <f>C31*(1+H61)</f>
        <v>1.458</v>
      </c>
      <c r="I31" s="53"/>
      <c r="J31" s="53"/>
    </row>
    <row r="32">
      <c r="B32" s="53" t="s">
        <v>249</v>
      </c>
      <c r="C32" s="61">
        <v>-0.033</v>
      </c>
      <c r="D32" s="61">
        <v>0.02</v>
      </c>
      <c r="E32" s="61">
        <v>-0.079</v>
      </c>
      <c r="F32" s="61">
        <v>0.197</v>
      </c>
      <c r="G32" s="61">
        <v>-0.034</v>
      </c>
      <c r="H32" s="54">
        <f>C32</f>
        <v>-0.033</v>
      </c>
      <c r="I32" s="53"/>
      <c r="J32" s="53"/>
    </row>
    <row r="33">
      <c r="B33" s="53" t="s">
        <v>250</v>
      </c>
      <c r="C33" s="61">
        <v>-45.789</v>
      </c>
      <c r="D33" s="61">
        <v>-171.628</v>
      </c>
      <c r="E33" s="61">
        <v>-51.287</v>
      </c>
      <c r="F33" s="61">
        <v>-49.476</v>
      </c>
      <c r="G33" s="61">
        <v>-51.318</v>
      </c>
      <c r="H33" s="54">
        <f>C33*(1+H60)</f>
        <v>-53.11524</v>
      </c>
      <c r="I33" s="53"/>
      <c r="J33" s="53"/>
    </row>
    <row r="34">
      <c r="B34" s="53" t="s">
        <v>251</v>
      </c>
      <c r="C34" s="62">
        <f>SUM(C29:C33)</f>
        <v>-247.61</v>
      </c>
      <c r="D34" s="62">
        <f>SUM(D29:D33)</f>
        <v>402.3969999999998</v>
      </c>
      <c r="E34" s="62">
        <f>SUM(E29:E33)</f>
        <v>-257.0710000000001</v>
      </c>
      <c r="F34" s="62">
        <f>SUM(F29:F33)</f>
        <v>298.1319999999998</v>
      </c>
      <c r="G34" s="62">
        <f>SUM(G29:G33)</f>
        <v>445.85400000000016</v>
      </c>
      <c r="H34" s="70">
        <f>SUM(H29:H33)</f>
        <v>-261.68651199999994</v>
      </c>
      <c r="I34" s="53"/>
      <c r="J34" s="53"/>
    </row>
    <row r="35">
      <c r="B35" s="53" t="s">
        <v>252</v>
      </c>
      <c r="C35" s="61">
        <v>54.703</v>
      </c>
      <c r="D35" s="61">
        <v>-104.421</v>
      </c>
      <c r="E35" s="61">
        <v>60.615</v>
      </c>
      <c r="F35" s="61">
        <v>-72.287</v>
      </c>
      <c r="G35" s="61">
        <v>-105.631</v>
      </c>
      <c r="H35" s="54">
        <f>-H34*H56</f>
        <v>53.645734959999984</v>
      </c>
      <c r="I35" s="53"/>
      <c r="J35" s="53"/>
    </row>
    <row r="36">
      <c r="B36" s="53" t="s">
        <v>253</v>
      </c>
      <c r="C36" s="62">
        <f>SUM(C34:C35)</f>
        <v>-192.907</v>
      </c>
      <c r="D36" s="62">
        <f>SUM(D34:D35)</f>
        <v>297.97599999999983</v>
      </c>
      <c r="E36" s="62">
        <f>SUM(E34:E35)</f>
        <v>-196.45600000000007</v>
      </c>
      <c r="F36" s="62">
        <f>SUM(F34:F35)</f>
        <v>225.84499999999977</v>
      </c>
      <c r="G36" s="62">
        <f>SUM(G34:G35)</f>
        <v>340.2230000000002</v>
      </c>
      <c r="H36" s="70">
        <f>SUM(H34:H35)</f>
        <v>-208.04077703999997</v>
      </c>
      <c r="I36" s="53"/>
      <c r="J36" s="53"/>
    </row>
    <row r="37">
      <c r="B37" s="53" t="s">
        <v>254</v>
      </c>
      <c r="C37" s="61">
        <v>7.447</v>
      </c>
      <c r="D37" s="61">
        <v>-17.972</v>
      </c>
      <c r="E37" s="61">
        <v>9.704</v>
      </c>
      <c r="F37" s="61">
        <v>-15.838</v>
      </c>
      <c r="G37" s="61">
        <v>-25.788</v>
      </c>
      <c r="H37" s="54">
        <f>C37*(1+H64)</f>
        <v>7.447</v>
      </c>
      <c r="I37" s="53"/>
      <c r="J37" s="53"/>
    </row>
    <row r="38">
      <c r="B38" s="65" t="s">
        <v>255</v>
      </c>
      <c r="C38" s="62">
        <f>SUM(C36:C37)</f>
        <v>-185.46</v>
      </c>
      <c r="D38" s="62">
        <f>SUM(D36:D37)</f>
        <v>280.00399999999985</v>
      </c>
      <c r="E38" s="62">
        <f>SUM(E36:E37)</f>
        <v>-186.75200000000007</v>
      </c>
      <c r="F38" s="62">
        <f>SUM(F36:F37)</f>
        <v>210.00699999999978</v>
      </c>
      <c r="G38" s="62">
        <f>SUM(G36:G37)</f>
        <v>314.4350000000002</v>
      </c>
      <c r="H38" s="70">
        <f>SUM(H36:H37)</f>
        <v>-200.59377703999996</v>
      </c>
      <c r="I38" s="53"/>
      <c r="J38" s="53"/>
    </row>
    <row r="39">
      <c r="B39" s="53" t="s">
        <v>256</v>
      </c>
      <c r="C39" s="56">
        <f>IFERROR(C38/C14,0)</f>
        <v>-0.6836252114903295</v>
      </c>
      <c r="D39" s="56">
        <f>IFERROR(D38/D14,0)</f>
        <v>0.09445722784815673</v>
      </c>
      <c r="E39" s="56">
        <f>IFERROR(E38/E14,0)</f>
        <v>-0.6890480354500812</v>
      </c>
      <c r="F39" s="56">
        <f>IFERROR(F38/F14,0)</f>
        <v>0.1937455486137505</v>
      </c>
      <c r="G39" s="56">
        <f>IFERROR(G38/G14,0)</f>
        <v>0.26090401808865943</v>
      </c>
      <c r="H39" s="69">
        <f>IFERROR(H38/H14,0)</f>
        <v>-0.7745022200312232</v>
      </c>
      <c r="I39" s="53"/>
      <c r="J39" s="53"/>
    </row>
    <row r="40">
      <c r="B40" s="53" t="s">
        <v>257</v>
      </c>
      <c r="C40" s="57">
        <f>'Share Count'!C10</f>
        <v>36.524</v>
      </c>
      <c r="D40" s="57">
        <f>'Share Count'!D10</f>
        <v>37.155</v>
      </c>
      <c r="E40" s="57">
        <f>'Share Count'!E10</f>
        <v>35.91</v>
      </c>
      <c r="F40" s="57">
        <f>'Share Count'!F10</f>
        <v>35.753</v>
      </c>
      <c r="G40" s="57">
        <f>'Share Count'!G10</f>
        <v>35.633</v>
      </c>
      <c r="H40" s="79">
        <f>'Share Count'!H10</f>
        <v>35.633</v>
      </c>
      <c r="I40" s="53"/>
      <c r="J40" s="53"/>
    </row>
    <row r="41">
      <c r="B41" s="53" t="s">
        <v>258</v>
      </c>
      <c r="C41" s="57">
        <f>'Share Count'!C16</f>
        <v>36.524</v>
      </c>
      <c r="D41" s="57">
        <f>'Share Count'!D16</f>
        <v>37.204</v>
      </c>
      <c r="E41" s="57">
        <f>'Share Count'!E16</f>
        <v>35.91</v>
      </c>
      <c r="F41" s="57">
        <f>'Share Count'!F16</f>
        <v>35.783</v>
      </c>
      <c r="G41" s="57">
        <f>'Share Count'!G16</f>
        <v>35.686</v>
      </c>
      <c r="H41" s="79">
        <f>'Share Count'!H16</f>
        <v>35.633</v>
      </c>
      <c r="I41" s="53"/>
      <c r="J41" s="53"/>
    </row>
    <row r="42">
      <c r="B42" s="53" t="s">
        <v>259</v>
      </c>
      <c r="C42" s="101">
        <f>C38/C40</f>
        <v>-5.077757091227686</v>
      </c>
      <c r="D42" s="101">
        <f>D38/D40</f>
        <v>7.536105503969852</v>
      </c>
      <c r="E42" s="101">
        <f>E38/E40</f>
        <v>-5.200556947925372</v>
      </c>
      <c r="F42" s="101">
        <f>F38/F40</f>
        <v>5.873828769613732</v>
      </c>
      <c r="G42" s="101">
        <f>G38/G40</f>
        <v>8.824264024920724</v>
      </c>
      <c r="H42" s="93">
        <f>H38/H40</f>
        <v>-5.629438358824683</v>
      </c>
      <c r="I42" s="53"/>
      <c r="J42" s="53"/>
    </row>
    <row r="43">
      <c r="B43" s="53" t="s">
        <v>33</v>
      </c>
      <c r="C43" s="85">
        <f>C38/C41</f>
        <v>-5.077757091227686</v>
      </c>
      <c r="D43" s="85">
        <f>D38/D41</f>
        <v>7.526179980647238</v>
      </c>
      <c r="E43" s="85">
        <f>E38/E41</f>
        <v>-5.200556947925372</v>
      </c>
      <c r="F43" s="85">
        <f>F38/F41</f>
        <v>5.868904228264812</v>
      </c>
      <c r="G43" s="85">
        <f>G38/G41</f>
        <v>8.811158437482492</v>
      </c>
      <c r="H43" s="82">
        <f>H38/H41</f>
        <v>-5.629438358824683</v>
      </c>
      <c r="I43" s="53"/>
      <c r="J43" s="53"/>
    </row>
    <row r="44">
      <c r="B44" s="53" t="s">
        <v>260</v>
      </c>
      <c r="C44" s="52"/>
      <c r="D44" s="52"/>
      <c r="E44" s="52"/>
      <c r="F44" s="52"/>
      <c r="G44" s="52"/>
      <c r="H44" s="54"/>
      <c r="I44" s="53"/>
      <c r="J44" s="53"/>
    </row>
    <row r="45">
      <c r="B45" s="53" t="s">
        <v>261</v>
      </c>
      <c r="C45" s="61">
        <v>0</v>
      </c>
      <c r="D45" s="61">
        <v>0</v>
      </c>
      <c r="E45" s="61">
        <v>0</v>
      </c>
      <c r="F45" s="61">
        <v>0</v>
      </c>
      <c r="G45" s="61">
        <v>0</v>
      </c>
      <c r="H45" s="76">
        <v>0</v>
      </c>
      <c r="I45" s="53"/>
      <c r="J45" s="53"/>
    </row>
    <row r="46">
      <c r="B46" s="53" t="s">
        <v>262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76">
        <v>0</v>
      </c>
      <c r="I46" s="53"/>
      <c r="J46" s="53"/>
    </row>
    <row r="47">
      <c r="B47" s="53" t="s">
        <v>263</v>
      </c>
      <c r="C47" s="61">
        <v>0</v>
      </c>
      <c r="D47" s="61">
        <v>0</v>
      </c>
      <c r="E47" s="61">
        <v>0</v>
      </c>
      <c r="F47" s="61">
        <v>0</v>
      </c>
      <c r="G47" s="61">
        <v>0</v>
      </c>
      <c r="H47" s="76">
        <v>0</v>
      </c>
      <c r="I47" s="53"/>
      <c r="J47" s="53"/>
    </row>
    <row r="48">
      <c r="B48" s="53" t="s">
        <v>264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76">
        <v>0</v>
      </c>
      <c r="I48" s="53"/>
      <c r="J48" s="53"/>
    </row>
    <row r="49">
      <c r="B49" s="53" t="s">
        <v>265</v>
      </c>
      <c r="C49" s="61">
        <v>0</v>
      </c>
      <c r="D49" s="61">
        <v>0</v>
      </c>
      <c r="E49" s="61">
        <v>0</v>
      </c>
      <c r="F49" s="61">
        <v>0</v>
      </c>
      <c r="G49" s="61">
        <v>0</v>
      </c>
      <c r="H49" s="76">
        <v>0</v>
      </c>
      <c r="I49" s="53"/>
      <c r="J49" s="53"/>
    </row>
    <row r="50">
      <c r="B50" s="65" t="s">
        <v>266</v>
      </c>
      <c r="C50" s="62">
        <f>SUM(C38,C45:C49)</f>
        <v>-185.46</v>
      </c>
      <c r="D50" s="62">
        <f>SUM(D38,D45:D49)</f>
        <v>280.00399999999985</v>
      </c>
      <c r="E50" s="62">
        <f>SUM(E38,E45:E49)</f>
        <v>-186.75200000000007</v>
      </c>
      <c r="F50" s="62">
        <f>SUM(F38,F45:F49)</f>
        <v>210.00699999999978</v>
      </c>
      <c r="G50" s="62">
        <f>SUM(G38,G45:G49)</f>
        <v>314.4350000000002</v>
      </c>
      <c r="H50" s="70">
        <f>SUM(H38,H45:H49)</f>
        <v>-200.59377703999996</v>
      </c>
      <c r="I50" s="53"/>
      <c r="J50" s="53"/>
    </row>
    <row r="51">
      <c r="B51" s="65" t="s">
        <v>28</v>
      </c>
      <c r="C51" s="85">
        <f>C50/C41</f>
        <v>-5.077757091227686</v>
      </c>
      <c r="D51" s="85">
        <f>D50/D41</f>
        <v>7.526179980647238</v>
      </c>
      <c r="E51" s="85">
        <f>E50/E41</f>
        <v>-5.200556947925372</v>
      </c>
      <c r="F51" s="85">
        <f>F50/F41</f>
        <v>5.868904228264812</v>
      </c>
      <c r="G51" s="85">
        <f>G50/G41</f>
        <v>8.811158437482492</v>
      </c>
      <c r="H51" s="82">
        <f>H50/H41</f>
        <v>-5.629438358824683</v>
      </c>
      <c r="I51" s="53"/>
      <c r="J51" s="53"/>
    </row>
    <row r="52">
      <c r="B52" s="53" t="s">
        <v>267</v>
      </c>
      <c r="C52" s="52">
        <f>C43-C38/C41</f>
        <v>0</v>
      </c>
      <c r="D52" s="52">
        <f>D43-D38/D41</f>
        <v>0</v>
      </c>
      <c r="E52" s="52">
        <f>E43-E38/E41</f>
        <v>0</v>
      </c>
      <c r="F52" s="52">
        <f>F43-F38/F41</f>
        <v>0</v>
      </c>
      <c r="G52" s="52">
        <f>G43-G38/G41</f>
        <v>0</v>
      </c>
      <c r="H52" s="54">
        <f>H43-H38/H41</f>
        <v>0</v>
      </c>
      <c r="I52" s="53"/>
      <c r="J52" s="53"/>
    </row>
    <row r="53">
      <c r="B53" s="53" t="s">
        <v>268</v>
      </c>
      <c r="C53" s="57">
        <f>C43-Inputs!F11</f>
        <v>0.002242908772314145</v>
      </c>
      <c r="D53" s="52"/>
      <c r="E53" s="57">
        <f>E43-Inputs!F12</f>
        <v>-0.0005569479253715315</v>
      </c>
      <c r="F53" s="57">
        <f>F43-Inputs!F13</f>
        <v>-0.0010957717351880447</v>
      </c>
      <c r="G53" s="57">
        <f>G43-Inputs!F14</f>
        <v>0.0011584374824913368</v>
      </c>
      <c r="H53" s="54"/>
      <c r="I53" s="53"/>
      <c r="J53" s="53"/>
    </row>
    <row r="54">
      <c r="B54" s="53" t="s">
        <v>269</v>
      </c>
      <c r="C54" s="57">
        <f>C38-Inputs!C82</f>
        <v>0</v>
      </c>
      <c r="D54" s="57">
        <f>D38-Inputs!C83</f>
        <v>0</v>
      </c>
      <c r="E54" s="57">
        <f>E38-Inputs!C84</f>
        <v>0</v>
      </c>
      <c r="F54" s="52"/>
      <c r="G54" s="52"/>
      <c r="H54" s="54"/>
      <c r="I54" s="53"/>
      <c r="J54" s="53"/>
    </row>
    <row r="55">
      <c r="B55" s="53"/>
      <c r="C55" s="52"/>
      <c r="D55" s="52"/>
      <c r="E55" s="52"/>
      <c r="F55" s="52"/>
      <c r="G55" s="52"/>
      <c r="H55" s="54"/>
      <c r="I55" s="53"/>
      <c r="J55" s="53"/>
    </row>
    <row r="56">
      <c r="B56" s="53" t="s">
        <v>270</v>
      </c>
      <c r="C56" s="56"/>
      <c r="D56" s="56"/>
      <c r="E56" s="56"/>
      <c r="F56" s="56"/>
      <c r="G56" s="56"/>
      <c r="H56" s="59">
        <v>0.205</v>
      </c>
      <c r="I56" s="53"/>
      <c r="J56" s="53"/>
    </row>
    <row r="57">
      <c r="B57" s="53" t="s">
        <v>271</v>
      </c>
      <c r="C57" s="56"/>
      <c r="D57" s="56"/>
      <c r="E57" s="56"/>
      <c r="F57" s="56"/>
      <c r="G57" s="56"/>
      <c r="H57" s="59">
        <v>-0.047</v>
      </c>
      <c r="I57" s="53"/>
      <c r="J57" s="53"/>
    </row>
    <row r="58">
      <c r="B58" s="53" t="s">
        <v>272</v>
      </c>
      <c r="C58" s="56"/>
      <c r="D58" s="56"/>
      <c r="E58" s="56"/>
      <c r="F58" s="56"/>
      <c r="G58" s="56"/>
      <c r="H58" s="59">
        <v>-0.115</v>
      </c>
      <c r="I58" s="53"/>
      <c r="J58" s="53"/>
    </row>
    <row r="59">
      <c r="B59" s="53" t="s">
        <v>273</v>
      </c>
      <c r="C59" s="56"/>
      <c r="D59" s="56"/>
      <c r="E59" s="56"/>
      <c r="F59" s="56"/>
      <c r="G59" s="56"/>
      <c r="H59" s="59">
        <v>0.01</v>
      </c>
      <c r="I59" s="53"/>
      <c r="J59" s="53"/>
    </row>
    <row r="60">
      <c r="B60" s="53" t="s">
        <v>274</v>
      </c>
      <c r="C60" s="56"/>
      <c r="D60" s="56"/>
      <c r="E60" s="56"/>
      <c r="F60" s="56"/>
      <c r="G60" s="56"/>
      <c r="H60" s="59">
        <v>0.16</v>
      </c>
      <c r="I60" s="53"/>
      <c r="J60" s="53"/>
    </row>
    <row r="61">
      <c r="B61" s="53" t="s">
        <v>275</v>
      </c>
      <c r="C61" s="56"/>
      <c r="D61" s="56"/>
      <c r="E61" s="56"/>
      <c r="F61" s="56"/>
      <c r="G61" s="56"/>
      <c r="H61" s="59">
        <v>0</v>
      </c>
      <c r="I61" s="53"/>
      <c r="J61" s="53"/>
    </row>
    <row r="62">
      <c r="B62" s="53" t="s">
        <v>276</v>
      </c>
      <c r="C62" s="52"/>
      <c r="D62" s="52"/>
      <c r="E62" s="52"/>
      <c r="F62" s="52"/>
      <c r="G62" s="52"/>
      <c r="H62" s="76">
        <v>-4</v>
      </c>
      <c r="I62" s="53"/>
      <c r="J62" s="53"/>
    </row>
    <row r="63">
      <c r="B63" s="53" t="s">
        <v>277</v>
      </c>
      <c r="C63" s="52"/>
      <c r="D63" s="52"/>
      <c r="E63" s="52"/>
      <c r="F63" s="52"/>
      <c r="G63" s="52"/>
      <c r="H63" s="76">
        <v>-1</v>
      </c>
      <c r="I63" s="53"/>
      <c r="J63" s="53"/>
    </row>
    <row r="64">
      <c r="B64" s="53" t="s">
        <v>278</v>
      </c>
      <c r="C64" s="56"/>
      <c r="D64" s="56"/>
      <c r="E64" s="56"/>
      <c r="F64" s="56"/>
      <c r="G64" s="56"/>
      <c r="H64" s="59">
        <v>0</v>
      </c>
      <c r="I64" s="53"/>
      <c r="J64" s="53"/>
    </row>
    <row r="65">
      <c r="B65" s="53" t="s">
        <v>279</v>
      </c>
      <c r="C65" s="56"/>
      <c r="D65" s="56"/>
      <c r="E65" s="56"/>
      <c r="F65" s="56"/>
      <c r="G65" s="56"/>
      <c r="H65" s="59">
        <v>-0.025</v>
      </c>
      <c r="I65" s="53"/>
      <c r="J65" s="53"/>
    </row>
    <row r="66">
      <c r="B66" s="53"/>
      <c r="C66" s="52"/>
      <c r="D66" s="52"/>
      <c r="E66" s="52"/>
      <c r="F66" s="52"/>
      <c r="G66" s="52"/>
      <c r="H66" s="54"/>
      <c r="I66" s="53"/>
      <c r="J66" s="53"/>
    </row>
    <row r="67">
      <c r="B67" s="53"/>
      <c r="C67" s="52"/>
      <c r="D67" s="52"/>
      <c r="E67" s="52"/>
      <c r="F67" s="52"/>
      <c r="G67" s="52"/>
      <c r="H67" s="54"/>
      <c r="I67" s="53"/>
      <c r="J67" s="53"/>
    </row>
    <row r="68">
      <c r="B68" s="53"/>
      <c r="C68" s="52"/>
      <c r="D68" s="52"/>
      <c r="E68" s="52"/>
      <c r="F68" s="52"/>
      <c r="G68" s="52"/>
      <c r="H68" s="54"/>
      <c r="I68" s="53"/>
      <c r="J68" s="53"/>
    </row>
    <row r="69">
      <c r="B69" s="53"/>
      <c r="C69" s="52"/>
      <c r="D69" s="52"/>
      <c r="E69" s="52"/>
      <c r="F69" s="52"/>
      <c r="G69" s="52"/>
      <c r="H69" s="54"/>
      <c r="I69" s="53"/>
      <c r="J69" s="53"/>
    </row>
    <row r="70">
      <c r="B70" s="53"/>
      <c r="C70" s="52"/>
      <c r="D70" s="52"/>
      <c r="E70" s="52"/>
      <c r="F70" s="52"/>
      <c r="G70" s="52"/>
      <c r="H70" s="54"/>
      <c r="I70" s="53"/>
      <c r="J70" s="53"/>
    </row>
    <row r="71">
      <c r="B71" s="53"/>
      <c r="C71" s="52"/>
      <c r="D71" s="52"/>
      <c r="E71" s="52"/>
      <c r="F71" s="52"/>
      <c r="G71" s="52"/>
      <c r="H71" s="54"/>
      <c r="I71" s="53"/>
      <c r="J71" s="53"/>
    </row>
    <row r="72">
      <c r="B72" s="53"/>
      <c r="C72" s="52"/>
      <c r="D72" s="52"/>
      <c r="E72" s="52"/>
      <c r="F72" s="52"/>
      <c r="G72" s="52"/>
      <c r="H72" s="54"/>
      <c r="I72" s="53"/>
      <c r="J72" s="53"/>
    </row>
    <row r="73">
      <c r="B73" s="53"/>
      <c r="C73" s="52"/>
      <c r="D73" s="52"/>
      <c r="E73" s="52"/>
      <c r="F73" s="52"/>
      <c r="G73" s="52"/>
      <c r="H73" s="54"/>
      <c r="I73" s="53"/>
      <c r="J73" s="53"/>
    </row>
    <row r="74">
      <c r="B74" s="53"/>
      <c r="C74" s="52"/>
      <c r="D74" s="52"/>
      <c r="E74" s="52"/>
      <c r="F74" s="52"/>
      <c r="G74" s="52"/>
      <c r="H74" s="54"/>
      <c r="I74" s="53"/>
      <c r="J74" s="53"/>
    </row>
    <row r="75">
      <c r="B75" s="53"/>
      <c r="C75" s="52"/>
      <c r="D75" s="52"/>
      <c r="E75" s="52"/>
      <c r="F75" s="52"/>
      <c r="G75" s="52"/>
      <c r="H75" s="54"/>
      <c r="I75" s="53"/>
      <c r="J75" s="53"/>
    </row>
    <row r="76">
      <c r="B76" s="53"/>
      <c r="C76" s="52"/>
      <c r="D76" s="52"/>
      <c r="E76" s="52"/>
      <c r="F76" s="52"/>
      <c r="G76" s="52"/>
      <c r="H76" s="54"/>
      <c r="I76" s="53"/>
      <c r="J76" s="53"/>
    </row>
    <row r="77">
      <c r="B77" s="53"/>
      <c r="C77" s="52"/>
      <c r="D77" s="52"/>
      <c r="E77" s="52"/>
      <c r="F77" s="52"/>
      <c r="G77" s="52"/>
      <c r="H77" s="54"/>
      <c r="I77" s="53"/>
      <c r="J77" s="53"/>
    </row>
    <row r="78">
      <c r="B78" s="53"/>
      <c r="C78" s="52"/>
      <c r="D78" s="52"/>
      <c r="E78" s="52"/>
      <c r="F78" s="52"/>
      <c r="G78" s="52"/>
      <c r="H78" s="54"/>
      <c r="I78" s="53"/>
      <c r="J78" s="53"/>
    </row>
    <row r="79">
      <c r="B79" s="53"/>
      <c r="C79" s="52"/>
      <c r="D79" s="52"/>
      <c r="E79" s="52"/>
      <c r="F79" s="52"/>
      <c r="G79" s="52"/>
      <c r="H79" s="54"/>
      <c r="I79" s="53"/>
      <c r="J79" s="53"/>
    </row>
    <row r="80">
      <c r="B80" s="53"/>
      <c r="C80" s="52"/>
      <c r="D80" s="52"/>
      <c r="E80" s="52"/>
      <c r="F80" s="52"/>
      <c r="G80" s="52"/>
      <c r="H80" s="54"/>
      <c r="I80" s="53"/>
      <c r="J80" s="53"/>
    </row>
    <row r="81">
      <c r="B81" s="53"/>
      <c r="C81" s="52"/>
      <c r="D81" s="52"/>
      <c r="E81" s="52"/>
      <c r="F81" s="52"/>
      <c r="G81" s="52"/>
      <c r="H81" s="54"/>
      <c r="I81" s="53"/>
      <c r="J81" s="53"/>
    </row>
    <row r="82">
      <c r="B82" s="53"/>
      <c r="C82" s="52"/>
      <c r="D82" s="52"/>
      <c r="E82" s="52"/>
      <c r="F82" s="52"/>
      <c r="G82" s="52"/>
      <c r="H82" s="54"/>
      <c r="I82" s="53"/>
      <c r="J82" s="53"/>
    </row>
    <row r="83">
      <c r="B83" s="53"/>
      <c r="C83" s="52"/>
      <c r="D83" s="52"/>
      <c r="E83" s="52"/>
      <c r="F83" s="52"/>
      <c r="G83" s="52"/>
      <c r="H83" s="54"/>
      <c r="I83" s="53"/>
      <c r="J83" s="53"/>
    </row>
    <row r="84">
      <c r="B84" s="53"/>
      <c r="C84" s="52"/>
      <c r="D84" s="52"/>
      <c r="E84" s="52"/>
      <c r="F84" s="52"/>
      <c r="G84" s="52"/>
      <c r="H84" s="54"/>
      <c r="I84" s="53"/>
      <c r="J84" s="53"/>
    </row>
    <row r="85">
      <c r="B85" s="53"/>
      <c r="C85" s="52"/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/>
      <c r="C89" s="52"/>
      <c r="D89" s="52"/>
      <c r="E89" s="52"/>
      <c r="F89" s="52"/>
      <c r="G89" s="52"/>
      <c r="H89" s="54"/>
      <c r="I89" s="53"/>
      <c r="J89" s="53"/>
    </row>
    <row r="90">
      <c r="B90" s="53"/>
      <c r="C90" s="52"/>
      <c r="D90" s="52"/>
      <c r="E90" s="52"/>
      <c r="F90" s="52"/>
      <c r="G90" s="52"/>
      <c r="H90" s="54"/>
      <c r="I90" s="53"/>
      <c r="J90" s="53"/>
    </row>
    <row r="91">
      <c r="B91" s="53"/>
      <c r="C91" s="52"/>
      <c r="D91" s="52"/>
      <c r="E91" s="52"/>
      <c r="F91" s="52"/>
      <c r="G91" s="52"/>
      <c r="H91" s="54"/>
      <c r="I91" s="53"/>
      <c r="J91" s="53"/>
    </row>
    <row r="92">
      <c r="B92" s="53"/>
      <c r="C92" s="52"/>
      <c r="D92" s="52"/>
      <c r="E92" s="52"/>
      <c r="F92" s="52"/>
      <c r="G92" s="52"/>
      <c r="H92" s="54"/>
      <c r="I92" s="53"/>
      <c r="J92" s="53"/>
    </row>
    <row r="93">
      <c r="B93" s="53"/>
      <c r="C93" s="52"/>
      <c r="D93" s="52"/>
      <c r="E93" s="52"/>
      <c r="F93" s="52"/>
      <c r="G93" s="52"/>
      <c r="H93" s="54"/>
      <c r="I93" s="53"/>
      <c r="J93" s="53"/>
    </row>
    <row r="94">
      <c r="B94" s="53"/>
      <c r="C94" s="52"/>
      <c r="D94" s="52"/>
      <c r="E94" s="52"/>
      <c r="F94" s="52"/>
      <c r="G94" s="52"/>
      <c r="H94" s="54"/>
      <c r="I94" s="53"/>
      <c r="J94" s="53"/>
    </row>
    <row r="95">
      <c r="B95" s="53"/>
      <c r="C95" s="52"/>
      <c r="D95" s="52"/>
      <c r="E95" s="52"/>
      <c r="F95" s="52"/>
      <c r="G95" s="52"/>
      <c r="H95" s="54"/>
      <c r="I95" s="53"/>
      <c r="J95" s="53"/>
    </row>
    <row r="96">
      <c r="B96" s="53"/>
      <c r="C96" s="52"/>
      <c r="D96" s="52"/>
      <c r="E96" s="52"/>
      <c r="F96" s="52"/>
      <c r="G96" s="52"/>
      <c r="H96" s="54"/>
      <c r="I96" s="53"/>
      <c r="J96" s="53"/>
    </row>
    <row r="97">
      <c r="B97" s="53"/>
      <c r="C97" s="52"/>
      <c r="D97" s="52"/>
      <c r="E97" s="52"/>
      <c r="F97" s="52"/>
      <c r="G97" s="52"/>
      <c r="H97" s="54"/>
      <c r="I97" s="53"/>
      <c r="J97" s="53"/>
    </row>
    <row r="98">
      <c r="B98" s="53"/>
      <c r="C98" s="52"/>
      <c r="D98" s="52"/>
      <c r="E98" s="52"/>
      <c r="F98" s="52"/>
      <c r="G98" s="52"/>
      <c r="H98" s="54"/>
      <c r="I98" s="53"/>
      <c r="J98" s="53"/>
    </row>
    <row r="99">
      <c r="B99" s="53"/>
      <c r="C99" s="52"/>
      <c r="D99" s="52"/>
      <c r="E99" s="52"/>
      <c r="F99" s="52"/>
      <c r="G99" s="52"/>
      <c r="H99" s="54"/>
      <c r="I99" s="53"/>
      <c r="J99" s="53"/>
    </row>
    <row r="100">
      <c r="B100" s="53"/>
      <c r="C100" s="52"/>
      <c r="D100" s="52"/>
      <c r="E100" s="52"/>
      <c r="F100" s="52"/>
      <c r="G100" s="52"/>
      <c r="H100" s="54"/>
      <c r="I100" s="53"/>
      <c r="J100" s="53"/>
    </row>
    <row r="101">
      <c r="B101" s="53"/>
      <c r="C101" s="52"/>
      <c r="D101" s="52"/>
      <c r="E101" s="52"/>
      <c r="F101" s="52"/>
      <c r="G101" s="52"/>
      <c r="H101" s="54"/>
      <c r="I101" s="53"/>
      <c r="J101" s="53"/>
    </row>
    <row r="102">
      <c r="B102" s="53"/>
      <c r="C102" s="52"/>
      <c r="D102" s="52"/>
      <c r="E102" s="52"/>
      <c r="F102" s="52"/>
      <c r="G102" s="52"/>
      <c r="H102" s="54"/>
      <c r="I102" s="53"/>
      <c r="J102" s="53"/>
    </row>
    <row r="103">
      <c r="B103" s="53"/>
      <c r="C103" s="52"/>
      <c r="D103" s="52"/>
      <c r="E103" s="52"/>
      <c r="F103" s="52"/>
      <c r="G103" s="52"/>
      <c r="H103" s="54"/>
      <c r="I103" s="53"/>
      <c r="J103" s="53"/>
    </row>
    <row r="104">
      <c r="B104" s="53"/>
      <c r="C104" s="52"/>
      <c r="D104" s="52"/>
      <c r="E104" s="52"/>
      <c r="F104" s="52"/>
      <c r="G104" s="52"/>
      <c r="H104" s="54"/>
      <c r="I104" s="53"/>
      <c r="J104" s="53"/>
    </row>
    <row r="105">
      <c r="B105" s="53"/>
      <c r="C105" s="52"/>
      <c r="D105" s="52"/>
      <c r="E105" s="52"/>
      <c r="F105" s="52"/>
      <c r="G105" s="52"/>
      <c r="H105" s="54"/>
      <c r="I105" s="53"/>
      <c r="J105" s="53"/>
    </row>
    <row r="106">
      <c r="B106" s="53"/>
      <c r="C106" s="52"/>
      <c r="D106" s="52"/>
      <c r="E106" s="52"/>
      <c r="F106" s="52"/>
      <c r="G106" s="52"/>
      <c r="H106" s="54"/>
      <c r="I106" s="53"/>
      <c r="J106" s="53"/>
    </row>
    <row r="107">
      <c r="B107" s="53"/>
      <c r="C107" s="52"/>
      <c r="D107" s="52"/>
      <c r="E107" s="52"/>
      <c r="F107" s="52"/>
      <c r="G107" s="52"/>
      <c r="H107" s="54"/>
      <c r="I107" s="53"/>
      <c r="J107" s="53"/>
    </row>
    <row r="108">
      <c r="B108" s="53"/>
      <c r="C108" s="52"/>
      <c r="D108" s="52"/>
      <c r="E108" s="52"/>
      <c r="F108" s="52"/>
      <c r="G108" s="52"/>
      <c r="H108" s="54"/>
      <c r="I108" s="53"/>
      <c r="J108" s="53"/>
    </row>
    <row r="109">
      <c r="B109" s="53"/>
      <c r="C109" s="52"/>
      <c r="D109" s="52"/>
      <c r="E109" s="52"/>
      <c r="F109" s="52"/>
      <c r="G109" s="52"/>
      <c r="H109" s="54"/>
      <c r="I109" s="53"/>
      <c r="J109" s="53"/>
    </row>
    <row r="110">
      <c r="B110" s="53"/>
      <c r="C110" s="52"/>
      <c r="D110" s="52"/>
      <c r="E110" s="52"/>
      <c r="F110" s="52"/>
      <c r="G110" s="52"/>
      <c r="H110" s="54"/>
      <c r="I110" s="53"/>
      <c r="J110" s="53"/>
    </row>
    <row r="111">
      <c r="B111" s="53"/>
      <c r="C111" s="52"/>
      <c r="D111" s="52"/>
      <c r="E111" s="52"/>
      <c r="F111" s="52"/>
      <c r="G111" s="52"/>
      <c r="H111" s="54"/>
      <c r="I111" s="53"/>
      <c r="J111" s="53"/>
    </row>
    <row r="112">
      <c r="B112" s="53"/>
      <c r="C112" s="52"/>
      <c r="D112" s="52"/>
      <c r="E112" s="52"/>
      <c r="F112" s="52"/>
      <c r="G112" s="52"/>
      <c r="H112" s="54"/>
      <c r="I112" s="53"/>
      <c r="J112" s="53"/>
    </row>
    <row r="113">
      <c r="B113" s="53"/>
      <c r="C113" s="52"/>
      <c r="D113" s="52"/>
      <c r="E113" s="52"/>
      <c r="F113" s="52"/>
      <c r="G113" s="52"/>
      <c r="H113" s="54"/>
      <c r="I113" s="53"/>
      <c r="J113" s="53"/>
    </row>
    <row r="114">
      <c r="B114" s="53"/>
      <c r="C114" s="52"/>
      <c r="D114" s="52"/>
      <c r="E114" s="52"/>
      <c r="F114" s="52"/>
      <c r="G114" s="52"/>
      <c r="H114" s="54"/>
      <c r="I114" s="53"/>
      <c r="J114" s="53"/>
    </row>
    <row r="115">
      <c r="B115" s="53"/>
      <c r="C115" s="52"/>
      <c r="D115" s="52"/>
      <c r="E115" s="52"/>
      <c r="F115" s="52"/>
      <c r="G115" s="52"/>
      <c r="H115" s="54"/>
      <c r="I115" s="53"/>
      <c r="J115" s="53"/>
    </row>
    <row r="116">
      <c r="B116" s="53"/>
      <c r="C116" s="52"/>
      <c r="D116" s="52"/>
      <c r="E116" s="52"/>
      <c r="F116" s="52"/>
      <c r="G116" s="52"/>
      <c r="H116" s="54"/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/>
      <c r="C118" s="52"/>
      <c r="D118" s="52"/>
      <c r="E118" s="52"/>
      <c r="F118" s="52"/>
      <c r="G118" s="52"/>
      <c r="H118" s="54"/>
      <c r="I118" s="53"/>
      <c r="J118" s="53"/>
    </row>
    <row r="119">
      <c r="B119" s="53"/>
      <c r="C119" s="52"/>
      <c r="D119" s="52"/>
      <c r="E119" s="52"/>
      <c r="F119" s="52"/>
      <c r="G119" s="52"/>
      <c r="H119" s="54"/>
      <c r="I119" s="53"/>
      <c r="J119" s="53"/>
    </row>
    <row r="120">
      <c r="B120" s="53"/>
      <c r="C120" s="52"/>
      <c r="D120" s="52"/>
      <c r="E120" s="52"/>
      <c r="F120" s="52"/>
      <c r="G120" s="52"/>
      <c r="H120" s="54"/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/>
      <c r="C122" s="52"/>
      <c r="D122" s="52"/>
      <c r="E122" s="52"/>
      <c r="F122" s="52"/>
      <c r="G122" s="52"/>
      <c r="H122" s="54"/>
      <c r="I122" s="53"/>
      <c r="J122" s="53"/>
    </row>
    <row r="123">
      <c r="B123" s="53"/>
      <c r="C123" s="52"/>
      <c r="D123" s="52"/>
      <c r="E123" s="52"/>
      <c r="F123" s="52"/>
      <c r="G123" s="52"/>
      <c r="H123" s="54"/>
      <c r="I123" s="53"/>
      <c r="J123" s="53"/>
    </row>
    <row r="124">
      <c r="B124" s="53"/>
      <c r="C124" s="52"/>
      <c r="D124" s="52"/>
      <c r="E124" s="52"/>
      <c r="F124" s="52"/>
      <c r="G124" s="52"/>
      <c r="H124" s="54"/>
      <c r="I124" s="53"/>
      <c r="J124" s="53"/>
    </row>
    <row r="125">
      <c r="B125" s="53"/>
      <c r="C125" s="52"/>
      <c r="D125" s="52"/>
      <c r="E125" s="52"/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/>
      <c r="C127" s="52"/>
      <c r="D127" s="52"/>
      <c r="E127" s="52"/>
      <c r="F127" s="52"/>
      <c r="G127" s="52"/>
      <c r="H127" s="54"/>
      <c r="I127" s="53"/>
      <c r="J127" s="53"/>
    </row>
    <row r="128">
      <c r="B128" s="53"/>
      <c r="C128" s="52"/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3" customWidth="1"/>
    <col min="10" max="10" width="18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280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>
      <c r="B9" s="53"/>
      <c r="C9" s="52"/>
      <c r="D9" s="52"/>
      <c r="E9" s="52"/>
      <c r="F9" s="52"/>
      <c r="G9" s="52"/>
      <c r="H9" s="54"/>
      <c r="I9" s="53"/>
      <c r="J9" s="53"/>
    </row>
    <row r="10">
      <c r="B10" s="53" t="s">
        <v>281</v>
      </c>
      <c r="C10" s="52">
        <f>D10</f>
        <v>440.29</v>
      </c>
      <c r="D10" s="61">
        <v>440.29</v>
      </c>
      <c r="E10" s="61">
        <v>581.465</v>
      </c>
      <c r="F10" s="61">
        <v>384.737</v>
      </c>
      <c r="G10" s="61">
        <v>371.374</v>
      </c>
      <c r="H10" s="79">
        <f>'Cash Flow Statement'!H23-H11</f>
        <v>262.41487296000093</v>
      </c>
      <c r="I10" s="53"/>
      <c r="J10" s="53"/>
    </row>
    <row r="11">
      <c r="B11" s="53" t="s">
        <v>282</v>
      </c>
      <c r="C11" s="52">
        <f>D11</f>
        <v>16.129</v>
      </c>
      <c r="D11" s="61">
        <v>16.129</v>
      </c>
      <c r="E11" s="61">
        <v>19.12</v>
      </c>
      <c r="F11" s="61">
        <v>21.1</v>
      </c>
      <c r="G11" s="61">
        <v>15.946</v>
      </c>
      <c r="H11" s="54">
        <f>G11</f>
        <v>15.946</v>
      </c>
      <c r="I11" s="53"/>
      <c r="J11" s="53"/>
    </row>
    <row r="12">
      <c r="B12" s="53" t="s">
        <v>283</v>
      </c>
      <c r="C12" s="52">
        <f>D12</f>
        <v>382.37</v>
      </c>
      <c r="D12" s="61">
        <v>382.37</v>
      </c>
      <c r="E12" s="61">
        <v>97.53</v>
      </c>
      <c r="F12" s="61">
        <v>160.049</v>
      </c>
      <c r="G12" s="61">
        <v>356.917</v>
      </c>
      <c r="H12" s="54">
        <f>C12*(1+H50)</f>
        <v>378.5463</v>
      </c>
      <c r="I12" s="53"/>
      <c r="J12" s="53"/>
    </row>
    <row r="13">
      <c r="B13" s="53" t="s">
        <v>284</v>
      </c>
      <c r="C13" s="52">
        <f>D13</f>
        <v>117.178</v>
      </c>
      <c r="D13" s="61">
        <v>117.178</v>
      </c>
      <c r="E13" s="61">
        <v>154.378</v>
      </c>
      <c r="F13" s="61">
        <v>141.381</v>
      </c>
      <c r="G13" s="61">
        <v>129.069</v>
      </c>
      <c r="H13" s="54">
        <f>C13*(1+H51)</f>
        <v>121.86512</v>
      </c>
      <c r="I13" s="53"/>
      <c r="J13" s="53"/>
    </row>
    <row r="14">
      <c r="B14" s="53" t="s">
        <v>285</v>
      </c>
      <c r="C14" s="52">
        <f>D14</f>
        <v>93.823</v>
      </c>
      <c r="D14" s="61">
        <v>93.823</v>
      </c>
      <c r="E14" s="61">
        <v>195.115</v>
      </c>
      <c r="F14" s="61">
        <v>115.455</v>
      </c>
      <c r="G14" s="61">
        <v>78.916</v>
      </c>
      <c r="H14" s="54">
        <f>C14*(1+H52)</f>
        <v>93.823</v>
      </c>
      <c r="I14" s="53"/>
      <c r="J14" s="53"/>
    </row>
    <row r="15">
      <c r="B15" s="65" t="s">
        <v>286</v>
      </c>
      <c r="C15" s="62">
        <f>SUM(C10:C14)</f>
        <v>1049.79</v>
      </c>
      <c r="D15" s="62">
        <f>SUM(D10:D14)</f>
        <v>1049.79</v>
      </c>
      <c r="E15" s="62">
        <f>SUM(E10:E14)</f>
        <v>1047.608</v>
      </c>
      <c r="F15" s="62">
        <f>SUM(F10:F14)</f>
        <v>822.722</v>
      </c>
      <c r="G15" s="62">
        <f>SUM(G10:G14)</f>
        <v>952.222</v>
      </c>
      <c r="H15" s="70">
        <f>SUM(H10:H14)</f>
        <v>872.595292960001</v>
      </c>
      <c r="I15" s="53"/>
      <c r="J15" s="53"/>
    </row>
    <row r="16">
      <c r="B16" s="53"/>
      <c r="C16" s="52"/>
      <c r="D16" s="52"/>
      <c r="E16" s="52"/>
      <c r="F16" s="52"/>
      <c r="G16" s="52"/>
      <c r="H16" s="54"/>
      <c r="I16" s="53"/>
      <c r="J16" s="53"/>
    </row>
    <row r="17">
      <c r="B17" s="53" t="s">
        <v>287</v>
      </c>
      <c r="C17" s="52">
        <f>D17</f>
        <v>2374.654</v>
      </c>
      <c r="D17" s="61">
        <v>2374.654</v>
      </c>
      <c r="E17" s="61">
        <v>2380.418</v>
      </c>
      <c r="F17" s="61">
        <v>2413.722</v>
      </c>
      <c r="G17" s="61">
        <v>2371.161</v>
      </c>
      <c r="H17" s="54">
        <f>C17*(1+H53)</f>
        <v>2339.03419</v>
      </c>
      <c r="I17" s="53"/>
      <c r="J17" s="53"/>
    </row>
    <row r="18">
      <c r="B18" s="53" t="s">
        <v>288</v>
      </c>
      <c r="C18" s="52">
        <f>D18</f>
        <v>87.853</v>
      </c>
      <c r="D18" s="61">
        <v>87.853</v>
      </c>
      <c r="E18" s="61">
        <v>85.222</v>
      </c>
      <c r="F18" s="61">
        <v>76.317</v>
      </c>
      <c r="G18" s="61">
        <v>76.439</v>
      </c>
      <c r="H18" s="79">
        <f>'Segment - Real Estate'!H27</f>
        <v>76.439</v>
      </c>
      <c r="I18" s="53"/>
      <c r="J18" s="53"/>
    </row>
    <row r="19">
      <c r="B19" s="53" t="s">
        <v>289</v>
      </c>
      <c r="C19" s="52">
        <f>D19</f>
        <v>1675.215</v>
      </c>
      <c r="D19" s="61">
        <v>1675.215</v>
      </c>
      <c r="E19" s="61">
        <v>1664.522</v>
      </c>
      <c r="F19" s="61">
        <v>1698.098</v>
      </c>
      <c r="G19" s="61">
        <v>1703.085</v>
      </c>
      <c r="H19" s="54">
        <f>C19*(1+H54)</f>
        <v>1675.215</v>
      </c>
      <c r="I19" s="53"/>
      <c r="J19" s="53"/>
    </row>
    <row r="20">
      <c r="B20" s="53" t="s">
        <v>290</v>
      </c>
      <c r="C20" s="52">
        <f>D20</f>
        <v>298.497</v>
      </c>
      <c r="D20" s="61">
        <v>298.497</v>
      </c>
      <c r="E20" s="61">
        <v>296.035</v>
      </c>
      <c r="F20" s="61">
        <v>300.084</v>
      </c>
      <c r="G20" s="61">
        <v>299.505</v>
      </c>
      <c r="H20" s="54">
        <f>G20</f>
        <v>299.505</v>
      </c>
      <c r="I20" s="53"/>
      <c r="J20" s="53"/>
    </row>
    <row r="21">
      <c r="B21" s="53" t="s">
        <v>291</v>
      </c>
      <c r="C21" s="52">
        <f>D21</f>
        <v>242.485</v>
      </c>
      <c r="D21" s="61">
        <v>242.485</v>
      </c>
      <c r="E21" s="61">
        <v>236.527</v>
      </c>
      <c r="F21" s="61">
        <v>237.117</v>
      </c>
      <c r="G21" s="61">
        <v>231.501</v>
      </c>
      <c r="H21" s="54">
        <f>G21</f>
        <v>231.501</v>
      </c>
      <c r="I21" s="53"/>
      <c r="J21" s="53"/>
    </row>
    <row r="22">
      <c r="B22" s="53" t="s">
        <v>292</v>
      </c>
      <c r="C22" s="52">
        <f>D22</f>
        <v>49.391</v>
      </c>
      <c r="D22" s="61">
        <v>49.391</v>
      </c>
      <c r="E22" s="61">
        <v>53.43</v>
      </c>
      <c r="F22" s="61">
        <v>51.942</v>
      </c>
      <c r="G22" s="61">
        <v>52.037</v>
      </c>
      <c r="H22" s="54">
        <f>G22</f>
        <v>52.037</v>
      </c>
      <c r="I22" s="53"/>
      <c r="J22" s="53"/>
    </row>
    <row r="23">
      <c r="B23" s="65" t="s">
        <v>293</v>
      </c>
      <c r="C23" s="62">
        <f>SUM(C15,C17:C22)</f>
        <v>5777.885</v>
      </c>
      <c r="D23" s="62">
        <f>SUM(D15,D17:D22)</f>
        <v>5777.885</v>
      </c>
      <c r="E23" s="62">
        <f>SUM(E15,E17:E22)</f>
        <v>5763.762000000001</v>
      </c>
      <c r="F23" s="62">
        <f>SUM(F15,F17:F22)</f>
        <v>5600.0019999999995</v>
      </c>
      <c r="G23" s="62">
        <f>SUM(G15,G17:G22)</f>
        <v>5685.95</v>
      </c>
      <c r="H23" s="70">
        <f>SUM(H15,H17:H22)</f>
        <v>5546.32648296</v>
      </c>
      <c r="I23" s="53"/>
      <c r="J23" s="53"/>
    </row>
    <row r="24">
      <c r="B24" s="53"/>
      <c r="C24" s="52"/>
      <c r="D24" s="52"/>
      <c r="E24" s="52"/>
      <c r="F24" s="52"/>
      <c r="G24" s="52"/>
      <c r="H24" s="54"/>
      <c r="I24" s="53"/>
      <c r="J24" s="53"/>
    </row>
    <row r="25">
      <c r="B25" s="53" t="s">
        <v>294</v>
      </c>
      <c r="C25" s="52">
        <f>D25</f>
        <v>1056.665</v>
      </c>
      <c r="D25" s="61">
        <v>1056.665</v>
      </c>
      <c r="E25" s="61">
        <v>1346.298</v>
      </c>
      <c r="F25" s="61">
        <v>1236.488</v>
      </c>
      <c r="G25" s="61">
        <v>894.951</v>
      </c>
      <c r="H25" s="54">
        <f>G25*(1+H58)</f>
        <v>859.15296</v>
      </c>
      <c r="I25" s="53"/>
      <c r="J25" s="53"/>
    </row>
    <row r="26">
      <c r="B26" s="53" t="s">
        <v>295</v>
      </c>
      <c r="C26" s="52">
        <f>D26</f>
        <v>11.452</v>
      </c>
      <c r="D26" s="61">
        <v>11.452</v>
      </c>
      <c r="E26" s="61">
        <v>0.923</v>
      </c>
      <c r="F26" s="61">
        <v>13.875</v>
      </c>
      <c r="G26" s="61">
        <v>76.241</v>
      </c>
      <c r="H26" s="54">
        <f>C26</f>
        <v>11.452</v>
      </c>
      <c r="I26" s="53"/>
      <c r="J26" s="53"/>
    </row>
    <row r="27">
      <c r="B27" s="53" t="s">
        <v>296</v>
      </c>
      <c r="C27" s="52">
        <f>D27</f>
        <v>599.509</v>
      </c>
      <c r="D27" s="61">
        <v>599.509</v>
      </c>
      <c r="E27" s="61">
        <v>589.744</v>
      </c>
      <c r="F27" s="61">
        <v>73.005</v>
      </c>
      <c r="G27" s="61">
        <v>73.512</v>
      </c>
      <c r="H27" s="54">
        <f>G27</f>
        <v>73.512</v>
      </c>
      <c r="I27" s="53"/>
      <c r="J27" s="53"/>
    </row>
    <row r="28">
      <c r="B28" s="65" t="s">
        <v>297</v>
      </c>
      <c r="C28" s="62">
        <f>SUM(C25:C27)</f>
        <v>1667.626</v>
      </c>
      <c r="D28" s="62">
        <f>SUM(D25:D27)</f>
        <v>1667.626</v>
      </c>
      <c r="E28" s="62">
        <f>SUM(E25:E27)</f>
        <v>1936.9650000000001</v>
      </c>
      <c r="F28" s="62">
        <f>SUM(F25:F27)</f>
        <v>1323.368</v>
      </c>
      <c r="G28" s="62">
        <f>SUM(G25:G27)</f>
        <v>1044.704</v>
      </c>
      <c r="H28" s="70">
        <f>H25+H26+H27</f>
        <v>944.1169600000001</v>
      </c>
      <c r="I28" s="53"/>
      <c r="J28" s="53"/>
    </row>
    <row r="29">
      <c r="B29" s="53"/>
      <c r="C29" s="52"/>
      <c r="D29" s="52"/>
      <c r="E29" s="52"/>
      <c r="F29" s="52"/>
      <c r="G29" s="52"/>
      <c r="H29" s="54"/>
      <c r="I29" s="53"/>
      <c r="J29" s="53"/>
    </row>
    <row r="30">
      <c r="B30" s="53" t="s">
        <v>298</v>
      </c>
      <c r="C30" s="52">
        <f>D30</f>
        <v>2594.765</v>
      </c>
      <c r="D30" s="61">
        <v>2594.765</v>
      </c>
      <c r="E30" s="61">
        <v>2583.298</v>
      </c>
      <c r="F30" s="61">
        <v>2857.753</v>
      </c>
      <c r="G30" s="61">
        <v>2949.629</v>
      </c>
      <c r="H30" s="79">
        <f>G30+'Cash Flow Statement'!H17</f>
        <v>3159.629</v>
      </c>
      <c r="I30" s="53"/>
      <c r="J30" s="53"/>
    </row>
    <row r="31">
      <c r="B31" s="53" t="s">
        <v>299</v>
      </c>
      <c r="C31" s="52">
        <f>D31</f>
        <v>215.085</v>
      </c>
      <c r="D31" s="61">
        <v>215.085</v>
      </c>
      <c r="E31" s="61">
        <v>211.193</v>
      </c>
      <c r="F31" s="61">
        <v>211.9</v>
      </c>
      <c r="G31" s="61">
        <v>198.406</v>
      </c>
      <c r="H31" s="54">
        <f>G31</f>
        <v>198.406</v>
      </c>
      <c r="I31" s="53"/>
      <c r="J31" s="53"/>
    </row>
    <row r="32">
      <c r="B32" s="53" t="s">
        <v>300</v>
      </c>
      <c r="C32" s="52">
        <f>D32</f>
        <v>294.464</v>
      </c>
      <c r="D32" s="61">
        <v>294.464</v>
      </c>
      <c r="E32" s="61">
        <v>300.002</v>
      </c>
      <c r="F32" s="61">
        <v>297.938</v>
      </c>
      <c r="G32" s="61">
        <v>312.469</v>
      </c>
      <c r="H32" s="54">
        <f>G32*(1+H59)</f>
        <v>331.21714000000003</v>
      </c>
      <c r="I32" s="53"/>
      <c r="J32" s="53"/>
    </row>
    <row r="33">
      <c r="B33" s="53" t="s">
        <v>301</v>
      </c>
      <c r="C33" s="52">
        <f>D33</f>
        <v>252.041</v>
      </c>
      <c r="D33" s="61">
        <v>252.041</v>
      </c>
      <c r="E33" s="61">
        <v>264.256</v>
      </c>
      <c r="F33" s="61">
        <v>264.257</v>
      </c>
      <c r="G33" s="61">
        <v>264.648</v>
      </c>
      <c r="H33" s="54">
        <f>G33*(1+H56)</f>
        <v>276.55716</v>
      </c>
      <c r="I33" s="53"/>
      <c r="J33" s="53"/>
    </row>
    <row r="34">
      <c r="B34" s="65" t="s">
        <v>302</v>
      </c>
      <c r="C34" s="62">
        <f>SUM(C28,C30:C33)</f>
        <v>5023.981</v>
      </c>
      <c r="D34" s="62">
        <f>SUM(D28,D30:D33)</f>
        <v>5023.981</v>
      </c>
      <c r="E34" s="62">
        <f>SUM(E28,E30:E33)</f>
        <v>5295.714</v>
      </c>
      <c r="F34" s="62">
        <f>SUM(F28,F30:F33)</f>
        <v>4955.216</v>
      </c>
      <c r="G34" s="62">
        <f>SUM(G28,G30:G33)</f>
        <v>4769.856</v>
      </c>
      <c r="H34" s="70">
        <f>H28+H30+H31+H32+H33</f>
        <v>4909.92626</v>
      </c>
      <c r="I34" s="53"/>
      <c r="J34" s="53"/>
    </row>
    <row r="35">
      <c r="B35" s="53"/>
      <c r="C35" s="52"/>
      <c r="D35" s="52"/>
      <c r="E35" s="52"/>
      <c r="F35" s="52"/>
      <c r="G35" s="52"/>
      <c r="H35" s="54"/>
      <c r="I35" s="53"/>
      <c r="J35" s="53"/>
    </row>
    <row r="36">
      <c r="B36" s="53" t="s">
        <v>303</v>
      </c>
      <c r="C36" s="52">
        <f>D36</f>
        <v>0.469</v>
      </c>
      <c r="D36" s="61">
        <v>0.469</v>
      </c>
      <c r="E36" s="61">
        <v>0.47</v>
      </c>
      <c r="F36" s="61">
        <v>0.47</v>
      </c>
      <c r="G36" s="61">
        <v>0.47</v>
      </c>
      <c r="H36" s="54">
        <f>G36</f>
        <v>0.47</v>
      </c>
      <c r="I36" s="53"/>
      <c r="J36" s="53"/>
    </row>
    <row r="37">
      <c r="B37" s="53" t="s">
        <v>304</v>
      </c>
      <c r="C37" s="52">
        <f>D37</f>
        <v>1171.536</v>
      </c>
      <c r="D37" s="61">
        <v>1171.536</v>
      </c>
      <c r="E37" s="61">
        <v>1173.902</v>
      </c>
      <c r="F37" s="61">
        <v>1180.671</v>
      </c>
      <c r="G37" s="61">
        <v>1188.112</v>
      </c>
      <c r="H37" s="54">
        <f>G37</f>
        <v>1188.112</v>
      </c>
      <c r="I37" s="53"/>
      <c r="J37" s="53"/>
    </row>
    <row r="38">
      <c r="B38" s="53" t="s">
        <v>305</v>
      </c>
      <c r="C38" s="52">
        <f>D38</f>
        <v>-57.889</v>
      </c>
      <c r="D38" s="61">
        <v>-57.889</v>
      </c>
      <c r="E38" s="61">
        <v>-61.727</v>
      </c>
      <c r="F38" s="61">
        <v>-8.457</v>
      </c>
      <c r="G38" s="61">
        <v>-1.317</v>
      </c>
      <c r="H38" s="54">
        <f>G38</f>
        <v>-1.317</v>
      </c>
      <c r="I38" s="53"/>
      <c r="J38" s="53"/>
    </row>
    <row r="39">
      <c r="B39" s="53" t="s">
        <v>306</v>
      </c>
      <c r="C39" s="52">
        <f>D39</f>
        <v>718.662</v>
      </c>
      <c r="D39" s="61">
        <v>718.662</v>
      </c>
      <c r="E39" s="61">
        <v>452.097</v>
      </c>
      <c r="F39" s="61">
        <v>583.001</v>
      </c>
      <c r="G39" s="61">
        <v>818.331</v>
      </c>
      <c r="H39" s="79">
        <f>G39+'Income Statement'!H38-H57</f>
        <v>538.63722296</v>
      </c>
      <c r="I39" s="53"/>
      <c r="J39" s="53"/>
    </row>
    <row r="40">
      <c r="B40" s="53" t="s">
        <v>307</v>
      </c>
      <c r="C40" s="52">
        <f>D40</f>
        <v>-1408.279</v>
      </c>
      <c r="D40" s="61">
        <v>-1408.279</v>
      </c>
      <c r="E40" s="61">
        <v>-1408.279</v>
      </c>
      <c r="F40" s="61">
        <v>-1453.869</v>
      </c>
      <c r="G40" s="61">
        <v>-1453.869</v>
      </c>
      <c r="H40" s="54">
        <f>G40</f>
        <v>-1453.869</v>
      </c>
      <c r="I40" s="53"/>
      <c r="J40" s="53"/>
    </row>
    <row r="41">
      <c r="B41" s="53" t="s">
        <v>308</v>
      </c>
      <c r="C41" s="62">
        <f>SUM(C36:C40)</f>
        <v>424.49900000000025</v>
      </c>
      <c r="D41" s="62">
        <f>SUM(D36:D40)</f>
        <v>424.49900000000025</v>
      </c>
      <c r="E41" s="62">
        <f>SUM(E36:E40)</f>
        <v>156.4630000000002</v>
      </c>
      <c r="F41" s="62">
        <f>SUM(F36:F40)</f>
        <v>301.81600000000026</v>
      </c>
      <c r="G41" s="62">
        <f>SUM(G36:G40)</f>
        <v>551.7270000000003</v>
      </c>
      <c r="H41" s="70">
        <f>SUM(H36:H40)</f>
        <v>272.03322296000033</v>
      </c>
      <c r="I41" s="53"/>
      <c r="J41" s="53"/>
    </row>
    <row r="42">
      <c r="B42" s="53" t="s">
        <v>309</v>
      </c>
      <c r="C42" s="52">
        <f>D42</f>
        <v>329.405</v>
      </c>
      <c r="D42" s="61">
        <v>329.405</v>
      </c>
      <c r="E42" s="61">
        <v>311.585</v>
      </c>
      <c r="F42" s="61">
        <v>342.97</v>
      </c>
      <c r="G42" s="61">
        <v>364.367</v>
      </c>
      <c r="H42" s="54">
        <f>G42</f>
        <v>364.367</v>
      </c>
      <c r="I42" s="53"/>
      <c r="J42" s="53"/>
    </row>
    <row r="43">
      <c r="B43" s="65" t="s">
        <v>310</v>
      </c>
      <c r="C43" s="62">
        <f>SUM(C41:C42)</f>
        <v>753.9040000000002</v>
      </c>
      <c r="D43" s="62">
        <f>SUM(D41:D42)</f>
        <v>753.9040000000002</v>
      </c>
      <c r="E43" s="62">
        <f>SUM(E41:E42)</f>
        <v>468.0480000000002</v>
      </c>
      <c r="F43" s="62">
        <f>SUM(F41:F42)</f>
        <v>644.7860000000003</v>
      </c>
      <c r="G43" s="62">
        <f>SUM(G41:G42)</f>
        <v>916.0940000000003</v>
      </c>
      <c r="H43" s="70">
        <f>SUM(H41:H42)</f>
        <v>636.4002229600003</v>
      </c>
      <c r="I43" s="53"/>
      <c r="J43" s="53"/>
    </row>
    <row r="44">
      <c r="B44" s="65" t="s">
        <v>311</v>
      </c>
      <c r="C44" s="62">
        <f>C23-C34-C43</f>
        <v>0</v>
      </c>
      <c r="D44" s="62">
        <f>D23-D34-D43</f>
        <v>0</v>
      </c>
      <c r="E44" s="62">
        <f>E23-E34-E43</f>
        <v>0</v>
      </c>
      <c r="F44" s="62">
        <f>F23-F34-F43</f>
        <v>0</v>
      </c>
      <c r="G44" s="62">
        <f>G23-G34-G43</f>
        <v>0</v>
      </c>
      <c r="H44" s="70">
        <f>H23-H34-H43</f>
        <v>0</v>
      </c>
      <c r="I44" s="53"/>
      <c r="J44" s="53"/>
    </row>
    <row r="45">
      <c r="B45" s="53"/>
      <c r="C45" s="52"/>
      <c r="D45" s="52"/>
      <c r="E45" s="52"/>
      <c r="F45" s="52"/>
      <c r="G45" s="52"/>
      <c r="H45" s="54"/>
      <c r="I45" s="53"/>
      <c r="J45" s="53"/>
    </row>
    <row r="46">
      <c r="B46" s="53"/>
      <c r="C46" s="52"/>
      <c r="D46" s="52"/>
      <c r="E46" s="52"/>
      <c r="F46" s="52"/>
      <c r="G46" s="52"/>
      <c r="H46" s="54"/>
      <c r="I46" s="53"/>
      <c r="J46" s="53"/>
    </row>
    <row r="47">
      <c r="B47" s="53"/>
      <c r="C47" s="52"/>
      <c r="D47" s="52"/>
      <c r="E47" s="52"/>
      <c r="F47" s="52"/>
      <c r="G47" s="52"/>
      <c r="H47" s="54"/>
      <c r="I47" s="53"/>
      <c r="J47" s="53"/>
    </row>
    <row r="48">
      <c r="B48" s="53"/>
      <c r="C48" s="52"/>
      <c r="D48" s="52"/>
      <c r="E48" s="52"/>
      <c r="F48" s="52"/>
      <c r="G48" s="52"/>
      <c r="H48" s="54"/>
      <c r="I48" s="53"/>
      <c r="J48" s="53"/>
    </row>
    <row r="49">
      <c r="B49" s="53"/>
      <c r="C49" s="52"/>
      <c r="D49" s="52"/>
      <c r="E49" s="52"/>
      <c r="F49" s="52"/>
      <c r="G49" s="52"/>
      <c r="H49" s="54"/>
      <c r="I49" s="53"/>
      <c r="J49" s="53"/>
    </row>
    <row r="50">
      <c r="B50" s="53" t="s">
        <v>312</v>
      </c>
      <c r="C50" s="56"/>
      <c r="D50" s="56"/>
      <c r="E50" s="56"/>
      <c r="F50" s="56"/>
      <c r="G50" s="56"/>
      <c r="H50" s="59">
        <v>-0.01</v>
      </c>
      <c r="I50" s="53"/>
      <c r="J50" s="53"/>
    </row>
    <row r="51">
      <c r="B51" s="53" t="s">
        <v>313</v>
      </c>
      <c r="C51" s="56"/>
      <c r="D51" s="56"/>
      <c r="E51" s="56"/>
      <c r="F51" s="56"/>
      <c r="G51" s="56"/>
      <c r="H51" s="59">
        <v>0.04</v>
      </c>
      <c r="I51" s="53"/>
      <c r="J51" s="53"/>
    </row>
    <row r="52">
      <c r="B52" s="53" t="s">
        <v>314</v>
      </c>
      <c r="C52" s="56"/>
      <c r="D52" s="56"/>
      <c r="E52" s="56"/>
      <c r="F52" s="56"/>
      <c r="G52" s="56"/>
      <c r="H52" s="59">
        <v>0</v>
      </c>
      <c r="I52" s="53"/>
      <c r="J52" s="53"/>
    </row>
    <row r="53">
      <c r="B53" s="53" t="s">
        <v>315</v>
      </c>
      <c r="C53" s="56"/>
      <c r="D53" s="56"/>
      <c r="E53" s="56"/>
      <c r="F53" s="56"/>
      <c r="G53" s="56"/>
      <c r="H53" s="59">
        <v>-0.015</v>
      </c>
      <c r="I53" s="53"/>
      <c r="J53" s="53"/>
    </row>
    <row r="54">
      <c r="B54" s="53" t="s">
        <v>316</v>
      </c>
      <c r="C54" s="56"/>
      <c r="D54" s="56"/>
      <c r="E54" s="56"/>
      <c r="F54" s="56"/>
      <c r="G54" s="56"/>
      <c r="H54" s="59">
        <v>0</v>
      </c>
      <c r="I54" s="53"/>
      <c r="J54" s="53"/>
    </row>
    <row r="55">
      <c r="B55" s="53" t="s">
        <v>317</v>
      </c>
      <c r="C55" s="56"/>
      <c r="D55" s="56"/>
      <c r="E55" s="56"/>
      <c r="F55" s="56"/>
      <c r="G55" s="56"/>
      <c r="H55" s="59">
        <v>0.03</v>
      </c>
      <c r="I55" s="53"/>
      <c r="J55" s="53"/>
    </row>
    <row r="56">
      <c r="B56" s="53" t="s">
        <v>318</v>
      </c>
      <c r="C56" s="56"/>
      <c r="D56" s="56"/>
      <c r="E56" s="56"/>
      <c r="F56" s="56"/>
      <c r="G56" s="56"/>
      <c r="H56" s="59">
        <v>0.045</v>
      </c>
      <c r="I56" s="53"/>
      <c r="J56" s="53"/>
    </row>
    <row r="57">
      <c r="B57" s="53" t="s">
        <v>319</v>
      </c>
      <c r="C57" s="52"/>
      <c r="D57" s="52"/>
      <c r="E57" s="52"/>
      <c r="F57" s="52"/>
      <c r="G57" s="52"/>
      <c r="H57" s="76">
        <v>79.1</v>
      </c>
      <c r="I57" s="53"/>
      <c r="J57" s="53"/>
    </row>
    <row r="58">
      <c r="B58" s="53" t="s">
        <v>320</v>
      </c>
      <c r="C58" s="56"/>
      <c r="D58" s="56"/>
      <c r="E58" s="56"/>
      <c r="F58" s="56"/>
      <c r="G58" s="56"/>
      <c r="H58" s="59">
        <v>-0.04</v>
      </c>
      <c r="I58" s="53"/>
      <c r="J58" s="53"/>
    </row>
    <row r="59">
      <c r="B59" s="53" t="s">
        <v>321</v>
      </c>
      <c r="C59" s="56"/>
      <c r="D59" s="56"/>
      <c r="E59" s="56"/>
      <c r="F59" s="56"/>
      <c r="G59" s="56"/>
      <c r="H59" s="59">
        <v>0.06</v>
      </c>
      <c r="I59" s="53"/>
      <c r="J59" s="53"/>
    </row>
    <row r="60">
      <c r="B60" s="53"/>
      <c r="C60" s="52"/>
      <c r="D60" s="52"/>
      <c r="E60" s="52"/>
      <c r="F60" s="52"/>
      <c r="G60" s="52"/>
      <c r="H60" s="54"/>
      <c r="I60" s="53"/>
      <c r="J60" s="53"/>
    </row>
    <row r="61">
      <c r="B61" s="53"/>
      <c r="C61" s="52"/>
      <c r="D61" s="52"/>
      <c r="E61" s="52"/>
      <c r="F61" s="52"/>
      <c r="G61" s="52"/>
      <c r="H61" s="54"/>
      <c r="I61" s="53"/>
      <c r="J61" s="53"/>
    </row>
    <row r="62">
      <c r="B62" s="53"/>
      <c r="C62" s="52"/>
      <c r="D62" s="52"/>
      <c r="E62" s="52"/>
      <c r="F62" s="52"/>
      <c r="G62" s="52"/>
      <c r="H62" s="54"/>
      <c r="I62" s="53"/>
      <c r="J62" s="53"/>
    </row>
    <row r="63">
      <c r="B63" s="53"/>
      <c r="C63" s="52"/>
      <c r="D63" s="52"/>
      <c r="E63" s="52"/>
      <c r="F63" s="52"/>
      <c r="G63" s="52"/>
      <c r="H63" s="54"/>
      <c r="I63" s="53"/>
      <c r="J63" s="53"/>
    </row>
    <row r="64">
      <c r="B64" s="53"/>
      <c r="C64" s="52"/>
      <c r="D64" s="52"/>
      <c r="E64" s="52"/>
      <c r="F64" s="52"/>
      <c r="G64" s="52"/>
      <c r="H64" s="54"/>
      <c r="I64" s="53"/>
      <c r="J64" s="53"/>
    </row>
    <row r="65">
      <c r="B65" s="53"/>
      <c r="C65" s="52"/>
      <c r="D65" s="52"/>
      <c r="E65" s="52"/>
      <c r="F65" s="52"/>
      <c r="G65" s="52"/>
      <c r="H65" s="54"/>
      <c r="I65" s="53"/>
      <c r="J65" s="53"/>
    </row>
    <row r="66">
      <c r="B66" s="53"/>
      <c r="C66" s="52"/>
      <c r="D66" s="52"/>
      <c r="E66" s="52"/>
      <c r="F66" s="52"/>
      <c r="G66" s="52"/>
      <c r="H66" s="54"/>
      <c r="I66" s="53"/>
      <c r="J66" s="53"/>
    </row>
    <row r="67">
      <c r="B67" s="53"/>
      <c r="C67" s="52"/>
      <c r="D67" s="52"/>
      <c r="E67" s="52"/>
      <c r="F67" s="52"/>
      <c r="G67" s="52"/>
      <c r="H67" s="54"/>
      <c r="I67" s="53"/>
      <c r="J67" s="53"/>
    </row>
    <row r="68">
      <c r="B68" s="53"/>
      <c r="C68" s="52"/>
      <c r="D68" s="52"/>
      <c r="E68" s="52"/>
      <c r="F68" s="52"/>
      <c r="G68" s="52"/>
      <c r="H68" s="54"/>
      <c r="I68" s="53"/>
      <c r="J68" s="53"/>
    </row>
    <row r="69">
      <c r="B69" s="53"/>
      <c r="C69" s="52"/>
      <c r="D69" s="52"/>
      <c r="E69" s="52"/>
      <c r="F69" s="52"/>
      <c r="G69" s="52"/>
      <c r="H69" s="54"/>
      <c r="I69" s="53"/>
      <c r="J69" s="53"/>
    </row>
    <row r="70">
      <c r="B70" s="53"/>
      <c r="C70" s="52"/>
      <c r="D70" s="52"/>
      <c r="E70" s="52"/>
      <c r="F70" s="52"/>
      <c r="G70" s="52"/>
      <c r="H70" s="54"/>
      <c r="I70" s="53"/>
      <c r="J70" s="53"/>
    </row>
    <row r="71">
      <c r="B71" s="53"/>
      <c r="C71" s="52"/>
      <c r="D71" s="52"/>
      <c r="E71" s="52"/>
      <c r="F71" s="52"/>
      <c r="G71" s="52"/>
      <c r="H71" s="54"/>
      <c r="I71" s="53"/>
      <c r="J71" s="53"/>
    </row>
    <row r="72">
      <c r="B72" s="53"/>
      <c r="C72" s="52"/>
      <c r="D72" s="52"/>
      <c r="E72" s="52"/>
      <c r="F72" s="52"/>
      <c r="G72" s="52"/>
      <c r="H72" s="54"/>
      <c r="I72" s="53"/>
      <c r="J72" s="53"/>
    </row>
    <row r="73">
      <c r="B73" s="53"/>
      <c r="C73" s="52"/>
      <c r="D73" s="52"/>
      <c r="E73" s="52"/>
      <c r="F73" s="52"/>
      <c r="G73" s="52"/>
      <c r="H73" s="54"/>
      <c r="I73" s="53"/>
      <c r="J73" s="53"/>
    </row>
    <row r="74">
      <c r="B74" s="53"/>
      <c r="C74" s="52"/>
      <c r="D74" s="52"/>
      <c r="E74" s="52"/>
      <c r="F74" s="52"/>
      <c r="G74" s="52"/>
      <c r="H74" s="54"/>
      <c r="I74" s="53"/>
      <c r="J74" s="53"/>
    </row>
    <row r="75">
      <c r="B75" s="53"/>
      <c r="C75" s="52"/>
      <c r="D75" s="52"/>
      <c r="E75" s="52"/>
      <c r="F75" s="52"/>
      <c r="G75" s="52"/>
      <c r="H75" s="54"/>
      <c r="I75" s="53"/>
      <c r="J75" s="53"/>
    </row>
    <row r="76">
      <c r="B76" s="53"/>
      <c r="C76" s="52"/>
      <c r="D76" s="52"/>
      <c r="E76" s="52"/>
      <c r="F76" s="52"/>
      <c r="G76" s="52"/>
      <c r="H76" s="54"/>
      <c r="I76" s="53"/>
      <c r="J76" s="53"/>
    </row>
    <row r="77">
      <c r="B77" s="53"/>
      <c r="C77" s="52"/>
      <c r="D77" s="52"/>
      <c r="E77" s="52"/>
      <c r="F77" s="52"/>
      <c r="G77" s="52"/>
      <c r="H77" s="54"/>
      <c r="I77" s="53"/>
      <c r="J77" s="53"/>
    </row>
    <row r="78">
      <c r="B78" s="53"/>
      <c r="C78" s="52"/>
      <c r="D78" s="52"/>
      <c r="E78" s="52"/>
      <c r="F78" s="52"/>
      <c r="G78" s="52"/>
      <c r="H78" s="54"/>
      <c r="I78" s="53"/>
      <c r="J78" s="53"/>
    </row>
    <row r="79">
      <c r="B79" s="53"/>
      <c r="C79" s="52"/>
      <c r="D79" s="52"/>
      <c r="E79" s="52"/>
      <c r="F79" s="52"/>
      <c r="G79" s="52"/>
      <c r="H79" s="54"/>
      <c r="I79" s="53"/>
      <c r="J79" s="53"/>
    </row>
    <row r="80">
      <c r="B80" s="53"/>
      <c r="C80" s="52"/>
      <c r="D80" s="52"/>
      <c r="E80" s="52"/>
      <c r="F80" s="52"/>
      <c r="G80" s="52"/>
      <c r="H80" s="54"/>
      <c r="I80" s="53"/>
      <c r="J80" s="53"/>
    </row>
    <row r="81">
      <c r="B81" s="53"/>
      <c r="C81" s="52"/>
      <c r="D81" s="52"/>
      <c r="E81" s="52"/>
      <c r="F81" s="52"/>
      <c r="G81" s="52"/>
      <c r="H81" s="54"/>
      <c r="I81" s="53"/>
      <c r="J81" s="53"/>
    </row>
    <row r="82">
      <c r="B82" s="53"/>
      <c r="C82" s="52"/>
      <c r="D82" s="52"/>
      <c r="E82" s="52"/>
      <c r="F82" s="52"/>
      <c r="G82" s="52"/>
      <c r="H82" s="54"/>
      <c r="I82" s="53"/>
      <c r="J82" s="53"/>
    </row>
    <row r="83">
      <c r="B83" s="53"/>
      <c r="C83" s="52"/>
      <c r="D83" s="52"/>
      <c r="E83" s="52"/>
      <c r="F83" s="52"/>
      <c r="G83" s="52"/>
      <c r="H83" s="54"/>
      <c r="I83" s="53"/>
      <c r="J83" s="53"/>
    </row>
    <row r="84">
      <c r="B84" s="53"/>
      <c r="C84" s="52"/>
      <c r="D84" s="52"/>
      <c r="E84" s="52"/>
      <c r="F84" s="52"/>
      <c r="G84" s="52"/>
      <c r="H84" s="54"/>
      <c r="I84" s="53"/>
      <c r="J84" s="53"/>
    </row>
    <row r="85">
      <c r="B85" s="53"/>
      <c r="C85" s="52"/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/>
      <c r="C89" s="52"/>
      <c r="D89" s="52"/>
      <c r="E89" s="52"/>
      <c r="F89" s="52"/>
      <c r="G89" s="52"/>
      <c r="H89" s="54"/>
      <c r="I89" s="53"/>
      <c r="J89" s="53"/>
    </row>
    <row r="90">
      <c r="B90" s="53"/>
      <c r="C90" s="52"/>
      <c r="D90" s="52"/>
      <c r="E90" s="52"/>
      <c r="F90" s="52"/>
      <c r="G90" s="52"/>
      <c r="H90" s="54"/>
      <c r="I90" s="53"/>
      <c r="J90" s="53"/>
    </row>
    <row r="91">
      <c r="B91" s="53"/>
      <c r="C91" s="52"/>
      <c r="D91" s="52"/>
      <c r="E91" s="52"/>
      <c r="F91" s="52"/>
      <c r="G91" s="52"/>
      <c r="H91" s="54"/>
      <c r="I91" s="53"/>
      <c r="J91" s="53"/>
    </row>
    <row r="92">
      <c r="B92" s="53"/>
      <c r="C92" s="52"/>
      <c r="D92" s="52"/>
      <c r="E92" s="52"/>
      <c r="F92" s="52"/>
      <c r="G92" s="52"/>
      <c r="H92" s="54"/>
      <c r="I92" s="53"/>
      <c r="J92" s="53"/>
    </row>
    <row r="93">
      <c r="B93" s="53"/>
      <c r="C93" s="52"/>
      <c r="D93" s="52"/>
      <c r="E93" s="52"/>
      <c r="F93" s="52"/>
      <c r="G93" s="52"/>
      <c r="H93" s="54"/>
      <c r="I93" s="53"/>
      <c r="J93" s="53"/>
    </row>
    <row r="94">
      <c r="B94" s="53"/>
      <c r="C94" s="52"/>
      <c r="D94" s="52"/>
      <c r="E94" s="52"/>
      <c r="F94" s="52"/>
      <c r="G94" s="52"/>
      <c r="H94" s="54"/>
      <c r="I94" s="53"/>
      <c r="J94" s="53"/>
    </row>
    <row r="95">
      <c r="B95" s="53"/>
      <c r="C95" s="52"/>
      <c r="D95" s="52"/>
      <c r="E95" s="52"/>
      <c r="F95" s="52"/>
      <c r="G95" s="52"/>
      <c r="H95" s="54"/>
      <c r="I95" s="53"/>
      <c r="J95" s="53"/>
    </row>
    <row r="96">
      <c r="B96" s="53"/>
      <c r="C96" s="52"/>
      <c r="D96" s="52"/>
      <c r="E96" s="52"/>
      <c r="F96" s="52"/>
      <c r="G96" s="52"/>
      <c r="H96" s="54"/>
      <c r="I96" s="53"/>
      <c r="J96" s="53"/>
    </row>
    <row r="97">
      <c r="B97" s="53"/>
      <c r="C97" s="52"/>
      <c r="D97" s="52"/>
      <c r="E97" s="52"/>
      <c r="F97" s="52"/>
      <c r="G97" s="52"/>
      <c r="H97" s="54"/>
      <c r="I97" s="53"/>
      <c r="J97" s="53"/>
    </row>
    <row r="98">
      <c r="B98" s="53"/>
      <c r="C98" s="52"/>
      <c r="D98" s="52"/>
      <c r="E98" s="52"/>
      <c r="F98" s="52"/>
      <c r="G98" s="52"/>
      <c r="H98" s="54"/>
      <c r="I98" s="53"/>
      <c r="J98" s="53"/>
    </row>
    <row r="99">
      <c r="B99" s="53"/>
      <c r="C99" s="52"/>
      <c r="D99" s="52"/>
      <c r="E99" s="52"/>
      <c r="F99" s="52"/>
      <c r="G99" s="52"/>
      <c r="H99" s="54"/>
      <c r="I99" s="53"/>
      <c r="J99" s="53"/>
    </row>
    <row r="100">
      <c r="B100" s="53"/>
      <c r="C100" s="52"/>
      <c r="D100" s="52"/>
      <c r="E100" s="52"/>
      <c r="F100" s="52"/>
      <c r="G100" s="52"/>
      <c r="H100" s="54"/>
      <c r="I100" s="53"/>
      <c r="J100" s="53"/>
    </row>
    <row r="101">
      <c r="B101" s="53"/>
      <c r="C101" s="52"/>
      <c r="D101" s="52"/>
      <c r="E101" s="52"/>
      <c r="F101" s="52"/>
      <c r="G101" s="52"/>
      <c r="H101" s="54"/>
      <c r="I101" s="53"/>
      <c r="J101" s="53"/>
    </row>
    <row r="102">
      <c r="B102" s="53"/>
      <c r="C102" s="52"/>
      <c r="D102" s="52"/>
      <c r="E102" s="52"/>
      <c r="F102" s="52"/>
      <c r="G102" s="52"/>
      <c r="H102" s="54"/>
      <c r="I102" s="53"/>
      <c r="J102" s="53"/>
    </row>
    <row r="103">
      <c r="B103" s="53"/>
      <c r="C103" s="52"/>
      <c r="D103" s="52"/>
      <c r="E103" s="52"/>
      <c r="F103" s="52"/>
      <c r="G103" s="52"/>
      <c r="H103" s="54"/>
      <c r="I103" s="53"/>
      <c r="J103" s="53"/>
    </row>
    <row r="104">
      <c r="B104" s="53"/>
      <c r="C104" s="52"/>
      <c r="D104" s="52"/>
      <c r="E104" s="52"/>
      <c r="F104" s="52"/>
      <c r="G104" s="52"/>
      <c r="H104" s="54"/>
      <c r="I104" s="53"/>
      <c r="J104" s="53"/>
    </row>
    <row r="105">
      <c r="B105" s="53"/>
      <c r="C105" s="52"/>
      <c r="D105" s="52"/>
      <c r="E105" s="52"/>
      <c r="F105" s="52"/>
      <c r="G105" s="52"/>
      <c r="H105" s="54"/>
      <c r="I105" s="53"/>
      <c r="J105" s="53"/>
    </row>
    <row r="106">
      <c r="B106" s="53"/>
      <c r="C106" s="52"/>
      <c r="D106" s="52"/>
      <c r="E106" s="52"/>
      <c r="F106" s="52"/>
      <c r="G106" s="52"/>
      <c r="H106" s="54"/>
      <c r="I106" s="53"/>
      <c r="J106" s="53"/>
    </row>
    <row r="107">
      <c r="B107" s="53"/>
      <c r="C107" s="52"/>
      <c r="D107" s="52"/>
      <c r="E107" s="52"/>
      <c r="F107" s="52"/>
      <c r="G107" s="52"/>
      <c r="H107" s="54"/>
      <c r="I107" s="53"/>
      <c r="J107" s="53"/>
    </row>
    <row r="108">
      <c r="B108" s="53"/>
      <c r="C108" s="52"/>
      <c r="D108" s="52"/>
      <c r="E108" s="52"/>
      <c r="F108" s="52"/>
      <c r="G108" s="52"/>
      <c r="H108" s="54"/>
      <c r="I108" s="53"/>
      <c r="J108" s="53"/>
    </row>
    <row r="109">
      <c r="B109" s="53"/>
      <c r="C109" s="52"/>
      <c r="D109" s="52"/>
      <c r="E109" s="52"/>
      <c r="F109" s="52"/>
      <c r="G109" s="52"/>
      <c r="H109" s="54"/>
      <c r="I109" s="53"/>
      <c r="J109" s="53"/>
    </row>
    <row r="110">
      <c r="B110" s="53"/>
      <c r="C110" s="52"/>
      <c r="D110" s="52"/>
      <c r="E110" s="52"/>
      <c r="F110" s="52"/>
      <c r="G110" s="52"/>
      <c r="H110" s="54"/>
      <c r="I110" s="53"/>
      <c r="J110" s="53"/>
    </row>
    <row r="111">
      <c r="B111" s="53"/>
      <c r="C111" s="52"/>
      <c r="D111" s="52"/>
      <c r="E111" s="52"/>
      <c r="F111" s="52"/>
      <c r="G111" s="52"/>
      <c r="H111" s="54"/>
      <c r="I111" s="53"/>
      <c r="J111" s="53"/>
    </row>
    <row r="112">
      <c r="B112" s="53"/>
      <c r="C112" s="52"/>
      <c r="D112" s="52"/>
      <c r="E112" s="52"/>
      <c r="F112" s="52"/>
      <c r="G112" s="52"/>
      <c r="H112" s="54"/>
      <c r="I112" s="53"/>
      <c r="J112" s="53"/>
    </row>
    <row r="113">
      <c r="B113" s="53"/>
      <c r="C113" s="52"/>
      <c r="D113" s="52"/>
      <c r="E113" s="52"/>
      <c r="F113" s="52"/>
      <c r="G113" s="52"/>
      <c r="H113" s="54"/>
      <c r="I113" s="53"/>
      <c r="J113" s="53"/>
    </row>
    <row r="114">
      <c r="B114" s="53"/>
      <c r="C114" s="52"/>
      <c r="D114" s="52"/>
      <c r="E114" s="52"/>
      <c r="F114" s="52"/>
      <c r="G114" s="52"/>
      <c r="H114" s="54"/>
      <c r="I114" s="53"/>
      <c r="J114" s="53"/>
    </row>
    <row r="115">
      <c r="B115" s="53"/>
      <c r="C115" s="52"/>
      <c r="D115" s="52"/>
      <c r="E115" s="52"/>
      <c r="F115" s="52"/>
      <c r="G115" s="52"/>
      <c r="H115" s="54"/>
      <c r="I115" s="53"/>
      <c r="J115" s="53"/>
    </row>
    <row r="116">
      <c r="B116" s="53"/>
      <c r="C116" s="52"/>
      <c r="D116" s="52"/>
      <c r="E116" s="52"/>
      <c r="F116" s="52"/>
      <c r="G116" s="52"/>
      <c r="H116" s="54"/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/>
      <c r="C118" s="52"/>
      <c r="D118" s="52"/>
      <c r="E118" s="52"/>
      <c r="F118" s="52"/>
      <c r="G118" s="52"/>
      <c r="H118" s="54"/>
      <c r="I118" s="53"/>
      <c r="J118" s="53"/>
    </row>
    <row r="119">
      <c r="B119" s="53"/>
      <c r="C119" s="52"/>
      <c r="D119" s="52"/>
      <c r="E119" s="52"/>
      <c r="F119" s="52"/>
      <c r="G119" s="52"/>
      <c r="H119" s="54"/>
      <c r="I119" s="53"/>
      <c r="J119" s="53"/>
    </row>
    <row r="120">
      <c r="B120" s="53"/>
      <c r="C120" s="52"/>
      <c r="D120" s="52"/>
      <c r="E120" s="52"/>
      <c r="F120" s="52"/>
      <c r="G120" s="52"/>
      <c r="H120" s="54"/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/>
      <c r="C122" s="52"/>
      <c r="D122" s="52"/>
      <c r="E122" s="52"/>
      <c r="F122" s="52"/>
      <c r="G122" s="52"/>
      <c r="H122" s="54"/>
      <c r="I122" s="53"/>
      <c r="J122" s="53"/>
    </row>
    <row r="123">
      <c r="B123" s="53"/>
      <c r="C123" s="52"/>
      <c r="D123" s="52"/>
      <c r="E123" s="52"/>
      <c r="F123" s="52"/>
      <c r="G123" s="52"/>
      <c r="H123" s="54"/>
      <c r="I123" s="53"/>
      <c r="J123" s="53"/>
    </row>
    <row r="124">
      <c r="B124" s="53"/>
      <c r="C124" s="52"/>
      <c r="D124" s="52"/>
      <c r="E124" s="52"/>
      <c r="F124" s="52"/>
      <c r="G124" s="52"/>
      <c r="H124" s="54"/>
      <c r="I124" s="53"/>
      <c r="J124" s="53"/>
    </row>
    <row r="125">
      <c r="B125" s="53"/>
      <c r="C125" s="52"/>
      <c r="D125" s="52"/>
      <c r="E125" s="52"/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/>
      <c r="C127" s="52"/>
      <c r="D127" s="52"/>
      <c r="E127" s="52"/>
      <c r="F127" s="52"/>
      <c r="G127" s="52"/>
      <c r="H127" s="54"/>
      <c r="I127" s="53"/>
      <c r="J127" s="53"/>
    </row>
    <row r="128">
      <c r="B128" s="53"/>
      <c r="C128" s="52"/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3" customWidth="1"/>
    <col min="10" max="10" width="55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322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>
      <c r="B9" s="53"/>
      <c r="C9" s="52"/>
      <c r="D9" s="52"/>
      <c r="E9" s="52"/>
      <c r="F9" s="52"/>
      <c r="G9" s="52"/>
      <c r="H9" s="54"/>
      <c r="I9" s="53"/>
      <c r="J9" s="53"/>
    </row>
    <row r="10">
      <c r="B10" s="53" t="s">
        <v>323</v>
      </c>
      <c r="C10" s="60">
        <f>D10-Inputs!C121</f>
        <v>-169.72799999999995</v>
      </c>
      <c r="D10" s="55">
        <v>554.87</v>
      </c>
      <c r="E10" s="55">
        <v>315.943</v>
      </c>
      <c r="F10" s="60">
        <f>Inputs!D121-E10</f>
        <v>259.90700000000004</v>
      </c>
      <c r="G10" s="60">
        <f>Inputs!E121-Inputs!D121</f>
        <v>6.816000000000031</v>
      </c>
      <c r="H10" s="70">
        <f>H39+H40</f>
        <v>-181.6804870399991</v>
      </c>
      <c r="I10" s="53"/>
      <c r="J10" s="53"/>
    </row>
    <row r="11">
      <c r="B11" s="53" t="s">
        <v>324</v>
      </c>
      <c r="C11" s="57">
        <f>D11-Inputs!C122</f>
        <v>-55.941</v>
      </c>
      <c r="D11" s="61">
        <v>-235.191</v>
      </c>
      <c r="E11" s="61">
        <v>-71.673</v>
      </c>
      <c r="F11" s="57">
        <f>Inputs!D122-E11</f>
        <v>-74.911</v>
      </c>
      <c r="G11" s="57">
        <f>Inputs!E122-Inputs!D122</f>
        <v>-35.05599999999998</v>
      </c>
      <c r="H11" s="54">
        <f>C11*(1+H34)</f>
        <v>-58.17864</v>
      </c>
      <c r="I11" s="53"/>
      <c r="J11" s="53"/>
    </row>
    <row r="12">
      <c r="B12" s="53" t="s">
        <v>325</v>
      </c>
      <c r="C12" s="52">
        <f>C13-C11</f>
        <v>6.925999999999988</v>
      </c>
      <c r="D12" s="52">
        <f>D13-D11</f>
        <v>30.69399999999999</v>
      </c>
      <c r="E12" s="52">
        <f>E13-E11</f>
        <v>0</v>
      </c>
      <c r="F12" s="52">
        <f>F13-F11</f>
        <v>0.5829999999999984</v>
      </c>
      <c r="G12" s="52">
        <f>G13-G11</f>
        <v>2.1159999999999854</v>
      </c>
      <c r="H12" s="54">
        <f>H35</f>
        <v>0</v>
      </c>
      <c r="I12" s="53"/>
      <c r="J12" s="53"/>
    </row>
    <row r="13">
      <c r="B13" s="53" t="s">
        <v>326</v>
      </c>
      <c r="C13" s="60">
        <f>D13-Inputs!C123</f>
        <v>-49.015000000000015</v>
      </c>
      <c r="D13" s="55">
        <v>-204.497</v>
      </c>
      <c r="E13" s="55">
        <v>-71.673</v>
      </c>
      <c r="F13" s="60">
        <f>Inputs!D123-E13</f>
        <v>-74.328</v>
      </c>
      <c r="G13" s="60">
        <f>Inputs!E123-Inputs!D123</f>
        <v>-32.94</v>
      </c>
      <c r="H13" s="70">
        <f>SUM(H11:H12)</f>
        <v>-58.17864</v>
      </c>
      <c r="I13" s="53"/>
      <c r="J13" s="53"/>
    </row>
    <row r="14">
      <c r="B14" s="53"/>
      <c r="C14" s="52"/>
      <c r="D14" s="52"/>
      <c r="E14" s="52"/>
      <c r="F14" s="52"/>
      <c r="G14" s="52"/>
      <c r="H14" s="54"/>
      <c r="I14" s="53"/>
      <c r="J14" s="53"/>
    </row>
    <row r="15">
      <c r="B15" s="53" t="s">
        <v>327</v>
      </c>
      <c r="C15" s="61">
        <v>-200</v>
      </c>
      <c r="D15" s="61">
        <v>-270</v>
      </c>
      <c r="E15" s="61">
        <v>0</v>
      </c>
      <c r="F15" s="61">
        <v>-45</v>
      </c>
      <c r="G15" s="61">
        <v>0</v>
      </c>
      <c r="H15" s="79">
        <f>-'Share Count'!H13</f>
        <v>0</v>
      </c>
      <c r="I15" s="53"/>
      <c r="J15" s="53"/>
    </row>
    <row r="16">
      <c r="B16" s="53" t="s">
        <v>328</v>
      </c>
      <c r="C16" s="61">
        <v>-79.713</v>
      </c>
      <c r="D16" s="61">
        <v>-328.168</v>
      </c>
      <c r="E16" s="61">
        <v>-79.813</v>
      </c>
      <c r="F16" s="61">
        <v>-79.103</v>
      </c>
      <c r="G16" s="61">
        <v>-79.105</v>
      </c>
      <c r="H16" s="79">
        <f>-'Balance Sheet'!H57</f>
        <v>-79.1</v>
      </c>
      <c r="I16" s="53"/>
      <c r="J16" s="53"/>
    </row>
    <row r="17">
      <c r="B17" s="53" t="s">
        <v>329</v>
      </c>
      <c r="C17" s="52">
        <f>C18-SUM(C15:C16)</f>
        <v>472.782</v>
      </c>
      <c r="D17" s="52">
        <f>D18-SUM(D15:D16)</f>
        <v>355.521</v>
      </c>
      <c r="E17" s="52">
        <f>E18-SUM(E15:E16)</f>
        <v>-21.167999999999992</v>
      </c>
      <c r="F17" s="52">
        <f>F18-SUM(F15:F16)</f>
        <v>-268.072</v>
      </c>
      <c r="G17" s="52">
        <f>G18-SUM(G15:G16)</f>
        <v>85.009</v>
      </c>
      <c r="H17" s="54">
        <f>H36</f>
        <v>210</v>
      </c>
      <c r="I17" s="53"/>
      <c r="J17" s="53"/>
    </row>
    <row r="18">
      <c r="B18" s="53" t="s">
        <v>330</v>
      </c>
      <c r="C18" s="60">
        <f>D18-Inputs!C124</f>
        <v>193.06900000000002</v>
      </c>
      <c r="D18" s="55">
        <v>-242.647</v>
      </c>
      <c r="E18" s="55">
        <v>-100.981</v>
      </c>
      <c r="F18" s="60">
        <f>Inputs!D124-E18</f>
        <v>-392.175</v>
      </c>
      <c r="G18" s="60">
        <f>Inputs!E124-Inputs!D124</f>
        <v>5.903999999999996</v>
      </c>
      <c r="H18" s="70">
        <f>SUM(H15:H17)</f>
        <v>130.9</v>
      </c>
      <c r="I18" s="53"/>
      <c r="J18" s="53"/>
    </row>
    <row r="19">
      <c r="B19" s="53" t="s">
        <v>331</v>
      </c>
      <c r="C19" s="57">
        <f>D19-Inputs!C125</f>
        <v>1.2810000000000006</v>
      </c>
      <c r="D19" s="61">
        <v>11.63</v>
      </c>
      <c r="E19" s="61">
        <v>0.877</v>
      </c>
      <c r="F19" s="57">
        <f>Inputs!D125-E19</f>
        <v>11.847999999999999</v>
      </c>
      <c r="G19" s="57">
        <f>Inputs!E125-Inputs!D125</f>
        <v>1.7030000000000012</v>
      </c>
      <c r="H19" s="54">
        <f>H37</f>
        <v>0</v>
      </c>
      <c r="I19" s="53"/>
      <c r="J19" s="53"/>
    </row>
    <row r="20">
      <c r="B20" s="53"/>
      <c r="C20" s="52"/>
      <c r="D20" s="52"/>
      <c r="E20" s="52"/>
      <c r="F20" s="52"/>
      <c r="G20" s="52"/>
      <c r="H20" s="54"/>
      <c r="I20" s="53"/>
      <c r="J20" s="53"/>
    </row>
    <row r="21">
      <c r="B21" s="65" t="s">
        <v>332</v>
      </c>
      <c r="C21" s="62">
        <f>SUM(C10,C13,C18:C19)</f>
        <v>-24.39299999999995</v>
      </c>
      <c r="D21" s="62">
        <f>SUM(D10,D13,D18:D19)</f>
        <v>119.356</v>
      </c>
      <c r="E21" s="62">
        <f>SUM(E10,E13,E18:E19)</f>
        <v>144.166</v>
      </c>
      <c r="F21" s="62">
        <f>SUM(F10,F13,F18:F19)</f>
        <v>-194.748</v>
      </c>
      <c r="G21" s="62">
        <f>SUM(G10,G13,G18:G19)</f>
        <v>-18.516999999999967</v>
      </c>
      <c r="H21" s="70">
        <f>H10+H13+H18+H19</f>
        <v>-108.95912703999909</v>
      </c>
      <c r="I21" s="53"/>
      <c r="J21" s="53"/>
    </row>
    <row r="22">
      <c r="B22" s="53" t="s">
        <v>333</v>
      </c>
      <c r="C22" s="61">
        <v>480.812</v>
      </c>
      <c r="D22" s="61">
        <v>337.063</v>
      </c>
      <c r="E22" s="57">
        <f>'Balance Sheet'!C10+'Balance Sheet'!C11</f>
        <v>456.41900000000004</v>
      </c>
      <c r="F22" s="57">
        <f>'Balance Sheet'!E10+'Balance Sheet'!E11</f>
        <v>600.585</v>
      </c>
      <c r="G22" s="57">
        <f>'Balance Sheet'!F10+'Balance Sheet'!F11</f>
        <v>405.83700000000005</v>
      </c>
      <c r="H22" s="79">
        <f>'Balance Sheet'!G10+'Balance Sheet'!G11</f>
        <v>387.32000000000005</v>
      </c>
      <c r="I22" s="53"/>
      <c r="J22" s="53"/>
    </row>
    <row r="23">
      <c r="B23" s="53" t="s">
        <v>334</v>
      </c>
      <c r="C23" s="62">
        <f>SUM(C22,C21)</f>
        <v>456.41900000000004</v>
      </c>
      <c r="D23" s="62">
        <f>SUM(D22,D21)</f>
        <v>456.419</v>
      </c>
      <c r="E23" s="62">
        <f>SUM(E22,E21)</f>
        <v>600.585</v>
      </c>
      <c r="F23" s="62">
        <f>SUM(F22,F21)</f>
        <v>405.83700000000005</v>
      </c>
      <c r="G23" s="62">
        <f>SUM(G22,G21)</f>
        <v>387.32000000000005</v>
      </c>
      <c r="H23" s="70">
        <f>H22+H21</f>
        <v>278.36087296000096</v>
      </c>
      <c r="I23" s="53"/>
      <c r="J23" s="53"/>
    </row>
    <row r="24">
      <c r="B24" s="53" t="s">
        <v>335</v>
      </c>
      <c r="C24" s="57">
        <f>'Balance Sheet'!C10+'Balance Sheet'!C11</f>
        <v>456.41900000000004</v>
      </c>
      <c r="D24" s="57">
        <f>'Balance Sheet'!D10+'Balance Sheet'!D11</f>
        <v>456.41900000000004</v>
      </c>
      <c r="E24" s="57">
        <f>'Balance Sheet'!E10+'Balance Sheet'!E11</f>
        <v>600.585</v>
      </c>
      <c r="F24" s="57">
        <f>'Balance Sheet'!F10+'Balance Sheet'!F11</f>
        <v>405.83700000000005</v>
      </c>
      <c r="G24" s="57">
        <f>'Balance Sheet'!G10+'Balance Sheet'!G11</f>
        <v>387.32000000000005</v>
      </c>
      <c r="H24" s="79">
        <f>'Balance Sheet'!H10+'Balance Sheet'!H11</f>
        <v>278.36087296000096</v>
      </c>
      <c r="I24" s="53"/>
      <c r="J24" s="53"/>
    </row>
    <row r="25">
      <c r="B25" s="65" t="s">
        <v>336</v>
      </c>
      <c r="C25" s="62">
        <f>C23-C24</f>
        <v>0</v>
      </c>
      <c r="D25" s="62">
        <f>D23-D24</f>
        <v>0</v>
      </c>
      <c r="E25" s="62">
        <f>E23-E24</f>
        <v>0</v>
      </c>
      <c r="F25" s="62">
        <f>F23-F24</f>
        <v>0</v>
      </c>
      <c r="G25" s="62">
        <f>G23-G24</f>
        <v>0</v>
      </c>
      <c r="H25" s="70">
        <f>H23-H24</f>
        <v>0</v>
      </c>
      <c r="I25" s="53"/>
      <c r="J25" s="53"/>
    </row>
    <row r="26">
      <c r="B26" s="53"/>
      <c r="C26" s="52"/>
      <c r="D26" s="52"/>
      <c r="E26" s="52"/>
      <c r="F26" s="52"/>
      <c r="G26" s="52"/>
      <c r="H26" s="54"/>
      <c r="I26" s="53"/>
      <c r="J26" s="53"/>
    </row>
    <row r="27">
      <c r="B27" s="53"/>
      <c r="C27" s="52"/>
      <c r="D27" s="52"/>
      <c r="E27" s="52"/>
      <c r="F27" s="52"/>
      <c r="G27" s="52"/>
      <c r="H27" s="54"/>
      <c r="I27" s="53"/>
      <c r="J27" s="53"/>
    </row>
    <row r="28">
      <c r="B28" s="53"/>
      <c r="C28" s="52"/>
      <c r="D28" s="52"/>
      <c r="E28" s="52"/>
      <c r="F28" s="52"/>
      <c r="G28" s="52"/>
      <c r="H28" s="54"/>
      <c r="I28" s="53"/>
      <c r="J28" s="53"/>
    </row>
    <row r="29">
      <c r="B29" s="53"/>
      <c r="C29" s="52"/>
      <c r="D29" s="52"/>
      <c r="E29" s="52"/>
      <c r="F29" s="52"/>
      <c r="G29" s="52"/>
      <c r="H29" s="54"/>
      <c r="I29" s="53"/>
      <c r="J29" s="53"/>
    </row>
    <row r="30">
      <c r="B30" s="53"/>
      <c r="C30" s="52"/>
      <c r="D30" s="52"/>
      <c r="E30" s="52"/>
      <c r="F30" s="52"/>
      <c r="G30" s="52"/>
      <c r="H30" s="54"/>
      <c r="I30" s="53"/>
      <c r="J30" s="53"/>
    </row>
    <row r="31">
      <c r="B31" s="53"/>
      <c r="C31" s="52"/>
      <c r="D31" s="52"/>
      <c r="E31" s="52"/>
      <c r="F31" s="52"/>
      <c r="G31" s="52"/>
      <c r="H31" s="54"/>
      <c r="I31" s="53"/>
      <c r="J31" s="53"/>
    </row>
    <row r="32">
      <c r="B32" s="53"/>
      <c r="C32" s="52"/>
      <c r="D32" s="52"/>
      <c r="E32" s="52"/>
      <c r="F32" s="52"/>
      <c r="G32" s="52"/>
      <c r="H32" s="54"/>
      <c r="I32" s="53"/>
      <c r="J32" s="53"/>
    </row>
    <row r="33">
      <c r="B33" s="53" t="s">
        <v>337</v>
      </c>
      <c r="C33" s="56"/>
      <c r="D33" s="56"/>
      <c r="E33" s="56"/>
      <c r="F33" s="56"/>
      <c r="G33" s="56"/>
      <c r="H33" s="59">
        <v>0.06</v>
      </c>
      <c r="I33" s="53"/>
      <c r="J33" s="53"/>
    </row>
    <row r="34">
      <c r="B34" s="53" t="s">
        <v>338</v>
      </c>
      <c r="C34" s="56"/>
      <c r="D34" s="56"/>
      <c r="E34" s="56"/>
      <c r="F34" s="56"/>
      <c r="G34" s="56"/>
      <c r="H34" s="59">
        <v>0.04</v>
      </c>
      <c r="I34" s="53"/>
      <c r="J34" s="53"/>
    </row>
    <row r="35">
      <c r="B35" s="53" t="s">
        <v>339</v>
      </c>
      <c r="C35" s="52"/>
      <c r="D35" s="52"/>
      <c r="E35" s="52"/>
      <c r="F35" s="52"/>
      <c r="G35" s="52"/>
      <c r="H35" s="76">
        <v>0</v>
      </c>
      <c r="I35" s="53"/>
      <c r="J35" s="53"/>
    </row>
    <row r="36">
      <c r="B36" s="53" t="s">
        <v>340</v>
      </c>
      <c r="C36" s="52"/>
      <c r="D36" s="52"/>
      <c r="E36" s="52"/>
      <c r="F36" s="52"/>
      <c r="G36" s="52"/>
      <c r="H36" s="76">
        <v>210</v>
      </c>
      <c r="I36" s="53"/>
      <c r="J36" s="53"/>
    </row>
    <row r="37">
      <c r="B37" s="53" t="s">
        <v>341</v>
      </c>
      <c r="C37" s="52"/>
      <c r="D37" s="52"/>
      <c r="E37" s="52"/>
      <c r="F37" s="52"/>
      <c r="G37" s="52"/>
      <c r="H37" s="76">
        <v>0</v>
      </c>
      <c r="I37" s="53"/>
      <c r="J37" s="53"/>
    </row>
    <row r="38">
      <c r="B38" s="53"/>
      <c r="C38" s="52"/>
      <c r="D38" s="52"/>
      <c r="E38" s="52"/>
      <c r="F38" s="52"/>
      <c r="G38" s="52"/>
      <c r="H38" s="54"/>
      <c r="I38" s="53"/>
      <c r="J38" s="53"/>
    </row>
    <row r="39">
      <c r="B39" s="53" t="s">
        <v>342</v>
      </c>
      <c r="C39" s="52"/>
      <c r="D39" s="52"/>
      <c r="E39" s="52"/>
      <c r="F39" s="52"/>
      <c r="G39" s="52"/>
      <c r="H39" s="54">
        <f>C10*(1+H33)</f>
        <v>-179.91167999999996</v>
      </c>
      <c r="I39" s="53"/>
      <c r="J39" s="53"/>
    </row>
    <row r="40" ht="54">
      <c r="B40" s="53" t="s">
        <v>343</v>
      </c>
      <c r="C40" s="52"/>
      <c r="D40" s="52"/>
      <c r="E40" s="52"/>
      <c r="F40" s="52"/>
      <c r="G40" s="52"/>
      <c r="H40" s="79">
        <f>'Balance Sheet'!H34+'Balance Sheet'!H43-SUM('Balance Sheet'!H12:H14)-SUM('Balance Sheet'!H17:H22)-H22-H13-H18-H19-H39</f>
        <v>-1.7688070399991318</v>
      </c>
      <c r="I40" s="53"/>
      <c r="J40" s="73" t="s">
        <v>344</v>
      </c>
    </row>
    <row r="41">
      <c r="B41" s="53"/>
      <c r="C41" s="52"/>
      <c r="D41" s="52"/>
      <c r="E41" s="52"/>
      <c r="F41" s="52"/>
      <c r="G41" s="52"/>
      <c r="H41" s="54"/>
      <c r="I41" s="53"/>
      <c r="J41" s="53"/>
    </row>
    <row r="42">
      <c r="B42" s="53"/>
      <c r="C42" s="52"/>
      <c r="D42" s="52"/>
      <c r="E42" s="52"/>
      <c r="F42" s="52"/>
      <c r="G42" s="52"/>
      <c r="H42" s="54"/>
      <c r="I42" s="53"/>
      <c r="J42" s="53"/>
    </row>
    <row r="43">
      <c r="B43" s="53"/>
      <c r="C43" s="52"/>
      <c r="D43" s="52"/>
      <c r="E43" s="52"/>
      <c r="F43" s="52"/>
      <c r="G43" s="52"/>
      <c r="H43" s="54"/>
      <c r="I43" s="53"/>
      <c r="J43" s="53"/>
    </row>
    <row r="44">
      <c r="B44" s="53"/>
      <c r="C44" s="52"/>
      <c r="D44" s="52"/>
      <c r="E44" s="52"/>
      <c r="F44" s="52"/>
      <c r="G44" s="52"/>
      <c r="H44" s="54"/>
      <c r="I44" s="53"/>
      <c r="J44" s="53"/>
    </row>
    <row r="45">
      <c r="B45" s="53"/>
      <c r="C45" s="52"/>
      <c r="D45" s="52"/>
      <c r="E45" s="52"/>
      <c r="F45" s="52"/>
      <c r="G45" s="52"/>
      <c r="H45" s="54"/>
      <c r="I45" s="53"/>
      <c r="J45" s="53"/>
    </row>
    <row r="46">
      <c r="B46" s="53"/>
      <c r="C46" s="52"/>
      <c r="D46" s="52"/>
      <c r="E46" s="52"/>
      <c r="F46" s="52"/>
      <c r="G46" s="52"/>
      <c r="H46" s="54"/>
      <c r="I46" s="53"/>
      <c r="J46" s="53"/>
    </row>
    <row r="47">
      <c r="B47" s="53"/>
      <c r="C47" s="52"/>
      <c r="D47" s="52"/>
      <c r="E47" s="52"/>
      <c r="F47" s="52"/>
      <c r="G47" s="52"/>
      <c r="H47" s="54"/>
      <c r="I47" s="53"/>
      <c r="J47" s="53"/>
    </row>
    <row r="48">
      <c r="B48" s="53"/>
      <c r="C48" s="52"/>
      <c r="D48" s="52"/>
      <c r="E48" s="52"/>
      <c r="F48" s="52"/>
      <c r="G48" s="52"/>
      <c r="H48" s="54"/>
      <c r="I48" s="53"/>
      <c r="J48" s="53"/>
    </row>
    <row r="49">
      <c r="B49" s="53"/>
      <c r="C49" s="52"/>
      <c r="D49" s="52"/>
      <c r="E49" s="52"/>
      <c r="F49" s="52"/>
      <c r="G49" s="52"/>
      <c r="H49" s="54"/>
      <c r="I49" s="53"/>
      <c r="J49" s="53"/>
    </row>
    <row r="50">
      <c r="B50" s="53"/>
      <c r="C50" s="52"/>
      <c r="D50" s="52"/>
      <c r="E50" s="52"/>
      <c r="F50" s="52"/>
      <c r="G50" s="52"/>
      <c r="H50" s="54"/>
      <c r="I50" s="53"/>
      <c r="J50" s="53"/>
    </row>
    <row r="51">
      <c r="B51" s="53"/>
      <c r="C51" s="52"/>
      <c r="D51" s="52"/>
      <c r="E51" s="52"/>
      <c r="F51" s="52"/>
      <c r="G51" s="52"/>
      <c r="H51" s="54"/>
      <c r="I51" s="53"/>
      <c r="J51" s="53"/>
    </row>
    <row r="52">
      <c r="B52" s="53"/>
      <c r="C52" s="52"/>
      <c r="D52" s="52"/>
      <c r="E52" s="52"/>
      <c r="F52" s="52"/>
      <c r="G52" s="52"/>
      <c r="H52" s="54"/>
      <c r="I52" s="53"/>
      <c r="J52" s="53"/>
    </row>
    <row r="53">
      <c r="B53" s="53"/>
      <c r="C53" s="52"/>
      <c r="D53" s="52"/>
      <c r="E53" s="52"/>
      <c r="F53" s="52"/>
      <c r="G53" s="52"/>
      <c r="H53" s="54"/>
      <c r="I53" s="53"/>
      <c r="J53" s="53"/>
    </row>
    <row r="54">
      <c r="B54" s="53"/>
      <c r="C54" s="52"/>
      <c r="D54" s="52"/>
      <c r="E54" s="52"/>
      <c r="F54" s="52"/>
      <c r="G54" s="52"/>
      <c r="H54" s="54"/>
      <c r="I54" s="53"/>
      <c r="J54" s="53"/>
    </row>
    <row r="55">
      <c r="B55" s="53"/>
      <c r="C55" s="52"/>
      <c r="D55" s="52"/>
      <c r="E55" s="52"/>
      <c r="F55" s="52"/>
      <c r="G55" s="52"/>
      <c r="H55" s="54"/>
      <c r="I55" s="53"/>
      <c r="J55" s="53"/>
    </row>
    <row r="56">
      <c r="B56" s="53"/>
      <c r="C56" s="52"/>
      <c r="D56" s="52"/>
      <c r="E56" s="52"/>
      <c r="F56" s="52"/>
      <c r="G56" s="52"/>
      <c r="H56" s="54"/>
      <c r="I56" s="53"/>
      <c r="J56" s="53"/>
    </row>
    <row r="57">
      <c r="B57" s="53"/>
      <c r="C57" s="52"/>
      <c r="D57" s="52"/>
      <c r="E57" s="52"/>
      <c r="F57" s="52"/>
      <c r="G57" s="52"/>
      <c r="H57" s="54"/>
      <c r="I57" s="53"/>
      <c r="J57" s="53"/>
    </row>
    <row r="58">
      <c r="B58" s="53"/>
      <c r="C58" s="52"/>
      <c r="D58" s="52"/>
      <c r="E58" s="52"/>
      <c r="F58" s="52"/>
      <c r="G58" s="52"/>
      <c r="H58" s="54"/>
      <c r="I58" s="53"/>
      <c r="J58" s="53"/>
    </row>
    <row r="59">
      <c r="B59" s="53"/>
      <c r="C59" s="52"/>
      <c r="D59" s="52"/>
      <c r="E59" s="52"/>
      <c r="F59" s="52"/>
      <c r="G59" s="52"/>
      <c r="H59" s="54"/>
      <c r="I59" s="53"/>
      <c r="J59" s="53"/>
    </row>
    <row r="60">
      <c r="B60" s="53"/>
      <c r="C60" s="52"/>
      <c r="D60" s="52"/>
      <c r="E60" s="52"/>
      <c r="F60" s="52"/>
      <c r="G60" s="52"/>
      <c r="H60" s="54"/>
      <c r="I60" s="53"/>
      <c r="J60" s="53"/>
    </row>
    <row r="61">
      <c r="B61" s="53"/>
      <c r="C61" s="52"/>
      <c r="D61" s="52"/>
      <c r="E61" s="52"/>
      <c r="F61" s="52"/>
      <c r="G61" s="52"/>
      <c r="H61" s="54"/>
      <c r="I61" s="53"/>
      <c r="J61" s="53"/>
    </row>
    <row r="62">
      <c r="B62" s="53"/>
      <c r="C62" s="52"/>
      <c r="D62" s="52"/>
      <c r="E62" s="52"/>
      <c r="F62" s="52"/>
      <c r="G62" s="52"/>
      <c r="H62" s="54"/>
      <c r="I62" s="53"/>
      <c r="J62" s="53"/>
    </row>
    <row r="63">
      <c r="B63" s="53"/>
      <c r="C63" s="52"/>
      <c r="D63" s="52"/>
      <c r="E63" s="52"/>
      <c r="F63" s="52"/>
      <c r="G63" s="52"/>
      <c r="H63" s="54"/>
      <c r="I63" s="53"/>
      <c r="J63" s="53"/>
    </row>
    <row r="64">
      <c r="B64" s="53"/>
      <c r="C64" s="52"/>
      <c r="D64" s="52"/>
      <c r="E64" s="52"/>
      <c r="F64" s="52"/>
      <c r="G64" s="52"/>
      <c r="H64" s="54"/>
      <c r="I64" s="53"/>
      <c r="J64" s="53"/>
    </row>
    <row r="65">
      <c r="B65" s="53"/>
      <c r="C65" s="52"/>
      <c r="D65" s="52"/>
      <c r="E65" s="52"/>
      <c r="F65" s="52"/>
      <c r="G65" s="52"/>
      <c r="H65" s="54"/>
      <c r="I65" s="53"/>
      <c r="J65" s="53"/>
    </row>
    <row r="66">
      <c r="B66" s="53"/>
      <c r="C66" s="52"/>
      <c r="D66" s="52"/>
      <c r="E66" s="52"/>
      <c r="F66" s="52"/>
      <c r="G66" s="52"/>
      <c r="H66" s="54"/>
      <c r="I66" s="53"/>
      <c r="J66" s="53"/>
    </row>
    <row r="67">
      <c r="B67" s="53"/>
      <c r="C67" s="52"/>
      <c r="D67" s="52"/>
      <c r="E67" s="52"/>
      <c r="F67" s="52"/>
      <c r="G67" s="52"/>
      <c r="H67" s="54"/>
      <c r="I67" s="53"/>
      <c r="J67" s="53"/>
    </row>
    <row r="68">
      <c r="B68" s="53"/>
      <c r="C68" s="52"/>
      <c r="D68" s="52"/>
      <c r="E68" s="52"/>
      <c r="F68" s="52"/>
      <c r="G68" s="52"/>
      <c r="H68" s="54"/>
      <c r="I68" s="53"/>
      <c r="J68" s="53"/>
    </row>
    <row r="69">
      <c r="B69" s="53"/>
      <c r="C69" s="52"/>
      <c r="D69" s="52"/>
      <c r="E69" s="52"/>
      <c r="F69" s="52"/>
      <c r="G69" s="52"/>
      <c r="H69" s="54"/>
      <c r="I69" s="53"/>
      <c r="J69" s="53"/>
    </row>
    <row r="70">
      <c r="B70" s="53"/>
      <c r="C70" s="52"/>
      <c r="D70" s="52"/>
      <c r="E70" s="52"/>
      <c r="F70" s="52"/>
      <c r="G70" s="52"/>
      <c r="H70" s="54"/>
      <c r="I70" s="53"/>
      <c r="J70" s="53"/>
    </row>
    <row r="71">
      <c r="B71" s="53"/>
      <c r="C71" s="52"/>
      <c r="D71" s="52"/>
      <c r="E71" s="52"/>
      <c r="F71" s="52"/>
      <c r="G71" s="52"/>
      <c r="H71" s="54"/>
      <c r="I71" s="53"/>
      <c r="J71" s="53"/>
    </row>
    <row r="72">
      <c r="B72" s="53"/>
      <c r="C72" s="52"/>
      <c r="D72" s="52"/>
      <c r="E72" s="52"/>
      <c r="F72" s="52"/>
      <c r="G72" s="52"/>
      <c r="H72" s="54"/>
      <c r="I72" s="53"/>
      <c r="J72" s="53"/>
    </row>
    <row r="73">
      <c r="B73" s="53"/>
      <c r="C73" s="52"/>
      <c r="D73" s="52"/>
      <c r="E73" s="52"/>
      <c r="F73" s="52"/>
      <c r="G73" s="52"/>
      <c r="H73" s="54"/>
      <c r="I73" s="53"/>
      <c r="J73" s="53"/>
    </row>
    <row r="74">
      <c r="B74" s="53"/>
      <c r="C74" s="52"/>
      <c r="D74" s="52"/>
      <c r="E74" s="52"/>
      <c r="F74" s="52"/>
      <c r="G74" s="52"/>
      <c r="H74" s="54"/>
      <c r="I74" s="53"/>
      <c r="J74" s="53"/>
    </row>
    <row r="75">
      <c r="B75" s="53"/>
      <c r="C75" s="52"/>
      <c r="D75" s="52"/>
      <c r="E75" s="52"/>
      <c r="F75" s="52"/>
      <c r="G75" s="52"/>
      <c r="H75" s="54"/>
      <c r="I75" s="53"/>
      <c r="J75" s="53"/>
    </row>
    <row r="76">
      <c r="B76" s="53"/>
      <c r="C76" s="52"/>
      <c r="D76" s="52"/>
      <c r="E76" s="52"/>
      <c r="F76" s="52"/>
      <c r="G76" s="52"/>
      <c r="H76" s="54"/>
      <c r="I76" s="53"/>
      <c r="J76" s="53"/>
    </row>
    <row r="77">
      <c r="B77" s="53"/>
      <c r="C77" s="52"/>
      <c r="D77" s="52"/>
      <c r="E77" s="52"/>
      <c r="F77" s="52"/>
      <c r="G77" s="52"/>
      <c r="H77" s="54"/>
      <c r="I77" s="53"/>
      <c r="J77" s="53"/>
    </row>
    <row r="78">
      <c r="B78" s="53"/>
      <c r="C78" s="52"/>
      <c r="D78" s="52"/>
      <c r="E78" s="52"/>
      <c r="F78" s="52"/>
      <c r="G78" s="52"/>
      <c r="H78" s="54"/>
      <c r="I78" s="53"/>
      <c r="J78" s="53"/>
    </row>
    <row r="79">
      <c r="B79" s="53"/>
      <c r="C79" s="52"/>
      <c r="D79" s="52"/>
      <c r="E79" s="52"/>
      <c r="F79" s="52"/>
      <c r="G79" s="52"/>
      <c r="H79" s="54"/>
      <c r="I79" s="53"/>
      <c r="J79" s="53"/>
    </row>
    <row r="80">
      <c r="B80" s="53"/>
      <c r="C80" s="52"/>
      <c r="D80" s="52"/>
      <c r="E80" s="52"/>
      <c r="F80" s="52"/>
      <c r="G80" s="52"/>
      <c r="H80" s="54"/>
      <c r="I80" s="53"/>
      <c r="J80" s="53"/>
    </row>
    <row r="81">
      <c r="B81" s="53"/>
      <c r="C81" s="52"/>
      <c r="D81" s="52"/>
      <c r="E81" s="52"/>
      <c r="F81" s="52"/>
      <c r="G81" s="52"/>
      <c r="H81" s="54"/>
      <c r="I81" s="53"/>
      <c r="J81" s="53"/>
    </row>
    <row r="82">
      <c r="B82" s="53"/>
      <c r="C82" s="52"/>
      <c r="D82" s="52"/>
      <c r="E82" s="52"/>
      <c r="F82" s="52"/>
      <c r="G82" s="52"/>
      <c r="H82" s="54"/>
      <c r="I82" s="53"/>
      <c r="J82" s="53"/>
    </row>
    <row r="83">
      <c r="B83" s="53"/>
      <c r="C83" s="52"/>
      <c r="D83" s="52"/>
      <c r="E83" s="52"/>
      <c r="F83" s="52"/>
      <c r="G83" s="52"/>
      <c r="H83" s="54"/>
      <c r="I83" s="53"/>
      <c r="J83" s="53"/>
    </row>
    <row r="84">
      <c r="B84" s="53"/>
      <c r="C84" s="52"/>
      <c r="D84" s="52"/>
      <c r="E84" s="52"/>
      <c r="F84" s="52"/>
      <c r="G84" s="52"/>
      <c r="H84" s="54"/>
      <c r="I84" s="53"/>
      <c r="J84" s="53"/>
    </row>
    <row r="85">
      <c r="B85" s="53"/>
      <c r="C85" s="52"/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/>
      <c r="C89" s="52"/>
      <c r="D89" s="52"/>
      <c r="E89" s="52"/>
      <c r="F89" s="52"/>
      <c r="G89" s="52"/>
      <c r="H89" s="54"/>
      <c r="I89" s="53"/>
      <c r="J89" s="53"/>
    </row>
    <row r="90">
      <c r="B90" s="53"/>
      <c r="C90" s="52"/>
      <c r="D90" s="52"/>
      <c r="E90" s="52"/>
      <c r="F90" s="52"/>
      <c r="G90" s="52"/>
      <c r="H90" s="54"/>
      <c r="I90" s="53"/>
      <c r="J90" s="53"/>
    </row>
    <row r="91">
      <c r="B91" s="53"/>
      <c r="C91" s="52"/>
      <c r="D91" s="52"/>
      <c r="E91" s="52"/>
      <c r="F91" s="52"/>
      <c r="G91" s="52"/>
      <c r="H91" s="54"/>
      <c r="I91" s="53"/>
      <c r="J91" s="53"/>
    </row>
    <row r="92">
      <c r="B92" s="53"/>
      <c r="C92" s="52"/>
      <c r="D92" s="52"/>
      <c r="E92" s="52"/>
      <c r="F92" s="52"/>
      <c r="G92" s="52"/>
      <c r="H92" s="54"/>
      <c r="I92" s="53"/>
      <c r="J92" s="53"/>
    </row>
    <row r="93">
      <c r="B93" s="53"/>
      <c r="C93" s="52"/>
      <c r="D93" s="52"/>
      <c r="E93" s="52"/>
      <c r="F93" s="52"/>
      <c r="G93" s="52"/>
      <c r="H93" s="54"/>
      <c r="I93" s="53"/>
      <c r="J93" s="53"/>
    </row>
    <row r="94">
      <c r="B94" s="53"/>
      <c r="C94" s="52"/>
      <c r="D94" s="52"/>
      <c r="E94" s="52"/>
      <c r="F94" s="52"/>
      <c r="G94" s="52"/>
      <c r="H94" s="54"/>
      <c r="I94" s="53"/>
      <c r="J94" s="53"/>
    </row>
    <row r="95">
      <c r="B95" s="53"/>
      <c r="C95" s="52"/>
      <c r="D95" s="52"/>
      <c r="E95" s="52"/>
      <c r="F95" s="52"/>
      <c r="G95" s="52"/>
      <c r="H95" s="54"/>
      <c r="I95" s="53"/>
      <c r="J95" s="53"/>
    </row>
    <row r="96">
      <c r="B96" s="53"/>
      <c r="C96" s="52"/>
      <c r="D96" s="52"/>
      <c r="E96" s="52"/>
      <c r="F96" s="52"/>
      <c r="G96" s="52"/>
      <c r="H96" s="54"/>
      <c r="I96" s="53"/>
      <c r="J96" s="53"/>
    </row>
    <row r="97">
      <c r="B97" s="53"/>
      <c r="C97" s="52"/>
      <c r="D97" s="52"/>
      <c r="E97" s="52"/>
      <c r="F97" s="52"/>
      <c r="G97" s="52"/>
      <c r="H97" s="54"/>
      <c r="I97" s="53"/>
      <c r="J97" s="53"/>
    </row>
    <row r="98">
      <c r="B98" s="53"/>
      <c r="C98" s="52"/>
      <c r="D98" s="52"/>
      <c r="E98" s="52"/>
      <c r="F98" s="52"/>
      <c r="G98" s="52"/>
      <c r="H98" s="54"/>
      <c r="I98" s="53"/>
      <c r="J98" s="53"/>
    </row>
    <row r="99">
      <c r="B99" s="53"/>
      <c r="C99" s="52"/>
      <c r="D99" s="52"/>
      <c r="E99" s="52"/>
      <c r="F99" s="52"/>
      <c r="G99" s="52"/>
      <c r="H99" s="54"/>
      <c r="I99" s="53"/>
      <c r="J99" s="53"/>
    </row>
    <row r="100">
      <c r="B100" s="53"/>
      <c r="C100" s="52"/>
      <c r="D100" s="52"/>
      <c r="E100" s="52"/>
      <c r="F100" s="52"/>
      <c r="G100" s="52"/>
      <c r="H100" s="54"/>
      <c r="I100" s="53"/>
      <c r="J100" s="53"/>
    </row>
    <row r="101">
      <c r="B101" s="53"/>
      <c r="C101" s="52"/>
      <c r="D101" s="52"/>
      <c r="E101" s="52"/>
      <c r="F101" s="52"/>
      <c r="G101" s="52"/>
      <c r="H101" s="54"/>
      <c r="I101" s="53"/>
      <c r="J101" s="53"/>
    </row>
    <row r="102">
      <c r="B102" s="53"/>
      <c r="C102" s="52"/>
      <c r="D102" s="52"/>
      <c r="E102" s="52"/>
      <c r="F102" s="52"/>
      <c r="G102" s="52"/>
      <c r="H102" s="54"/>
      <c r="I102" s="53"/>
      <c r="J102" s="53"/>
    </row>
    <row r="103">
      <c r="B103" s="53"/>
      <c r="C103" s="52"/>
      <c r="D103" s="52"/>
      <c r="E103" s="52"/>
      <c r="F103" s="52"/>
      <c r="G103" s="52"/>
      <c r="H103" s="54"/>
      <c r="I103" s="53"/>
      <c r="J103" s="53"/>
    </row>
    <row r="104">
      <c r="B104" s="53"/>
      <c r="C104" s="52"/>
      <c r="D104" s="52"/>
      <c r="E104" s="52"/>
      <c r="F104" s="52"/>
      <c r="G104" s="52"/>
      <c r="H104" s="54"/>
      <c r="I104" s="53"/>
      <c r="J104" s="53"/>
    </row>
    <row r="105">
      <c r="B105" s="53"/>
      <c r="C105" s="52"/>
      <c r="D105" s="52"/>
      <c r="E105" s="52"/>
      <c r="F105" s="52"/>
      <c r="G105" s="52"/>
      <c r="H105" s="54"/>
      <c r="I105" s="53"/>
      <c r="J105" s="53"/>
    </row>
    <row r="106">
      <c r="B106" s="53"/>
      <c r="C106" s="52"/>
      <c r="D106" s="52"/>
      <c r="E106" s="52"/>
      <c r="F106" s="52"/>
      <c r="G106" s="52"/>
      <c r="H106" s="54"/>
      <c r="I106" s="53"/>
      <c r="J106" s="53"/>
    </row>
    <row r="107">
      <c r="B107" s="53"/>
      <c r="C107" s="52"/>
      <c r="D107" s="52"/>
      <c r="E107" s="52"/>
      <c r="F107" s="52"/>
      <c r="G107" s="52"/>
      <c r="H107" s="54"/>
      <c r="I107" s="53"/>
      <c r="J107" s="53"/>
    </row>
    <row r="108">
      <c r="B108" s="53"/>
      <c r="C108" s="52"/>
      <c r="D108" s="52"/>
      <c r="E108" s="52"/>
      <c r="F108" s="52"/>
      <c r="G108" s="52"/>
      <c r="H108" s="54"/>
      <c r="I108" s="53"/>
      <c r="J108" s="53"/>
    </row>
    <row r="109">
      <c r="B109" s="53"/>
      <c r="C109" s="52"/>
      <c r="D109" s="52"/>
      <c r="E109" s="52"/>
      <c r="F109" s="52"/>
      <c r="G109" s="52"/>
      <c r="H109" s="54"/>
      <c r="I109" s="53"/>
      <c r="J109" s="53"/>
    </row>
    <row r="110">
      <c r="B110" s="53"/>
      <c r="C110" s="52"/>
      <c r="D110" s="52"/>
      <c r="E110" s="52"/>
      <c r="F110" s="52"/>
      <c r="G110" s="52"/>
      <c r="H110" s="54"/>
      <c r="I110" s="53"/>
      <c r="J110" s="53"/>
    </row>
    <row r="111">
      <c r="B111" s="53"/>
      <c r="C111" s="52"/>
      <c r="D111" s="52"/>
      <c r="E111" s="52"/>
      <c r="F111" s="52"/>
      <c r="G111" s="52"/>
      <c r="H111" s="54"/>
      <c r="I111" s="53"/>
      <c r="J111" s="53"/>
    </row>
    <row r="112">
      <c r="B112" s="53"/>
      <c r="C112" s="52"/>
      <c r="D112" s="52"/>
      <c r="E112" s="52"/>
      <c r="F112" s="52"/>
      <c r="G112" s="52"/>
      <c r="H112" s="54"/>
      <c r="I112" s="53"/>
      <c r="J112" s="53"/>
    </row>
    <row r="113">
      <c r="B113" s="53"/>
      <c r="C113" s="52"/>
      <c r="D113" s="52"/>
      <c r="E113" s="52"/>
      <c r="F113" s="52"/>
      <c r="G113" s="52"/>
      <c r="H113" s="54"/>
      <c r="I113" s="53"/>
      <c r="J113" s="53"/>
    </row>
    <row r="114">
      <c r="B114" s="53"/>
      <c r="C114" s="52"/>
      <c r="D114" s="52"/>
      <c r="E114" s="52"/>
      <c r="F114" s="52"/>
      <c r="G114" s="52"/>
      <c r="H114" s="54"/>
      <c r="I114" s="53"/>
      <c r="J114" s="53"/>
    </row>
    <row r="115">
      <c r="B115" s="53"/>
      <c r="C115" s="52"/>
      <c r="D115" s="52"/>
      <c r="E115" s="52"/>
      <c r="F115" s="52"/>
      <c r="G115" s="52"/>
      <c r="H115" s="54"/>
      <c r="I115" s="53"/>
      <c r="J115" s="53"/>
    </row>
    <row r="116">
      <c r="B116" s="53"/>
      <c r="C116" s="52"/>
      <c r="D116" s="52"/>
      <c r="E116" s="52"/>
      <c r="F116" s="52"/>
      <c r="G116" s="52"/>
      <c r="H116" s="54"/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/>
      <c r="C118" s="52"/>
      <c r="D118" s="52"/>
      <c r="E118" s="52"/>
      <c r="F118" s="52"/>
      <c r="G118" s="52"/>
      <c r="H118" s="54"/>
      <c r="I118" s="53"/>
      <c r="J118" s="53"/>
    </row>
    <row r="119">
      <c r="B119" s="53"/>
      <c r="C119" s="52"/>
      <c r="D119" s="52"/>
      <c r="E119" s="52"/>
      <c r="F119" s="52"/>
      <c r="G119" s="52"/>
      <c r="H119" s="54"/>
      <c r="I119" s="53"/>
      <c r="J119" s="53"/>
    </row>
    <row r="120">
      <c r="B120" s="53"/>
      <c r="C120" s="52"/>
      <c r="D120" s="52"/>
      <c r="E120" s="52"/>
      <c r="F120" s="52"/>
      <c r="G120" s="52"/>
      <c r="H120" s="54"/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/>
      <c r="C122" s="52"/>
      <c r="D122" s="52"/>
      <c r="E122" s="52"/>
      <c r="F122" s="52"/>
      <c r="G122" s="52"/>
      <c r="H122" s="54"/>
      <c r="I122" s="53"/>
      <c r="J122" s="53"/>
    </row>
    <row r="123">
      <c r="B123" s="53"/>
      <c r="C123" s="52"/>
      <c r="D123" s="52"/>
      <c r="E123" s="52"/>
      <c r="F123" s="52"/>
      <c r="G123" s="52"/>
      <c r="H123" s="54"/>
      <c r="I123" s="53"/>
      <c r="J123" s="53"/>
    </row>
    <row r="124">
      <c r="B124" s="53"/>
      <c r="C124" s="52"/>
      <c r="D124" s="52"/>
      <c r="E124" s="52"/>
      <c r="F124" s="52"/>
      <c r="G124" s="52"/>
      <c r="H124" s="54"/>
      <c r="I124" s="53"/>
      <c r="J124" s="53"/>
    </row>
    <row r="125">
      <c r="B125" s="53"/>
      <c r="C125" s="52"/>
      <c r="D125" s="52"/>
      <c r="E125" s="52"/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/>
      <c r="C127" s="52"/>
      <c r="D127" s="52"/>
      <c r="E127" s="52"/>
      <c r="F127" s="52"/>
      <c r="G127" s="52"/>
      <c r="H127" s="54"/>
      <c r="I127" s="53"/>
      <c r="J127" s="53"/>
    </row>
    <row r="128">
      <c r="B128" s="53"/>
      <c r="C128" s="52"/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3" customWidth="1"/>
    <col min="10" max="10" width="18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345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>
      <c r="B9" s="53"/>
      <c r="C9" s="52"/>
      <c r="D9" s="52"/>
      <c r="E9" s="52"/>
      <c r="F9" s="52"/>
      <c r="G9" s="52"/>
      <c r="H9" s="54"/>
      <c r="I9" s="53"/>
      <c r="J9" s="53"/>
    </row>
    <row r="10">
      <c r="B10" s="53" t="s">
        <v>346</v>
      </c>
      <c r="C10" s="57">
        <f>'Revenue summary'!C22*C17</f>
        <v>187.18940999999998</v>
      </c>
      <c r="D10" s="61">
        <v>2423.245</v>
      </c>
      <c r="E10" s="57">
        <f>'Revenue summary'!E22*E17</f>
        <v>208.69233</v>
      </c>
      <c r="F10" s="57">
        <f>'Revenue summary'!F22*F17</f>
        <v>932.18152</v>
      </c>
      <c r="G10" s="57">
        <f>'Revenue summary'!G22*G17</f>
        <v>1048.50225</v>
      </c>
      <c r="H10" s="79">
        <f>'Revenue summary'!H22*H17</f>
        <v>181.2979231</v>
      </c>
      <c r="I10" s="53"/>
      <c r="J10" s="53" t="s">
        <v>347</v>
      </c>
    </row>
    <row r="11">
      <c r="B11" s="53" t="s">
        <v>348</v>
      </c>
      <c r="C11" s="57">
        <f>'Revenue summary'!C22*C18</f>
        <v>28.485345</v>
      </c>
      <c r="D11" s="57">
        <f>Inputs!C85</f>
        <v>335.3</v>
      </c>
      <c r="E11" s="57">
        <f>'Revenue summary'!E22*E18</f>
        <v>33.878625</v>
      </c>
      <c r="F11" s="57">
        <f>'Revenue summary'!F22*F18</f>
        <v>119.23252000000001</v>
      </c>
      <c r="G11" s="57">
        <f>'Revenue summary'!G22*G18</f>
        <v>126.543375</v>
      </c>
      <c r="H11" s="79">
        <f>'Revenue summary'!H22*H18</f>
        <v>27.194688465</v>
      </c>
      <c r="I11" s="53"/>
      <c r="J11" s="53"/>
    </row>
    <row r="12">
      <c r="B12" s="53" t="s">
        <v>349</v>
      </c>
      <c r="C12" s="57">
        <f>'Revenue summary'!C22-SUM(C10:C11)</f>
        <v>55.61424500000001</v>
      </c>
      <c r="D12" s="57">
        <f>'Revenue summary'!D22-SUM(D10:D11)</f>
        <v>205.80200000000013</v>
      </c>
      <c r="E12" s="57">
        <f>'Revenue summary'!E22-SUM(E10:E11)</f>
        <v>28.458045</v>
      </c>
      <c r="F12" s="57">
        <f>'Revenue summary'!F22-SUM(F10:F11)</f>
        <v>32.51796000000013</v>
      </c>
      <c r="G12" s="57">
        <f>'Revenue summary'!G22-SUM(G10:G11)</f>
        <v>30.129374999999982</v>
      </c>
      <c r="H12" s="79">
        <f>'Revenue summary'!H22*H19</f>
        <v>50.504421435</v>
      </c>
      <c r="I12" s="53"/>
      <c r="J12" s="53"/>
    </row>
    <row r="13">
      <c r="B13" s="53" t="s">
        <v>350</v>
      </c>
      <c r="C13" s="62">
        <f>SUM(C11:C12)</f>
        <v>84.09959</v>
      </c>
      <c r="D13" s="62">
        <f>SUM(D11:D12)</f>
        <v>541.1020000000001</v>
      </c>
      <c r="E13" s="62">
        <f>SUM(E11:E12)</f>
        <v>62.33667</v>
      </c>
      <c r="F13" s="62">
        <f>SUM(F11:F12)</f>
        <v>151.75048000000015</v>
      </c>
      <c r="G13" s="62">
        <f>SUM(G11:G12)</f>
        <v>156.67274999999998</v>
      </c>
      <c r="H13" s="70">
        <f>H11+H12</f>
        <v>77.6991099</v>
      </c>
      <c r="I13" s="53"/>
      <c r="J13" s="53"/>
    </row>
    <row r="14">
      <c r="B14" s="65" t="s">
        <v>351</v>
      </c>
      <c r="C14" s="62">
        <f>SUM(C10,C13)</f>
        <v>271.289</v>
      </c>
      <c r="D14" s="62">
        <f>SUM(D10,D13)</f>
        <v>2964.3469999999998</v>
      </c>
      <c r="E14" s="62">
        <f>SUM(E10,E13)</f>
        <v>271.029</v>
      </c>
      <c r="F14" s="62">
        <f>SUM(F10,F13)</f>
        <v>1083.9320000000002</v>
      </c>
      <c r="G14" s="62">
        <f>SUM(G10,G13)</f>
        <v>1205.175</v>
      </c>
      <c r="H14" s="70">
        <f>H10+H13</f>
        <v>258.997033</v>
      </c>
      <c r="I14" s="53"/>
      <c r="J14" s="53"/>
    </row>
    <row r="15">
      <c r="B15" s="65" t="s">
        <v>352</v>
      </c>
      <c r="C15" s="60">
        <f>C14-'Revenue summary'!C22</f>
        <v>0</v>
      </c>
      <c r="D15" s="60">
        <f>D14-'Revenue summary'!D22</f>
        <v>0</v>
      </c>
      <c r="E15" s="60">
        <f>E14-'Revenue summary'!E22</f>
        <v>0</v>
      </c>
      <c r="F15" s="60">
        <f>F14-'Revenue summary'!F22</f>
        <v>0</v>
      </c>
      <c r="G15" s="60">
        <f>G14-'Revenue summary'!G22</f>
        <v>0</v>
      </c>
      <c r="H15" s="78">
        <f>H14-'Revenue summary'!H22</f>
        <v>0</v>
      </c>
      <c r="I15" s="53"/>
      <c r="J15" s="53"/>
    </row>
    <row r="16">
      <c r="B16" s="53"/>
      <c r="C16" s="52"/>
      <c r="D16" s="52"/>
      <c r="E16" s="52"/>
      <c r="F16" s="52"/>
      <c r="G16" s="52"/>
      <c r="H16" s="54"/>
      <c r="I16" s="53"/>
      <c r="J16" s="53"/>
    </row>
    <row r="17">
      <c r="B17" s="53" t="s">
        <v>353</v>
      </c>
      <c r="C17" s="64">
        <v>0.69</v>
      </c>
      <c r="D17" s="56">
        <f>D10/D14</f>
        <v>0.8174633401555217</v>
      </c>
      <c r="E17" s="64">
        <v>0.77</v>
      </c>
      <c r="F17" s="64">
        <v>0.86</v>
      </c>
      <c r="G17" s="64">
        <v>0.87</v>
      </c>
      <c r="H17" s="59">
        <v>0.7</v>
      </c>
      <c r="I17" s="53"/>
      <c r="J17" s="53"/>
    </row>
    <row r="18">
      <c r="B18" s="53" t="s">
        <v>354</v>
      </c>
      <c r="C18" s="64">
        <v>0.105</v>
      </c>
      <c r="D18" s="56">
        <f>D11/D14</f>
        <v>0.11311091447796093</v>
      </c>
      <c r="E18" s="64">
        <v>0.125</v>
      </c>
      <c r="F18" s="64">
        <v>0.11</v>
      </c>
      <c r="G18" s="64">
        <v>0.105</v>
      </c>
      <c r="H18" s="59">
        <v>0.105</v>
      </c>
      <c r="I18" s="53"/>
      <c r="J18" s="53"/>
    </row>
    <row r="19">
      <c r="B19" s="53" t="s">
        <v>355</v>
      </c>
      <c r="C19" s="56">
        <f>IFERROR(C12/C14,0)</f>
        <v>0.20500000000000004</v>
      </c>
      <c r="D19" s="56">
        <f>D12/D14</f>
        <v>0.06942574536651754</v>
      </c>
      <c r="E19" s="56">
        <f>IFERROR(E12/E14,0)</f>
        <v>0.105</v>
      </c>
      <c r="F19" s="56">
        <f>IFERROR(F12/F14,0)</f>
        <v>0.030000000000000113</v>
      </c>
      <c r="G19" s="56">
        <f>IFERROR(G12/G14,0)</f>
        <v>0.024999999999999988</v>
      </c>
      <c r="H19" s="59">
        <v>0.195</v>
      </c>
      <c r="I19" s="53"/>
      <c r="J19" s="53"/>
    </row>
    <row r="20">
      <c r="B20" s="53"/>
      <c r="C20" s="52"/>
      <c r="D20" s="52"/>
      <c r="E20" s="52"/>
      <c r="F20" s="52"/>
      <c r="G20" s="52"/>
      <c r="H20" s="54"/>
      <c r="I20" s="53"/>
      <c r="J20" s="53"/>
    </row>
    <row r="21">
      <c r="B21" s="53"/>
      <c r="C21" s="52"/>
      <c r="D21" s="52"/>
      <c r="E21" s="52"/>
      <c r="F21" s="52"/>
      <c r="G21" s="52"/>
      <c r="H21" s="54"/>
      <c r="I21" s="53"/>
      <c r="J21" s="53"/>
    </row>
    <row r="22">
      <c r="B22" s="53" t="s">
        <v>356</v>
      </c>
      <c r="C22" s="52"/>
      <c r="D22" s="52"/>
      <c r="E22" s="52"/>
      <c r="F22" s="52"/>
      <c r="G22" s="52"/>
      <c r="H22" s="54"/>
      <c r="I22" s="53"/>
      <c r="J22" s="53" t="s">
        <v>357</v>
      </c>
    </row>
    <row r="23">
      <c r="B23" s="53"/>
      <c r="C23" s="52"/>
      <c r="D23" s="52"/>
      <c r="E23" s="52"/>
      <c r="F23" s="52"/>
      <c r="G23" s="52"/>
      <c r="H23" s="54"/>
      <c r="I23" s="53"/>
      <c r="J23" s="53"/>
    </row>
    <row r="24">
      <c r="B24" s="53"/>
      <c r="C24" s="52"/>
      <c r="D24" s="52"/>
      <c r="E24" s="52"/>
      <c r="F24" s="52"/>
      <c r="G24" s="52"/>
      <c r="H24" s="54"/>
      <c r="I24" s="53"/>
      <c r="J24" s="53"/>
    </row>
    <row r="25">
      <c r="B25" s="53"/>
      <c r="C25" s="52"/>
      <c r="D25" s="52"/>
      <c r="E25" s="52"/>
      <c r="F25" s="52"/>
      <c r="G25" s="52"/>
      <c r="H25" s="54"/>
      <c r="I25" s="53"/>
      <c r="J25" s="53"/>
    </row>
    <row r="26">
      <c r="B26" s="53"/>
      <c r="C26" s="52"/>
      <c r="D26" s="52"/>
      <c r="E26" s="52"/>
      <c r="F26" s="52"/>
      <c r="G26" s="52"/>
      <c r="H26" s="54"/>
      <c r="I26" s="53"/>
      <c r="J26" s="53"/>
    </row>
    <row r="27">
      <c r="B27" s="53"/>
      <c r="C27" s="52"/>
      <c r="D27" s="52"/>
      <c r="E27" s="52"/>
      <c r="F27" s="52"/>
      <c r="G27" s="52"/>
      <c r="H27" s="54"/>
      <c r="I27" s="53"/>
      <c r="J27" s="53"/>
    </row>
    <row r="28">
      <c r="B28" s="53"/>
      <c r="C28" s="52"/>
      <c r="D28" s="52"/>
      <c r="E28" s="52"/>
      <c r="F28" s="52"/>
      <c r="G28" s="52"/>
      <c r="H28" s="54"/>
      <c r="I28" s="53"/>
      <c r="J28" s="53"/>
    </row>
    <row r="29">
      <c r="B29" s="53"/>
      <c r="C29" s="52"/>
      <c r="D29" s="52"/>
      <c r="E29" s="52"/>
      <c r="F29" s="52"/>
      <c r="G29" s="52"/>
      <c r="H29" s="54"/>
      <c r="I29" s="53"/>
      <c r="J29" s="53"/>
    </row>
    <row r="30">
      <c r="B30" s="53"/>
      <c r="C30" s="52"/>
      <c r="D30" s="52"/>
      <c r="E30" s="52"/>
      <c r="F30" s="52"/>
      <c r="G30" s="52"/>
      <c r="H30" s="54"/>
      <c r="I30" s="53"/>
      <c r="J30" s="53"/>
    </row>
    <row r="31">
      <c r="B31" s="53"/>
      <c r="C31" s="52"/>
      <c r="D31" s="52"/>
      <c r="E31" s="52"/>
      <c r="F31" s="52"/>
      <c r="G31" s="52"/>
      <c r="H31" s="54"/>
      <c r="I31" s="53"/>
      <c r="J31" s="53"/>
    </row>
    <row r="32">
      <c r="B32" s="53"/>
      <c r="C32" s="52"/>
      <c r="D32" s="52"/>
      <c r="E32" s="52"/>
      <c r="F32" s="52"/>
      <c r="G32" s="52"/>
      <c r="H32" s="54"/>
      <c r="I32" s="53"/>
      <c r="J32" s="53"/>
    </row>
    <row r="33">
      <c r="B33" s="53"/>
      <c r="C33" s="52"/>
      <c r="D33" s="52"/>
      <c r="E33" s="52"/>
      <c r="F33" s="52"/>
      <c r="G33" s="52"/>
      <c r="H33" s="54"/>
      <c r="I33" s="53"/>
      <c r="J33" s="53"/>
    </row>
    <row r="34">
      <c r="B34" s="53"/>
      <c r="C34" s="52"/>
      <c r="D34" s="52"/>
      <c r="E34" s="52"/>
      <c r="F34" s="52"/>
      <c r="G34" s="52"/>
      <c r="H34" s="54"/>
      <c r="I34" s="53"/>
      <c r="J34" s="53"/>
    </row>
    <row r="35">
      <c r="B35" s="53"/>
      <c r="C35" s="52"/>
      <c r="D35" s="52"/>
      <c r="E35" s="52"/>
      <c r="F35" s="52"/>
      <c r="G35" s="52"/>
      <c r="H35" s="54"/>
      <c r="I35" s="53"/>
      <c r="J35" s="53"/>
    </row>
    <row r="36">
      <c r="B36" s="53"/>
      <c r="C36" s="52"/>
      <c r="D36" s="52"/>
      <c r="E36" s="52"/>
      <c r="F36" s="52"/>
      <c r="G36" s="52"/>
      <c r="H36" s="54"/>
      <c r="I36" s="53"/>
      <c r="J36" s="53"/>
    </row>
    <row r="37">
      <c r="B37" s="53"/>
      <c r="C37" s="52"/>
      <c r="D37" s="52"/>
      <c r="E37" s="52"/>
      <c r="F37" s="52"/>
      <c r="G37" s="52"/>
      <c r="H37" s="54"/>
      <c r="I37" s="53"/>
      <c r="J37" s="53"/>
    </row>
    <row r="38">
      <c r="B38" s="53"/>
      <c r="C38" s="52"/>
      <c r="D38" s="52"/>
      <c r="E38" s="52"/>
      <c r="F38" s="52"/>
      <c r="G38" s="52"/>
      <c r="H38" s="54"/>
      <c r="I38" s="53"/>
      <c r="J38" s="53"/>
    </row>
    <row r="39">
      <c r="B39" s="53"/>
      <c r="C39" s="52"/>
      <c r="D39" s="52"/>
      <c r="E39" s="52"/>
      <c r="F39" s="52"/>
      <c r="G39" s="52"/>
      <c r="H39" s="54"/>
      <c r="I39" s="53"/>
      <c r="J39" s="53"/>
    </row>
    <row r="40">
      <c r="B40" s="53"/>
      <c r="C40" s="52"/>
      <c r="D40" s="52"/>
      <c r="E40" s="52"/>
      <c r="F40" s="52"/>
      <c r="G40" s="52"/>
      <c r="H40" s="54"/>
      <c r="I40" s="53"/>
      <c r="J40" s="53"/>
    </row>
    <row r="41">
      <c r="B41" s="53"/>
      <c r="C41" s="52"/>
      <c r="D41" s="52"/>
      <c r="E41" s="52"/>
      <c r="F41" s="52"/>
      <c r="G41" s="52"/>
      <c r="H41" s="54"/>
      <c r="I41" s="53"/>
      <c r="J41" s="53"/>
    </row>
    <row r="42">
      <c r="B42" s="53"/>
      <c r="C42" s="52"/>
      <c r="D42" s="52"/>
      <c r="E42" s="52"/>
      <c r="F42" s="52"/>
      <c r="G42" s="52"/>
      <c r="H42" s="54"/>
      <c r="I42" s="53"/>
      <c r="J42" s="53"/>
    </row>
    <row r="43">
      <c r="B43" s="53"/>
      <c r="C43" s="52"/>
      <c r="D43" s="52"/>
      <c r="E43" s="52"/>
      <c r="F43" s="52"/>
      <c r="G43" s="52"/>
      <c r="H43" s="54"/>
      <c r="I43" s="53"/>
      <c r="J43" s="53"/>
    </row>
    <row r="44">
      <c r="B44" s="53"/>
      <c r="C44" s="52"/>
      <c r="D44" s="52"/>
      <c r="E44" s="52"/>
      <c r="F44" s="52"/>
      <c r="G44" s="52"/>
      <c r="H44" s="54"/>
      <c r="I44" s="53"/>
      <c r="J44" s="53"/>
    </row>
    <row r="45">
      <c r="B45" s="53"/>
      <c r="C45" s="52"/>
      <c r="D45" s="52"/>
      <c r="E45" s="52"/>
      <c r="F45" s="52"/>
      <c r="G45" s="52"/>
      <c r="H45" s="54"/>
      <c r="I45" s="53"/>
      <c r="J45" s="53"/>
    </row>
    <row r="46">
      <c r="B46" s="53"/>
      <c r="C46" s="52"/>
      <c r="D46" s="52"/>
      <c r="E46" s="52"/>
      <c r="F46" s="52"/>
      <c r="G46" s="52"/>
      <c r="H46" s="54"/>
      <c r="I46" s="53"/>
      <c r="J46" s="53"/>
    </row>
    <row r="47">
      <c r="B47" s="53"/>
      <c r="C47" s="52"/>
      <c r="D47" s="52"/>
      <c r="E47" s="52"/>
      <c r="F47" s="52"/>
      <c r="G47" s="52"/>
      <c r="H47" s="54"/>
      <c r="I47" s="53"/>
      <c r="J47" s="53"/>
    </row>
    <row r="48">
      <c r="B48" s="53"/>
      <c r="C48" s="52"/>
      <c r="D48" s="52"/>
      <c r="E48" s="52"/>
      <c r="F48" s="52"/>
      <c r="G48" s="52"/>
      <c r="H48" s="54"/>
      <c r="I48" s="53"/>
      <c r="J48" s="53"/>
    </row>
    <row r="49">
      <c r="B49" s="53"/>
      <c r="C49" s="52"/>
      <c r="D49" s="52"/>
      <c r="E49" s="52"/>
      <c r="F49" s="52"/>
      <c r="G49" s="52"/>
      <c r="H49" s="54"/>
      <c r="I49" s="53"/>
      <c r="J49" s="53"/>
    </row>
    <row r="50">
      <c r="B50" s="53"/>
      <c r="C50" s="52"/>
      <c r="D50" s="52"/>
      <c r="E50" s="52"/>
      <c r="F50" s="52"/>
      <c r="G50" s="52"/>
      <c r="H50" s="54"/>
      <c r="I50" s="53"/>
      <c r="J50" s="53"/>
    </row>
    <row r="51">
      <c r="B51" s="53"/>
      <c r="C51" s="52"/>
      <c r="D51" s="52"/>
      <c r="E51" s="52"/>
      <c r="F51" s="52"/>
      <c r="G51" s="52"/>
      <c r="H51" s="54"/>
      <c r="I51" s="53"/>
      <c r="J51" s="53"/>
    </row>
    <row r="52">
      <c r="B52" s="53"/>
      <c r="C52" s="52"/>
      <c r="D52" s="52"/>
      <c r="E52" s="52"/>
      <c r="F52" s="52"/>
      <c r="G52" s="52"/>
      <c r="H52" s="54"/>
      <c r="I52" s="53"/>
      <c r="J52" s="53"/>
    </row>
    <row r="53">
      <c r="B53" s="53"/>
      <c r="C53" s="52"/>
      <c r="D53" s="52"/>
      <c r="E53" s="52"/>
      <c r="F53" s="52"/>
      <c r="G53" s="52"/>
      <c r="H53" s="54"/>
      <c r="I53" s="53"/>
      <c r="J53" s="53"/>
    </row>
    <row r="54">
      <c r="B54" s="53"/>
      <c r="C54" s="52"/>
      <c r="D54" s="52"/>
      <c r="E54" s="52"/>
      <c r="F54" s="52"/>
      <c r="G54" s="52"/>
      <c r="H54" s="54"/>
      <c r="I54" s="53"/>
      <c r="J54" s="53"/>
    </row>
    <row r="55">
      <c r="B55" s="53"/>
      <c r="C55" s="52"/>
      <c r="D55" s="52"/>
      <c r="E55" s="52"/>
      <c r="F55" s="52"/>
      <c r="G55" s="52"/>
      <c r="H55" s="54"/>
      <c r="I55" s="53"/>
      <c r="J55" s="53"/>
    </row>
    <row r="56">
      <c r="B56" s="53"/>
      <c r="C56" s="52"/>
      <c r="D56" s="52"/>
      <c r="E56" s="52"/>
      <c r="F56" s="52"/>
      <c r="G56" s="52"/>
      <c r="H56" s="54"/>
      <c r="I56" s="53"/>
      <c r="J56" s="53"/>
    </row>
    <row r="57">
      <c r="B57" s="53"/>
      <c r="C57" s="52"/>
      <c r="D57" s="52"/>
      <c r="E57" s="52"/>
      <c r="F57" s="52"/>
      <c r="G57" s="52"/>
      <c r="H57" s="54"/>
      <c r="I57" s="53"/>
      <c r="J57" s="53"/>
    </row>
    <row r="58">
      <c r="B58" s="53"/>
      <c r="C58" s="52"/>
      <c r="D58" s="52"/>
      <c r="E58" s="52"/>
      <c r="F58" s="52"/>
      <c r="G58" s="52"/>
      <c r="H58" s="54"/>
      <c r="I58" s="53"/>
      <c r="J58" s="53"/>
    </row>
    <row r="59">
      <c r="B59" s="53"/>
      <c r="C59" s="52"/>
      <c r="D59" s="52"/>
      <c r="E59" s="52"/>
      <c r="F59" s="52"/>
      <c r="G59" s="52"/>
      <c r="H59" s="54"/>
      <c r="I59" s="53"/>
      <c r="J59" s="53"/>
    </row>
    <row r="60">
      <c r="B60" s="53"/>
      <c r="C60" s="52"/>
      <c r="D60" s="52"/>
      <c r="E60" s="52"/>
      <c r="F60" s="52"/>
      <c r="G60" s="52"/>
      <c r="H60" s="54"/>
      <c r="I60" s="53"/>
      <c r="J60" s="53"/>
    </row>
    <row r="61">
      <c r="B61" s="53"/>
      <c r="C61" s="52"/>
      <c r="D61" s="52"/>
      <c r="E61" s="52"/>
      <c r="F61" s="52"/>
      <c r="G61" s="52"/>
      <c r="H61" s="54"/>
      <c r="I61" s="53"/>
      <c r="J61" s="53"/>
    </row>
    <row r="62">
      <c r="B62" s="53"/>
      <c r="C62" s="52"/>
      <c r="D62" s="52"/>
      <c r="E62" s="52"/>
      <c r="F62" s="52"/>
      <c r="G62" s="52"/>
      <c r="H62" s="54"/>
      <c r="I62" s="53"/>
      <c r="J62" s="53"/>
    </row>
    <row r="63">
      <c r="B63" s="53"/>
      <c r="C63" s="52"/>
      <c r="D63" s="52"/>
      <c r="E63" s="52"/>
      <c r="F63" s="52"/>
      <c r="G63" s="52"/>
      <c r="H63" s="54"/>
      <c r="I63" s="53"/>
      <c r="J63" s="53"/>
    </row>
    <row r="64">
      <c r="B64" s="53"/>
      <c r="C64" s="52"/>
      <c r="D64" s="52"/>
      <c r="E64" s="52"/>
      <c r="F64" s="52"/>
      <c r="G64" s="52"/>
      <c r="H64" s="54"/>
      <c r="I64" s="53"/>
      <c r="J64" s="53"/>
    </row>
    <row r="65">
      <c r="B65" s="53"/>
      <c r="C65" s="52"/>
      <c r="D65" s="52"/>
      <c r="E65" s="52"/>
      <c r="F65" s="52"/>
      <c r="G65" s="52"/>
      <c r="H65" s="54"/>
      <c r="I65" s="53"/>
      <c r="J65" s="53"/>
    </row>
    <row r="66">
      <c r="B66" s="53"/>
      <c r="C66" s="52"/>
      <c r="D66" s="52"/>
      <c r="E66" s="52"/>
      <c r="F66" s="52"/>
      <c r="G66" s="52"/>
      <c r="H66" s="54"/>
      <c r="I66" s="53"/>
      <c r="J66" s="53"/>
    </row>
    <row r="67">
      <c r="B67" s="53"/>
      <c r="C67" s="52"/>
      <c r="D67" s="52"/>
      <c r="E67" s="52"/>
      <c r="F67" s="52"/>
      <c r="G67" s="52"/>
      <c r="H67" s="54"/>
      <c r="I67" s="53"/>
      <c r="J67" s="53"/>
    </row>
    <row r="68">
      <c r="B68" s="53"/>
      <c r="C68" s="52"/>
      <c r="D68" s="52"/>
      <c r="E68" s="52"/>
      <c r="F68" s="52"/>
      <c r="G68" s="52"/>
      <c r="H68" s="54"/>
      <c r="I68" s="53"/>
      <c r="J68" s="53"/>
    </row>
    <row r="69">
      <c r="B69" s="53"/>
      <c r="C69" s="52"/>
      <c r="D69" s="52"/>
      <c r="E69" s="52"/>
      <c r="F69" s="52"/>
      <c r="G69" s="52"/>
      <c r="H69" s="54"/>
      <c r="I69" s="53"/>
      <c r="J69" s="53"/>
    </row>
    <row r="70">
      <c r="B70" s="53"/>
      <c r="C70" s="52"/>
      <c r="D70" s="52"/>
      <c r="E70" s="52"/>
      <c r="F70" s="52"/>
      <c r="G70" s="52"/>
      <c r="H70" s="54"/>
      <c r="I70" s="53"/>
      <c r="J70" s="53"/>
    </row>
    <row r="71">
      <c r="B71" s="53"/>
      <c r="C71" s="52"/>
      <c r="D71" s="52"/>
      <c r="E71" s="52"/>
      <c r="F71" s="52"/>
      <c r="G71" s="52"/>
      <c r="H71" s="54"/>
      <c r="I71" s="53"/>
      <c r="J71" s="53"/>
    </row>
    <row r="72">
      <c r="B72" s="53"/>
      <c r="C72" s="52"/>
      <c r="D72" s="52"/>
      <c r="E72" s="52"/>
      <c r="F72" s="52"/>
      <c r="G72" s="52"/>
      <c r="H72" s="54"/>
      <c r="I72" s="53"/>
      <c r="J72" s="53"/>
    </row>
    <row r="73">
      <c r="B73" s="53"/>
      <c r="C73" s="52"/>
      <c r="D73" s="52"/>
      <c r="E73" s="52"/>
      <c r="F73" s="52"/>
      <c r="G73" s="52"/>
      <c r="H73" s="54"/>
      <c r="I73" s="53"/>
      <c r="J73" s="53"/>
    </row>
    <row r="74">
      <c r="B74" s="53"/>
      <c r="C74" s="52"/>
      <c r="D74" s="52"/>
      <c r="E74" s="52"/>
      <c r="F74" s="52"/>
      <c r="G74" s="52"/>
      <c r="H74" s="54"/>
      <c r="I74" s="53"/>
      <c r="J74" s="53"/>
    </row>
    <row r="75">
      <c r="B75" s="53"/>
      <c r="C75" s="52"/>
      <c r="D75" s="52"/>
      <c r="E75" s="52"/>
      <c r="F75" s="52"/>
      <c r="G75" s="52"/>
      <c r="H75" s="54"/>
      <c r="I75" s="53"/>
      <c r="J75" s="53"/>
    </row>
    <row r="76">
      <c r="B76" s="53"/>
      <c r="C76" s="52"/>
      <c r="D76" s="52"/>
      <c r="E76" s="52"/>
      <c r="F76" s="52"/>
      <c r="G76" s="52"/>
      <c r="H76" s="54"/>
      <c r="I76" s="53"/>
      <c r="J76" s="53"/>
    </row>
    <row r="77">
      <c r="B77" s="53"/>
      <c r="C77" s="52"/>
      <c r="D77" s="52"/>
      <c r="E77" s="52"/>
      <c r="F77" s="52"/>
      <c r="G77" s="52"/>
      <c r="H77" s="54"/>
      <c r="I77" s="53"/>
      <c r="J77" s="53"/>
    </row>
    <row r="78">
      <c r="B78" s="53"/>
      <c r="C78" s="52"/>
      <c r="D78" s="52"/>
      <c r="E78" s="52"/>
      <c r="F78" s="52"/>
      <c r="G78" s="52"/>
      <c r="H78" s="54"/>
      <c r="I78" s="53"/>
      <c r="J78" s="53"/>
    </row>
    <row r="79">
      <c r="B79" s="53"/>
      <c r="C79" s="52"/>
      <c r="D79" s="52"/>
      <c r="E79" s="52"/>
      <c r="F79" s="52"/>
      <c r="G79" s="52"/>
      <c r="H79" s="54"/>
      <c r="I79" s="53"/>
      <c r="J79" s="53"/>
    </row>
    <row r="80">
      <c r="B80" s="53"/>
      <c r="C80" s="52"/>
      <c r="D80" s="52"/>
      <c r="E80" s="52"/>
      <c r="F80" s="52"/>
      <c r="G80" s="52"/>
      <c r="H80" s="54"/>
      <c r="I80" s="53"/>
      <c r="J80" s="53"/>
    </row>
    <row r="81">
      <c r="B81" s="53"/>
      <c r="C81" s="52"/>
      <c r="D81" s="52"/>
      <c r="E81" s="52"/>
      <c r="F81" s="52"/>
      <c r="G81" s="52"/>
      <c r="H81" s="54"/>
      <c r="I81" s="53"/>
      <c r="J81" s="53"/>
    </row>
    <row r="82">
      <c r="B82" s="53"/>
      <c r="C82" s="52"/>
      <c r="D82" s="52"/>
      <c r="E82" s="52"/>
      <c r="F82" s="52"/>
      <c r="G82" s="52"/>
      <c r="H82" s="54"/>
      <c r="I82" s="53"/>
      <c r="J82" s="53"/>
    </row>
    <row r="83">
      <c r="B83" s="53"/>
      <c r="C83" s="52"/>
      <c r="D83" s="52"/>
      <c r="E83" s="52"/>
      <c r="F83" s="52"/>
      <c r="G83" s="52"/>
      <c r="H83" s="54"/>
      <c r="I83" s="53"/>
      <c r="J83" s="53"/>
    </row>
    <row r="84">
      <c r="B84" s="53"/>
      <c r="C84" s="52"/>
      <c r="D84" s="52"/>
      <c r="E84" s="52"/>
      <c r="F84" s="52"/>
      <c r="G84" s="52"/>
      <c r="H84" s="54"/>
      <c r="I84" s="53"/>
      <c r="J84" s="53"/>
    </row>
    <row r="85">
      <c r="B85" s="53"/>
      <c r="C85" s="52"/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/>
      <c r="C89" s="52"/>
      <c r="D89" s="52"/>
      <c r="E89" s="52"/>
      <c r="F89" s="52"/>
      <c r="G89" s="52"/>
      <c r="H89" s="54"/>
      <c r="I89" s="53"/>
      <c r="J89" s="53"/>
    </row>
    <row r="90">
      <c r="B90" s="53"/>
      <c r="C90" s="52"/>
      <c r="D90" s="52"/>
      <c r="E90" s="52"/>
      <c r="F90" s="52"/>
      <c r="G90" s="52"/>
      <c r="H90" s="54"/>
      <c r="I90" s="53"/>
      <c r="J90" s="53"/>
    </row>
    <row r="91">
      <c r="B91" s="53"/>
      <c r="C91" s="52"/>
      <c r="D91" s="52"/>
      <c r="E91" s="52"/>
      <c r="F91" s="52"/>
      <c r="G91" s="52"/>
      <c r="H91" s="54"/>
      <c r="I91" s="53"/>
      <c r="J91" s="53"/>
    </row>
    <row r="92">
      <c r="B92" s="53"/>
      <c r="C92" s="52"/>
      <c r="D92" s="52"/>
      <c r="E92" s="52"/>
      <c r="F92" s="52"/>
      <c r="G92" s="52"/>
      <c r="H92" s="54"/>
      <c r="I92" s="53"/>
      <c r="J92" s="53"/>
    </row>
    <row r="93">
      <c r="B93" s="53"/>
      <c r="C93" s="52"/>
      <c r="D93" s="52"/>
      <c r="E93" s="52"/>
      <c r="F93" s="52"/>
      <c r="G93" s="52"/>
      <c r="H93" s="54"/>
      <c r="I93" s="53"/>
      <c r="J93" s="53"/>
    </row>
    <row r="94">
      <c r="B94" s="53"/>
      <c r="C94" s="52"/>
      <c r="D94" s="52"/>
      <c r="E94" s="52"/>
      <c r="F94" s="52"/>
      <c r="G94" s="52"/>
      <c r="H94" s="54"/>
      <c r="I94" s="53"/>
      <c r="J94" s="53"/>
    </row>
    <row r="95">
      <c r="B95" s="53"/>
      <c r="C95" s="52"/>
      <c r="D95" s="52"/>
      <c r="E95" s="52"/>
      <c r="F95" s="52"/>
      <c r="G95" s="52"/>
      <c r="H95" s="54"/>
      <c r="I95" s="53"/>
      <c r="J95" s="53"/>
    </row>
    <row r="96">
      <c r="B96" s="53"/>
      <c r="C96" s="52"/>
      <c r="D96" s="52"/>
      <c r="E96" s="52"/>
      <c r="F96" s="52"/>
      <c r="G96" s="52"/>
      <c r="H96" s="54"/>
      <c r="I96" s="53"/>
      <c r="J96" s="53"/>
    </row>
    <row r="97">
      <c r="B97" s="53"/>
      <c r="C97" s="52"/>
      <c r="D97" s="52"/>
      <c r="E97" s="52"/>
      <c r="F97" s="52"/>
      <c r="G97" s="52"/>
      <c r="H97" s="54"/>
      <c r="I97" s="53"/>
      <c r="J97" s="53"/>
    </row>
    <row r="98">
      <c r="B98" s="53"/>
      <c r="C98" s="52"/>
      <c r="D98" s="52"/>
      <c r="E98" s="52"/>
      <c r="F98" s="52"/>
      <c r="G98" s="52"/>
      <c r="H98" s="54"/>
      <c r="I98" s="53"/>
      <c r="J98" s="53"/>
    </row>
    <row r="99">
      <c r="B99" s="53"/>
      <c r="C99" s="52"/>
      <c r="D99" s="52"/>
      <c r="E99" s="52"/>
      <c r="F99" s="52"/>
      <c r="G99" s="52"/>
      <c r="H99" s="54"/>
      <c r="I99" s="53"/>
      <c r="J99" s="53"/>
    </row>
    <row r="100">
      <c r="B100" s="53"/>
      <c r="C100" s="52"/>
      <c r="D100" s="52"/>
      <c r="E100" s="52"/>
      <c r="F100" s="52"/>
      <c r="G100" s="52"/>
      <c r="H100" s="54"/>
      <c r="I100" s="53"/>
      <c r="J100" s="53"/>
    </row>
    <row r="101">
      <c r="B101" s="53"/>
      <c r="C101" s="52"/>
      <c r="D101" s="52"/>
      <c r="E101" s="52"/>
      <c r="F101" s="52"/>
      <c r="G101" s="52"/>
      <c r="H101" s="54"/>
      <c r="I101" s="53"/>
      <c r="J101" s="53"/>
    </row>
    <row r="102">
      <c r="B102" s="53"/>
      <c r="C102" s="52"/>
      <c r="D102" s="52"/>
      <c r="E102" s="52"/>
      <c r="F102" s="52"/>
      <c r="G102" s="52"/>
      <c r="H102" s="54"/>
      <c r="I102" s="53"/>
      <c r="J102" s="53"/>
    </row>
    <row r="103">
      <c r="B103" s="53"/>
      <c r="C103" s="52"/>
      <c r="D103" s="52"/>
      <c r="E103" s="52"/>
      <c r="F103" s="52"/>
      <c r="G103" s="52"/>
      <c r="H103" s="54"/>
      <c r="I103" s="53"/>
      <c r="J103" s="53"/>
    </row>
    <row r="104">
      <c r="B104" s="53"/>
      <c r="C104" s="52"/>
      <c r="D104" s="52"/>
      <c r="E104" s="52"/>
      <c r="F104" s="52"/>
      <c r="G104" s="52"/>
      <c r="H104" s="54"/>
      <c r="I104" s="53"/>
      <c r="J104" s="53"/>
    </row>
    <row r="105">
      <c r="B105" s="53"/>
      <c r="C105" s="52"/>
      <c r="D105" s="52"/>
      <c r="E105" s="52"/>
      <c r="F105" s="52"/>
      <c r="G105" s="52"/>
      <c r="H105" s="54"/>
      <c r="I105" s="53"/>
      <c r="J105" s="53"/>
    </row>
    <row r="106">
      <c r="B106" s="53"/>
      <c r="C106" s="52"/>
      <c r="D106" s="52"/>
      <c r="E106" s="52"/>
      <c r="F106" s="52"/>
      <c r="G106" s="52"/>
      <c r="H106" s="54"/>
      <c r="I106" s="53"/>
      <c r="J106" s="53"/>
    </row>
    <row r="107">
      <c r="B107" s="53"/>
      <c r="C107" s="52"/>
      <c r="D107" s="52"/>
      <c r="E107" s="52"/>
      <c r="F107" s="52"/>
      <c r="G107" s="52"/>
      <c r="H107" s="54"/>
      <c r="I107" s="53"/>
      <c r="J107" s="53"/>
    </row>
    <row r="108">
      <c r="B108" s="53"/>
      <c r="C108" s="52"/>
      <c r="D108" s="52"/>
      <c r="E108" s="52"/>
      <c r="F108" s="52"/>
      <c r="G108" s="52"/>
      <c r="H108" s="54"/>
      <c r="I108" s="53"/>
      <c r="J108" s="53"/>
    </row>
    <row r="109">
      <c r="B109" s="53"/>
      <c r="C109" s="52"/>
      <c r="D109" s="52"/>
      <c r="E109" s="52"/>
      <c r="F109" s="52"/>
      <c r="G109" s="52"/>
      <c r="H109" s="54"/>
      <c r="I109" s="53"/>
      <c r="J109" s="53"/>
    </row>
    <row r="110">
      <c r="B110" s="53"/>
      <c r="C110" s="52"/>
      <c r="D110" s="52"/>
      <c r="E110" s="52"/>
      <c r="F110" s="52"/>
      <c r="G110" s="52"/>
      <c r="H110" s="54"/>
      <c r="I110" s="53"/>
      <c r="J110" s="53"/>
    </row>
    <row r="111">
      <c r="B111" s="53"/>
      <c r="C111" s="52"/>
      <c r="D111" s="52"/>
      <c r="E111" s="52"/>
      <c r="F111" s="52"/>
      <c r="G111" s="52"/>
      <c r="H111" s="54"/>
      <c r="I111" s="53"/>
      <c r="J111" s="53"/>
    </row>
    <row r="112">
      <c r="B112" s="53"/>
      <c r="C112" s="52"/>
      <c r="D112" s="52"/>
      <c r="E112" s="52"/>
      <c r="F112" s="52"/>
      <c r="G112" s="52"/>
      <c r="H112" s="54"/>
      <c r="I112" s="53"/>
      <c r="J112" s="53"/>
    </row>
    <row r="113">
      <c r="B113" s="53"/>
      <c r="C113" s="52"/>
      <c r="D113" s="52"/>
      <c r="E113" s="52"/>
      <c r="F113" s="52"/>
      <c r="G113" s="52"/>
      <c r="H113" s="54"/>
      <c r="I113" s="53"/>
      <c r="J113" s="53"/>
    </row>
    <row r="114">
      <c r="B114" s="53"/>
      <c r="C114" s="52"/>
      <c r="D114" s="52"/>
      <c r="E114" s="52"/>
      <c r="F114" s="52"/>
      <c r="G114" s="52"/>
      <c r="H114" s="54"/>
      <c r="I114" s="53"/>
      <c r="J114" s="53"/>
    </row>
    <row r="115">
      <c r="B115" s="53"/>
      <c r="C115" s="52"/>
      <c r="D115" s="52"/>
      <c r="E115" s="52"/>
      <c r="F115" s="52"/>
      <c r="G115" s="52"/>
      <c r="H115" s="54"/>
      <c r="I115" s="53"/>
      <c r="J115" s="53"/>
    </row>
    <row r="116">
      <c r="B116" s="53"/>
      <c r="C116" s="52"/>
      <c r="D116" s="52"/>
      <c r="E116" s="52"/>
      <c r="F116" s="52"/>
      <c r="G116" s="52"/>
      <c r="H116" s="54"/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/>
      <c r="C118" s="52"/>
      <c r="D118" s="52"/>
      <c r="E118" s="52"/>
      <c r="F118" s="52"/>
      <c r="G118" s="52"/>
      <c r="H118" s="54"/>
      <c r="I118" s="53"/>
      <c r="J118" s="53"/>
    </row>
    <row r="119">
      <c r="B119" s="53"/>
      <c r="C119" s="52"/>
      <c r="D119" s="52"/>
      <c r="E119" s="52"/>
      <c r="F119" s="52"/>
      <c r="G119" s="52"/>
      <c r="H119" s="54"/>
      <c r="I119" s="53"/>
      <c r="J119" s="53"/>
    </row>
    <row r="120">
      <c r="B120" s="53"/>
      <c r="C120" s="52"/>
      <c r="D120" s="52"/>
      <c r="E120" s="52"/>
      <c r="F120" s="52"/>
      <c r="G120" s="52"/>
      <c r="H120" s="54"/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/>
      <c r="C122" s="52"/>
      <c r="D122" s="52"/>
      <c r="E122" s="52"/>
      <c r="F122" s="52"/>
      <c r="G122" s="52"/>
      <c r="H122" s="54"/>
      <c r="I122" s="53"/>
      <c r="J122" s="53"/>
    </row>
    <row r="123">
      <c r="B123" s="53"/>
      <c r="C123" s="52"/>
      <c r="D123" s="52"/>
      <c r="E123" s="52"/>
      <c r="F123" s="52"/>
      <c r="G123" s="52"/>
      <c r="H123" s="54"/>
      <c r="I123" s="53"/>
      <c r="J123" s="53"/>
    </row>
    <row r="124">
      <c r="B124" s="53"/>
      <c r="C124" s="52"/>
      <c r="D124" s="52"/>
      <c r="E124" s="52"/>
      <c r="F124" s="52"/>
      <c r="G124" s="52"/>
      <c r="H124" s="54"/>
      <c r="I124" s="53"/>
      <c r="J124" s="53"/>
    </row>
    <row r="125">
      <c r="B125" s="53"/>
      <c r="C125" s="52"/>
      <c r="D125" s="52"/>
      <c r="E125" s="52"/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/>
      <c r="C127" s="52"/>
      <c r="D127" s="52"/>
      <c r="E127" s="52"/>
      <c r="F127" s="52"/>
      <c r="G127" s="52"/>
      <c r="H127" s="54"/>
      <c r="I127" s="53"/>
      <c r="J127" s="53"/>
    </row>
    <row r="128">
      <c r="B128" s="53"/>
      <c r="C128" s="52"/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3" customWidth="1"/>
    <col min="10" max="10" width="18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358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>
      <c r="B9" s="53"/>
      <c r="C9" s="52"/>
      <c r="D9" s="52"/>
      <c r="E9" s="52"/>
      <c r="F9" s="52"/>
      <c r="G9" s="52"/>
      <c r="H9" s="54"/>
      <c r="I9" s="53"/>
      <c r="J9" s="53"/>
    </row>
    <row r="10">
      <c r="B10" s="53" t="s">
        <v>359</v>
      </c>
      <c r="C10" s="55">
        <v>36.524</v>
      </c>
      <c r="D10" s="55">
        <v>37.155</v>
      </c>
      <c r="E10" s="55">
        <v>35.91</v>
      </c>
      <c r="F10" s="55">
        <v>35.753</v>
      </c>
      <c r="G10" s="55">
        <v>35.633</v>
      </c>
      <c r="H10" s="70">
        <f>G10+H15-H14</f>
        <v>35.633</v>
      </c>
      <c r="I10" s="53"/>
      <c r="J10" s="53"/>
    </row>
    <row r="11">
      <c r="B11" s="53" t="s">
        <v>360</v>
      </c>
      <c r="C11" s="52">
        <f>C12-C10</f>
        <v>0</v>
      </c>
      <c r="D11" s="52">
        <f>D12-D10</f>
        <v>0.04899999999999949</v>
      </c>
      <c r="E11" s="52">
        <f>E12-E10</f>
        <v>0</v>
      </c>
      <c r="F11" s="52">
        <f>F12-F10</f>
        <v>0.030000000000001137</v>
      </c>
      <c r="G11" s="52">
        <f>G12-G10</f>
        <v>0.05299999999999727</v>
      </c>
      <c r="H11" s="79">
        <f>IF('Income Statement'!H38&lt;0,0,G11)</f>
        <v>0</v>
      </c>
      <c r="I11" s="53"/>
      <c r="J11" s="53"/>
    </row>
    <row r="12">
      <c r="B12" s="53" t="s">
        <v>361</v>
      </c>
      <c r="C12" s="55">
        <v>36.524</v>
      </c>
      <c r="D12" s="55">
        <v>37.204</v>
      </c>
      <c r="E12" s="55">
        <v>35.91</v>
      </c>
      <c r="F12" s="55">
        <v>35.783</v>
      </c>
      <c r="G12" s="55">
        <v>35.686</v>
      </c>
      <c r="H12" s="70">
        <f>SUM(H10:H11)</f>
        <v>35.633</v>
      </c>
      <c r="I12" s="53"/>
      <c r="J12" s="53"/>
    </row>
    <row r="13">
      <c r="B13" s="53" t="s">
        <v>362</v>
      </c>
      <c r="C13" s="61">
        <v>200</v>
      </c>
      <c r="D13" s="61">
        <v>270</v>
      </c>
      <c r="E13" s="61">
        <v>0</v>
      </c>
      <c r="F13" s="61">
        <v>45</v>
      </c>
      <c r="G13" s="61">
        <v>0</v>
      </c>
      <c r="H13" s="76">
        <v>0</v>
      </c>
      <c r="I13" s="53"/>
      <c r="J13" s="53"/>
    </row>
    <row r="14">
      <c r="B14" s="53" t="s">
        <v>363</v>
      </c>
      <c r="C14" s="61">
        <v>1.29</v>
      </c>
      <c r="D14" s="61">
        <v>1.69</v>
      </c>
      <c r="E14" s="61">
        <v>0</v>
      </c>
      <c r="F14" s="61">
        <v>0.322709</v>
      </c>
      <c r="G14" s="61">
        <v>0</v>
      </c>
      <c r="H14" s="76">
        <v>0</v>
      </c>
      <c r="I14" s="53"/>
      <c r="J14" s="53"/>
    </row>
    <row r="15">
      <c r="B15" s="53" t="s">
        <v>364</v>
      </c>
      <c r="C15" s="52"/>
      <c r="D15" s="52"/>
      <c r="E15" s="52"/>
      <c r="F15" s="52"/>
      <c r="G15" s="52"/>
      <c r="H15" s="76">
        <v>0</v>
      </c>
      <c r="I15" s="53"/>
      <c r="J15" s="53"/>
    </row>
    <row r="16">
      <c r="B16" s="53" t="s">
        <v>365</v>
      </c>
      <c r="C16" s="60">
        <f>IF('Income Statement'!C38&lt;0,C10,C12)</f>
        <v>36.524</v>
      </c>
      <c r="D16" s="60">
        <f>IF('Income Statement'!D38&lt;0,D10,D12)</f>
        <v>37.204</v>
      </c>
      <c r="E16" s="60">
        <f>IF('Income Statement'!E38&lt;0,E10,E12)</f>
        <v>35.91</v>
      </c>
      <c r="F16" s="60">
        <f>IF('Income Statement'!F38&lt;0,F10,F12)</f>
        <v>35.783</v>
      </c>
      <c r="G16" s="60">
        <f>IF('Income Statement'!G38&lt;0,G10,G12)</f>
        <v>35.686</v>
      </c>
      <c r="H16" s="78">
        <f>IF('Income Statement'!H38&lt;0,H10,H12)</f>
        <v>35.633</v>
      </c>
      <c r="I16" s="53"/>
      <c r="J16" s="53"/>
    </row>
    <row r="17">
      <c r="B17" s="53" t="s">
        <v>366</v>
      </c>
      <c r="C17" s="56"/>
      <c r="D17" s="56"/>
      <c r="E17" s="56"/>
      <c r="F17" s="56"/>
      <c r="G17" s="56"/>
      <c r="H17" s="69">
        <f>H10/C10-1</f>
        <v>-0.02439491840981267</v>
      </c>
      <c r="I17" s="53"/>
      <c r="J17" s="53"/>
    </row>
    <row r="18">
      <c r="B18" s="53" t="s">
        <v>367</v>
      </c>
      <c r="C18" s="52"/>
      <c r="D18" s="52"/>
      <c r="E18" s="52"/>
      <c r="F18" s="52"/>
      <c r="G18" s="52"/>
      <c r="H18" s="54">
        <f>H10-G10</f>
        <v>0</v>
      </c>
      <c r="I18" s="53"/>
      <c r="J18" s="53"/>
    </row>
    <row r="19">
      <c r="B19" s="53" t="s">
        <v>368</v>
      </c>
      <c r="C19" s="52">
        <f>C12-C10-C11</f>
        <v>0</v>
      </c>
      <c r="D19" s="52">
        <f>D12-D10-D11</f>
        <v>0</v>
      </c>
      <c r="E19" s="52">
        <f>E12-E10-E11</f>
        <v>0</v>
      </c>
      <c r="F19" s="52">
        <f>F12-F10-F11</f>
        <v>0</v>
      </c>
      <c r="G19" s="52">
        <f>G12-G10-G11</f>
        <v>0</v>
      </c>
      <c r="H19" s="54">
        <f>H12-H10-H11</f>
        <v>0</v>
      </c>
      <c r="I19" s="53"/>
      <c r="J19" s="53"/>
    </row>
    <row r="20">
      <c r="B20" s="53"/>
      <c r="C20" s="52"/>
      <c r="D20" s="52"/>
      <c r="E20" s="52"/>
      <c r="F20" s="52"/>
      <c r="G20" s="52"/>
      <c r="H20" s="54"/>
      <c r="I20" s="53"/>
      <c r="J20" s="53"/>
    </row>
    <row r="21">
      <c r="B21" s="53" t="s">
        <v>369</v>
      </c>
      <c r="C21" s="52"/>
      <c r="D21" s="52"/>
      <c r="E21" s="52"/>
      <c r="F21" s="52"/>
      <c r="G21" s="52"/>
      <c r="H21" s="54"/>
      <c r="I21" s="53"/>
      <c r="J21" s="53"/>
    </row>
    <row r="22">
      <c r="B22" s="53"/>
      <c r="C22" s="52"/>
      <c r="D22" s="52"/>
      <c r="E22" s="52"/>
      <c r="F22" s="52"/>
      <c r="G22" s="52"/>
      <c r="H22" s="54"/>
      <c r="I22" s="53"/>
      <c r="J22" s="53"/>
    </row>
    <row r="23">
      <c r="B23" s="53"/>
      <c r="C23" s="52"/>
      <c r="D23" s="52"/>
      <c r="E23" s="52"/>
      <c r="F23" s="52"/>
      <c r="G23" s="52"/>
      <c r="H23" s="54"/>
      <c r="I23" s="53"/>
      <c r="J23" s="53"/>
    </row>
    <row r="24">
      <c r="B24" s="53"/>
      <c r="C24" s="52"/>
      <c r="D24" s="52"/>
      <c r="E24" s="52"/>
      <c r="F24" s="52"/>
      <c r="G24" s="52"/>
      <c r="H24" s="54"/>
      <c r="I24" s="53"/>
      <c r="J24" s="53"/>
    </row>
    <row r="25">
      <c r="B25" s="53"/>
      <c r="C25" s="52"/>
      <c r="D25" s="52"/>
      <c r="E25" s="52"/>
      <c r="F25" s="52"/>
      <c r="G25" s="52"/>
      <c r="H25" s="54"/>
      <c r="I25" s="53"/>
      <c r="J25" s="53"/>
    </row>
    <row r="26">
      <c r="B26" s="53"/>
      <c r="C26" s="52"/>
      <c r="D26" s="52"/>
      <c r="E26" s="52"/>
      <c r="F26" s="52"/>
      <c r="G26" s="52"/>
      <c r="H26" s="54"/>
      <c r="I26" s="53"/>
      <c r="J26" s="53"/>
    </row>
    <row r="27">
      <c r="B27" s="53"/>
      <c r="C27" s="52"/>
      <c r="D27" s="52"/>
      <c r="E27" s="52"/>
      <c r="F27" s="52"/>
      <c r="G27" s="52"/>
      <c r="H27" s="54"/>
      <c r="I27" s="53"/>
      <c r="J27" s="53"/>
    </row>
    <row r="28">
      <c r="B28" s="53"/>
      <c r="C28" s="52"/>
      <c r="D28" s="52"/>
      <c r="E28" s="52"/>
      <c r="F28" s="52"/>
      <c r="G28" s="52"/>
      <c r="H28" s="54"/>
      <c r="I28" s="53"/>
      <c r="J28" s="53"/>
    </row>
    <row r="29">
      <c r="B29" s="53"/>
      <c r="C29" s="52"/>
      <c r="D29" s="52"/>
      <c r="E29" s="52"/>
      <c r="F29" s="52"/>
      <c r="G29" s="52"/>
      <c r="H29" s="54"/>
      <c r="I29" s="53"/>
      <c r="J29" s="53"/>
    </row>
    <row r="30">
      <c r="B30" s="53"/>
      <c r="C30" s="52"/>
      <c r="D30" s="52"/>
      <c r="E30" s="52"/>
      <c r="F30" s="52"/>
      <c r="G30" s="52"/>
      <c r="H30" s="54"/>
      <c r="I30" s="53"/>
      <c r="J30" s="53"/>
    </row>
    <row r="31">
      <c r="B31" s="53"/>
      <c r="C31" s="52"/>
      <c r="D31" s="52"/>
      <c r="E31" s="52"/>
      <c r="F31" s="52"/>
      <c r="G31" s="52"/>
      <c r="H31" s="54"/>
      <c r="I31" s="53"/>
      <c r="J31" s="53"/>
    </row>
    <row r="32">
      <c r="B32" s="53"/>
      <c r="C32" s="52"/>
      <c r="D32" s="52"/>
      <c r="E32" s="52"/>
      <c r="F32" s="52"/>
      <c r="G32" s="52"/>
      <c r="H32" s="54"/>
      <c r="I32" s="53"/>
      <c r="J32" s="53"/>
    </row>
    <row r="33">
      <c r="B33" s="53"/>
      <c r="C33" s="52"/>
      <c r="D33" s="52"/>
      <c r="E33" s="52"/>
      <c r="F33" s="52"/>
      <c r="G33" s="52"/>
      <c r="H33" s="54"/>
      <c r="I33" s="53"/>
      <c r="J33" s="53"/>
    </row>
    <row r="34">
      <c r="B34" s="53"/>
      <c r="C34" s="52"/>
      <c r="D34" s="52"/>
      <c r="E34" s="52"/>
      <c r="F34" s="52"/>
      <c r="G34" s="52"/>
      <c r="H34" s="54"/>
      <c r="I34" s="53"/>
      <c r="J34" s="53"/>
    </row>
    <row r="35">
      <c r="B35" s="53"/>
      <c r="C35" s="52"/>
      <c r="D35" s="52"/>
      <c r="E35" s="52"/>
      <c r="F35" s="52"/>
      <c r="G35" s="52"/>
      <c r="H35" s="54"/>
      <c r="I35" s="53"/>
      <c r="J35" s="53"/>
    </row>
    <row r="36">
      <c r="B36" s="53"/>
      <c r="C36" s="52"/>
      <c r="D36" s="52"/>
      <c r="E36" s="52"/>
      <c r="F36" s="52"/>
      <c r="G36" s="52"/>
      <c r="H36" s="54"/>
      <c r="I36" s="53"/>
      <c r="J36" s="53"/>
    </row>
    <row r="37">
      <c r="B37" s="53"/>
      <c r="C37" s="52"/>
      <c r="D37" s="52"/>
      <c r="E37" s="52"/>
      <c r="F37" s="52"/>
      <c r="G37" s="52"/>
      <c r="H37" s="54"/>
      <c r="I37" s="53"/>
      <c r="J37" s="53"/>
    </row>
    <row r="38">
      <c r="B38" s="53"/>
      <c r="C38" s="52"/>
      <c r="D38" s="52"/>
      <c r="E38" s="52"/>
      <c r="F38" s="52"/>
      <c r="G38" s="52"/>
      <c r="H38" s="54"/>
      <c r="I38" s="53"/>
      <c r="J38" s="53"/>
    </row>
    <row r="39">
      <c r="B39" s="53"/>
      <c r="C39" s="52"/>
      <c r="D39" s="52"/>
      <c r="E39" s="52"/>
      <c r="F39" s="52"/>
      <c r="G39" s="52"/>
      <c r="H39" s="54"/>
      <c r="I39" s="53"/>
      <c r="J39" s="53"/>
    </row>
    <row r="40">
      <c r="B40" s="53"/>
      <c r="C40" s="52"/>
      <c r="D40" s="52"/>
      <c r="E40" s="52"/>
      <c r="F40" s="52"/>
      <c r="G40" s="52"/>
      <c r="H40" s="54"/>
      <c r="I40" s="53"/>
      <c r="J40" s="53"/>
    </row>
    <row r="41">
      <c r="B41" s="53"/>
      <c r="C41" s="52"/>
      <c r="D41" s="52"/>
      <c r="E41" s="52"/>
      <c r="F41" s="52"/>
      <c r="G41" s="52"/>
      <c r="H41" s="54"/>
      <c r="I41" s="53"/>
      <c r="J41" s="53"/>
    </row>
    <row r="42">
      <c r="B42" s="53"/>
      <c r="C42" s="52"/>
      <c r="D42" s="52"/>
      <c r="E42" s="52"/>
      <c r="F42" s="52"/>
      <c r="G42" s="52"/>
      <c r="H42" s="54"/>
      <c r="I42" s="53"/>
      <c r="J42" s="53"/>
    </row>
    <row r="43">
      <c r="B43" s="53"/>
      <c r="C43" s="52"/>
      <c r="D43" s="52"/>
      <c r="E43" s="52"/>
      <c r="F43" s="52"/>
      <c r="G43" s="52"/>
      <c r="H43" s="54"/>
      <c r="I43" s="53"/>
      <c r="J43" s="53"/>
    </row>
    <row r="44">
      <c r="B44" s="53"/>
      <c r="C44" s="52"/>
      <c r="D44" s="52"/>
      <c r="E44" s="52"/>
      <c r="F44" s="52"/>
      <c r="G44" s="52"/>
      <c r="H44" s="54"/>
      <c r="I44" s="53"/>
      <c r="J44" s="53"/>
    </row>
    <row r="45">
      <c r="B45" s="53"/>
      <c r="C45" s="52"/>
      <c r="D45" s="52"/>
      <c r="E45" s="52"/>
      <c r="F45" s="52"/>
      <c r="G45" s="52"/>
      <c r="H45" s="54"/>
      <c r="I45" s="53"/>
      <c r="J45" s="53"/>
    </row>
    <row r="46">
      <c r="B46" s="53"/>
      <c r="C46" s="52"/>
      <c r="D46" s="52"/>
      <c r="E46" s="52"/>
      <c r="F46" s="52"/>
      <c r="G46" s="52"/>
      <c r="H46" s="54"/>
      <c r="I46" s="53"/>
      <c r="J46" s="53"/>
    </row>
    <row r="47">
      <c r="B47" s="53"/>
      <c r="C47" s="52"/>
      <c r="D47" s="52"/>
      <c r="E47" s="52"/>
      <c r="F47" s="52"/>
      <c r="G47" s="52"/>
      <c r="H47" s="54"/>
      <c r="I47" s="53"/>
      <c r="J47" s="53"/>
    </row>
    <row r="48">
      <c r="B48" s="53"/>
      <c r="C48" s="52"/>
      <c r="D48" s="52"/>
      <c r="E48" s="52"/>
      <c r="F48" s="52"/>
      <c r="G48" s="52"/>
      <c r="H48" s="54"/>
      <c r="I48" s="53"/>
      <c r="J48" s="53"/>
    </row>
    <row r="49">
      <c r="B49" s="53"/>
      <c r="C49" s="52"/>
      <c r="D49" s="52"/>
      <c r="E49" s="52"/>
      <c r="F49" s="52"/>
      <c r="G49" s="52"/>
      <c r="H49" s="54"/>
      <c r="I49" s="53"/>
      <c r="J49" s="53"/>
    </row>
    <row r="50">
      <c r="B50" s="53"/>
      <c r="C50" s="52"/>
      <c r="D50" s="52"/>
      <c r="E50" s="52"/>
      <c r="F50" s="52"/>
      <c r="G50" s="52"/>
      <c r="H50" s="54"/>
      <c r="I50" s="53"/>
      <c r="J50" s="53"/>
    </row>
    <row r="51">
      <c r="B51" s="53"/>
      <c r="C51" s="52"/>
      <c r="D51" s="52"/>
      <c r="E51" s="52"/>
      <c r="F51" s="52"/>
      <c r="G51" s="52"/>
      <c r="H51" s="54"/>
      <c r="I51" s="53"/>
      <c r="J51" s="53"/>
    </row>
    <row r="52">
      <c r="B52" s="53"/>
      <c r="C52" s="52"/>
      <c r="D52" s="52"/>
      <c r="E52" s="52"/>
      <c r="F52" s="52"/>
      <c r="G52" s="52"/>
      <c r="H52" s="54"/>
      <c r="I52" s="53"/>
      <c r="J52" s="53"/>
    </row>
    <row r="53">
      <c r="B53" s="53"/>
      <c r="C53" s="52"/>
      <c r="D53" s="52"/>
      <c r="E53" s="52"/>
      <c r="F53" s="52"/>
      <c r="G53" s="52"/>
      <c r="H53" s="54"/>
      <c r="I53" s="53"/>
      <c r="J53" s="53"/>
    </row>
    <row r="54">
      <c r="B54" s="53"/>
      <c r="C54" s="52"/>
      <c r="D54" s="52"/>
      <c r="E54" s="52"/>
      <c r="F54" s="52"/>
      <c r="G54" s="52"/>
      <c r="H54" s="54"/>
      <c r="I54" s="53"/>
      <c r="J54" s="53"/>
    </row>
    <row r="55">
      <c r="B55" s="53"/>
      <c r="C55" s="52"/>
      <c r="D55" s="52"/>
      <c r="E55" s="52"/>
      <c r="F55" s="52"/>
      <c r="G55" s="52"/>
      <c r="H55" s="54"/>
      <c r="I55" s="53"/>
      <c r="J55" s="53"/>
    </row>
    <row r="56">
      <c r="B56" s="53"/>
      <c r="C56" s="52"/>
      <c r="D56" s="52"/>
      <c r="E56" s="52"/>
      <c r="F56" s="52"/>
      <c r="G56" s="52"/>
      <c r="H56" s="54"/>
      <c r="I56" s="53"/>
      <c r="J56" s="53"/>
    </row>
    <row r="57">
      <c r="B57" s="53"/>
      <c r="C57" s="52"/>
      <c r="D57" s="52"/>
      <c r="E57" s="52"/>
      <c r="F57" s="52"/>
      <c r="G57" s="52"/>
      <c r="H57" s="54"/>
      <c r="I57" s="53"/>
      <c r="J57" s="53"/>
    </row>
    <row r="58">
      <c r="B58" s="53"/>
      <c r="C58" s="52"/>
      <c r="D58" s="52"/>
      <c r="E58" s="52"/>
      <c r="F58" s="52"/>
      <c r="G58" s="52"/>
      <c r="H58" s="54"/>
      <c r="I58" s="53"/>
      <c r="J58" s="53"/>
    </row>
    <row r="59">
      <c r="B59" s="53"/>
      <c r="C59" s="52"/>
      <c r="D59" s="52"/>
      <c r="E59" s="52"/>
      <c r="F59" s="52"/>
      <c r="G59" s="52"/>
      <c r="H59" s="54"/>
      <c r="I59" s="53"/>
      <c r="J59" s="53"/>
    </row>
    <row r="60">
      <c r="B60" s="53"/>
      <c r="C60" s="52"/>
      <c r="D60" s="52"/>
      <c r="E60" s="52"/>
      <c r="F60" s="52"/>
      <c r="G60" s="52"/>
      <c r="H60" s="54"/>
      <c r="I60" s="53"/>
      <c r="J60" s="53"/>
    </row>
    <row r="61">
      <c r="B61" s="53"/>
      <c r="C61" s="52"/>
      <c r="D61" s="52"/>
      <c r="E61" s="52"/>
      <c r="F61" s="52"/>
      <c r="G61" s="52"/>
      <c r="H61" s="54"/>
      <c r="I61" s="53"/>
      <c r="J61" s="53"/>
    </row>
    <row r="62">
      <c r="B62" s="53"/>
      <c r="C62" s="52"/>
      <c r="D62" s="52"/>
      <c r="E62" s="52"/>
      <c r="F62" s="52"/>
      <c r="G62" s="52"/>
      <c r="H62" s="54"/>
      <c r="I62" s="53"/>
      <c r="J62" s="53"/>
    </row>
    <row r="63">
      <c r="B63" s="53"/>
      <c r="C63" s="52"/>
      <c r="D63" s="52"/>
      <c r="E63" s="52"/>
      <c r="F63" s="52"/>
      <c r="G63" s="52"/>
      <c r="H63" s="54"/>
      <c r="I63" s="53"/>
      <c r="J63" s="53"/>
    </row>
    <row r="64">
      <c r="B64" s="53"/>
      <c r="C64" s="52"/>
      <c r="D64" s="52"/>
      <c r="E64" s="52"/>
      <c r="F64" s="52"/>
      <c r="G64" s="52"/>
      <c r="H64" s="54"/>
      <c r="I64" s="53"/>
      <c r="J64" s="53"/>
    </row>
    <row r="65">
      <c r="B65" s="53"/>
      <c r="C65" s="52"/>
      <c r="D65" s="52"/>
      <c r="E65" s="52"/>
      <c r="F65" s="52"/>
      <c r="G65" s="52"/>
      <c r="H65" s="54"/>
      <c r="I65" s="53"/>
      <c r="J65" s="53"/>
    </row>
    <row r="66">
      <c r="B66" s="53"/>
      <c r="C66" s="52"/>
      <c r="D66" s="52"/>
      <c r="E66" s="52"/>
      <c r="F66" s="52"/>
      <c r="G66" s="52"/>
      <c r="H66" s="54"/>
      <c r="I66" s="53"/>
      <c r="J66" s="53"/>
    </row>
    <row r="67">
      <c r="B67" s="53"/>
      <c r="C67" s="52"/>
      <c r="D67" s="52"/>
      <c r="E67" s="52"/>
      <c r="F67" s="52"/>
      <c r="G67" s="52"/>
      <c r="H67" s="54"/>
      <c r="I67" s="53"/>
      <c r="J67" s="53"/>
    </row>
    <row r="68">
      <c r="B68" s="53"/>
      <c r="C68" s="52"/>
      <c r="D68" s="52"/>
      <c r="E68" s="52"/>
      <c r="F68" s="52"/>
      <c r="G68" s="52"/>
      <c r="H68" s="54"/>
      <c r="I68" s="53"/>
      <c r="J68" s="53"/>
    </row>
    <row r="69">
      <c r="B69" s="53"/>
      <c r="C69" s="52"/>
      <c r="D69" s="52"/>
      <c r="E69" s="52"/>
      <c r="F69" s="52"/>
      <c r="G69" s="52"/>
      <c r="H69" s="54"/>
      <c r="I69" s="53"/>
      <c r="J69" s="53"/>
    </row>
    <row r="70">
      <c r="B70" s="53"/>
      <c r="C70" s="52"/>
      <c r="D70" s="52"/>
      <c r="E70" s="52"/>
      <c r="F70" s="52"/>
      <c r="G70" s="52"/>
      <c r="H70" s="54"/>
      <c r="I70" s="53"/>
      <c r="J70" s="53"/>
    </row>
    <row r="71">
      <c r="B71" s="53"/>
      <c r="C71" s="52"/>
      <c r="D71" s="52"/>
      <c r="E71" s="52"/>
      <c r="F71" s="52"/>
      <c r="G71" s="52"/>
      <c r="H71" s="54"/>
      <c r="I71" s="53"/>
      <c r="J71" s="53"/>
    </row>
    <row r="72">
      <c r="B72" s="53"/>
      <c r="C72" s="52"/>
      <c r="D72" s="52"/>
      <c r="E72" s="52"/>
      <c r="F72" s="52"/>
      <c r="G72" s="52"/>
      <c r="H72" s="54"/>
      <c r="I72" s="53"/>
      <c r="J72" s="53"/>
    </row>
    <row r="73">
      <c r="B73" s="53"/>
      <c r="C73" s="52"/>
      <c r="D73" s="52"/>
      <c r="E73" s="52"/>
      <c r="F73" s="52"/>
      <c r="G73" s="52"/>
      <c r="H73" s="54"/>
      <c r="I73" s="53"/>
      <c r="J73" s="53"/>
    </row>
    <row r="74">
      <c r="B74" s="53"/>
      <c r="C74" s="52"/>
      <c r="D74" s="52"/>
      <c r="E74" s="52"/>
      <c r="F74" s="52"/>
      <c r="G74" s="52"/>
      <c r="H74" s="54"/>
      <c r="I74" s="53"/>
      <c r="J74" s="53"/>
    </row>
    <row r="75">
      <c r="B75" s="53"/>
      <c r="C75" s="52"/>
      <c r="D75" s="52"/>
      <c r="E75" s="52"/>
      <c r="F75" s="52"/>
      <c r="G75" s="52"/>
      <c r="H75" s="54"/>
      <c r="I75" s="53"/>
      <c r="J75" s="53"/>
    </row>
    <row r="76">
      <c r="B76" s="53"/>
      <c r="C76" s="52"/>
      <c r="D76" s="52"/>
      <c r="E76" s="52"/>
      <c r="F76" s="52"/>
      <c r="G76" s="52"/>
      <c r="H76" s="54"/>
      <c r="I76" s="53"/>
      <c r="J76" s="53"/>
    </row>
    <row r="77">
      <c r="B77" s="53"/>
      <c r="C77" s="52"/>
      <c r="D77" s="52"/>
      <c r="E77" s="52"/>
      <c r="F77" s="52"/>
      <c r="G77" s="52"/>
      <c r="H77" s="54"/>
      <c r="I77" s="53"/>
      <c r="J77" s="53"/>
    </row>
    <row r="78">
      <c r="B78" s="53"/>
      <c r="C78" s="52"/>
      <c r="D78" s="52"/>
      <c r="E78" s="52"/>
      <c r="F78" s="52"/>
      <c r="G78" s="52"/>
      <c r="H78" s="54"/>
      <c r="I78" s="53"/>
      <c r="J78" s="53"/>
    </row>
    <row r="79">
      <c r="B79" s="53"/>
      <c r="C79" s="52"/>
      <c r="D79" s="52"/>
      <c r="E79" s="52"/>
      <c r="F79" s="52"/>
      <c r="G79" s="52"/>
      <c r="H79" s="54"/>
      <c r="I79" s="53"/>
      <c r="J79" s="53"/>
    </row>
    <row r="80">
      <c r="B80" s="53"/>
      <c r="C80" s="52"/>
      <c r="D80" s="52"/>
      <c r="E80" s="52"/>
      <c r="F80" s="52"/>
      <c r="G80" s="52"/>
      <c r="H80" s="54"/>
      <c r="I80" s="53"/>
      <c r="J80" s="53"/>
    </row>
    <row r="81">
      <c r="B81" s="53"/>
      <c r="C81" s="52"/>
      <c r="D81" s="52"/>
      <c r="E81" s="52"/>
      <c r="F81" s="52"/>
      <c r="G81" s="52"/>
      <c r="H81" s="54"/>
      <c r="I81" s="53"/>
      <c r="J81" s="53"/>
    </row>
    <row r="82">
      <c r="B82" s="53"/>
      <c r="C82" s="52"/>
      <c r="D82" s="52"/>
      <c r="E82" s="52"/>
      <c r="F82" s="52"/>
      <c r="G82" s="52"/>
      <c r="H82" s="54"/>
      <c r="I82" s="53"/>
      <c r="J82" s="53"/>
    </row>
    <row r="83">
      <c r="B83" s="53"/>
      <c r="C83" s="52"/>
      <c r="D83" s="52"/>
      <c r="E83" s="52"/>
      <c r="F83" s="52"/>
      <c r="G83" s="52"/>
      <c r="H83" s="54"/>
      <c r="I83" s="53"/>
      <c r="J83" s="53"/>
    </row>
    <row r="84">
      <c r="B84" s="53"/>
      <c r="C84" s="52"/>
      <c r="D84" s="52"/>
      <c r="E84" s="52"/>
      <c r="F84" s="52"/>
      <c r="G84" s="52"/>
      <c r="H84" s="54"/>
      <c r="I84" s="53"/>
      <c r="J84" s="53"/>
    </row>
    <row r="85">
      <c r="B85" s="53"/>
      <c r="C85" s="52"/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/>
      <c r="C89" s="52"/>
      <c r="D89" s="52"/>
      <c r="E89" s="52"/>
      <c r="F89" s="52"/>
      <c r="G89" s="52"/>
      <c r="H89" s="54"/>
      <c r="I89" s="53"/>
      <c r="J89" s="53"/>
    </row>
    <row r="90">
      <c r="B90" s="53"/>
      <c r="C90" s="52"/>
      <c r="D90" s="52"/>
      <c r="E90" s="52"/>
      <c r="F90" s="52"/>
      <c r="G90" s="52"/>
      <c r="H90" s="54"/>
      <c r="I90" s="53"/>
      <c r="J90" s="53"/>
    </row>
    <row r="91">
      <c r="B91" s="53"/>
      <c r="C91" s="52"/>
      <c r="D91" s="52"/>
      <c r="E91" s="52"/>
      <c r="F91" s="52"/>
      <c r="G91" s="52"/>
      <c r="H91" s="54"/>
      <c r="I91" s="53"/>
      <c r="J91" s="53"/>
    </row>
    <row r="92">
      <c r="B92" s="53"/>
      <c r="C92" s="52"/>
      <c r="D92" s="52"/>
      <c r="E92" s="52"/>
      <c r="F92" s="52"/>
      <c r="G92" s="52"/>
      <c r="H92" s="54"/>
      <c r="I92" s="53"/>
      <c r="J92" s="53"/>
    </row>
    <row r="93">
      <c r="B93" s="53"/>
      <c r="C93" s="52"/>
      <c r="D93" s="52"/>
      <c r="E93" s="52"/>
      <c r="F93" s="52"/>
      <c r="G93" s="52"/>
      <c r="H93" s="54"/>
      <c r="I93" s="53"/>
      <c r="J93" s="53"/>
    </row>
    <row r="94">
      <c r="B94" s="53"/>
      <c r="C94" s="52"/>
      <c r="D94" s="52"/>
      <c r="E94" s="52"/>
      <c r="F94" s="52"/>
      <c r="G94" s="52"/>
      <c r="H94" s="54"/>
      <c r="I94" s="53"/>
      <c r="J94" s="53"/>
    </row>
    <row r="95">
      <c r="B95" s="53"/>
      <c r="C95" s="52"/>
      <c r="D95" s="52"/>
      <c r="E95" s="52"/>
      <c r="F95" s="52"/>
      <c r="G95" s="52"/>
      <c r="H95" s="54"/>
      <c r="I95" s="53"/>
      <c r="J95" s="53"/>
    </row>
    <row r="96">
      <c r="B96" s="53"/>
      <c r="C96" s="52"/>
      <c r="D96" s="52"/>
      <c r="E96" s="52"/>
      <c r="F96" s="52"/>
      <c r="G96" s="52"/>
      <c r="H96" s="54"/>
      <c r="I96" s="53"/>
      <c r="J96" s="53"/>
    </row>
    <row r="97">
      <c r="B97" s="53"/>
      <c r="C97" s="52"/>
      <c r="D97" s="52"/>
      <c r="E97" s="52"/>
      <c r="F97" s="52"/>
      <c r="G97" s="52"/>
      <c r="H97" s="54"/>
      <c r="I97" s="53"/>
      <c r="J97" s="53"/>
    </row>
    <row r="98">
      <c r="B98" s="53"/>
      <c r="C98" s="52"/>
      <c r="D98" s="52"/>
      <c r="E98" s="52"/>
      <c r="F98" s="52"/>
      <c r="G98" s="52"/>
      <c r="H98" s="54"/>
      <c r="I98" s="53"/>
      <c r="J98" s="53"/>
    </row>
    <row r="99">
      <c r="B99" s="53"/>
      <c r="C99" s="52"/>
      <c r="D99" s="52"/>
      <c r="E99" s="52"/>
      <c r="F99" s="52"/>
      <c r="G99" s="52"/>
      <c r="H99" s="54"/>
      <c r="I99" s="53"/>
      <c r="J99" s="53"/>
    </row>
    <row r="100">
      <c r="B100" s="53"/>
      <c r="C100" s="52"/>
      <c r="D100" s="52"/>
      <c r="E100" s="52"/>
      <c r="F100" s="52"/>
      <c r="G100" s="52"/>
      <c r="H100" s="54"/>
      <c r="I100" s="53"/>
      <c r="J100" s="53"/>
    </row>
    <row r="101">
      <c r="B101" s="53"/>
      <c r="C101" s="52"/>
      <c r="D101" s="52"/>
      <c r="E101" s="52"/>
      <c r="F101" s="52"/>
      <c r="G101" s="52"/>
      <c r="H101" s="54"/>
      <c r="I101" s="53"/>
      <c r="J101" s="53"/>
    </row>
    <row r="102">
      <c r="B102" s="53"/>
      <c r="C102" s="52"/>
      <c r="D102" s="52"/>
      <c r="E102" s="52"/>
      <c r="F102" s="52"/>
      <c r="G102" s="52"/>
      <c r="H102" s="54"/>
      <c r="I102" s="53"/>
      <c r="J102" s="53"/>
    </row>
    <row r="103">
      <c r="B103" s="53"/>
      <c r="C103" s="52"/>
      <c r="D103" s="52"/>
      <c r="E103" s="52"/>
      <c r="F103" s="52"/>
      <c r="G103" s="52"/>
      <c r="H103" s="54"/>
      <c r="I103" s="53"/>
      <c r="J103" s="53"/>
    </row>
    <row r="104">
      <c r="B104" s="53"/>
      <c r="C104" s="52"/>
      <c r="D104" s="52"/>
      <c r="E104" s="52"/>
      <c r="F104" s="52"/>
      <c r="G104" s="52"/>
      <c r="H104" s="54"/>
      <c r="I104" s="53"/>
      <c r="J104" s="53"/>
    </row>
    <row r="105">
      <c r="B105" s="53"/>
      <c r="C105" s="52"/>
      <c r="D105" s="52"/>
      <c r="E105" s="52"/>
      <c r="F105" s="52"/>
      <c r="G105" s="52"/>
      <c r="H105" s="54"/>
      <c r="I105" s="53"/>
      <c r="J105" s="53"/>
    </row>
    <row r="106">
      <c r="B106" s="53"/>
      <c r="C106" s="52"/>
      <c r="D106" s="52"/>
      <c r="E106" s="52"/>
      <c r="F106" s="52"/>
      <c r="G106" s="52"/>
      <c r="H106" s="54"/>
      <c r="I106" s="53"/>
      <c r="J106" s="53"/>
    </row>
    <row r="107">
      <c r="B107" s="53"/>
      <c r="C107" s="52"/>
      <c r="D107" s="52"/>
      <c r="E107" s="52"/>
      <c r="F107" s="52"/>
      <c r="G107" s="52"/>
      <c r="H107" s="54"/>
      <c r="I107" s="53"/>
      <c r="J107" s="53"/>
    </row>
    <row r="108">
      <c r="B108" s="53"/>
      <c r="C108" s="52"/>
      <c r="D108" s="52"/>
      <c r="E108" s="52"/>
      <c r="F108" s="52"/>
      <c r="G108" s="52"/>
      <c r="H108" s="54"/>
      <c r="I108" s="53"/>
      <c r="J108" s="53"/>
    </row>
    <row r="109">
      <c r="B109" s="53"/>
      <c r="C109" s="52"/>
      <c r="D109" s="52"/>
      <c r="E109" s="52"/>
      <c r="F109" s="52"/>
      <c r="G109" s="52"/>
      <c r="H109" s="54"/>
      <c r="I109" s="53"/>
      <c r="J109" s="53"/>
    </row>
    <row r="110">
      <c r="B110" s="53"/>
      <c r="C110" s="52"/>
      <c r="D110" s="52"/>
      <c r="E110" s="52"/>
      <c r="F110" s="52"/>
      <c r="G110" s="52"/>
      <c r="H110" s="54"/>
      <c r="I110" s="53"/>
      <c r="J110" s="53"/>
    </row>
    <row r="111">
      <c r="B111" s="53"/>
      <c r="C111" s="52"/>
      <c r="D111" s="52"/>
      <c r="E111" s="52"/>
      <c r="F111" s="52"/>
      <c r="G111" s="52"/>
      <c r="H111" s="54"/>
      <c r="I111" s="53"/>
      <c r="J111" s="53"/>
    </row>
    <row r="112">
      <c r="B112" s="53"/>
      <c r="C112" s="52"/>
      <c r="D112" s="52"/>
      <c r="E112" s="52"/>
      <c r="F112" s="52"/>
      <c r="G112" s="52"/>
      <c r="H112" s="54"/>
      <c r="I112" s="53"/>
      <c r="J112" s="53"/>
    </row>
    <row r="113">
      <c r="B113" s="53"/>
      <c r="C113" s="52"/>
      <c r="D113" s="52"/>
      <c r="E113" s="52"/>
      <c r="F113" s="52"/>
      <c r="G113" s="52"/>
      <c r="H113" s="54"/>
      <c r="I113" s="53"/>
      <c r="J113" s="53"/>
    </row>
    <row r="114">
      <c r="B114" s="53"/>
      <c r="C114" s="52"/>
      <c r="D114" s="52"/>
      <c r="E114" s="52"/>
      <c r="F114" s="52"/>
      <c r="G114" s="52"/>
      <c r="H114" s="54"/>
      <c r="I114" s="53"/>
      <c r="J114" s="53"/>
    </row>
    <row r="115">
      <c r="B115" s="53"/>
      <c r="C115" s="52"/>
      <c r="D115" s="52"/>
      <c r="E115" s="52"/>
      <c r="F115" s="52"/>
      <c r="G115" s="52"/>
      <c r="H115" s="54"/>
      <c r="I115" s="53"/>
      <c r="J115" s="53"/>
    </row>
    <row r="116">
      <c r="B116" s="53"/>
      <c r="C116" s="52"/>
      <c r="D116" s="52"/>
      <c r="E116" s="52"/>
      <c r="F116" s="52"/>
      <c r="G116" s="52"/>
      <c r="H116" s="54"/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/>
      <c r="C118" s="52"/>
      <c r="D118" s="52"/>
      <c r="E118" s="52"/>
      <c r="F118" s="52"/>
      <c r="G118" s="52"/>
      <c r="H118" s="54"/>
      <c r="I118" s="53"/>
      <c r="J118" s="53"/>
    </row>
    <row r="119">
      <c r="B119" s="53"/>
      <c r="C119" s="52"/>
      <c r="D119" s="52"/>
      <c r="E119" s="52"/>
      <c r="F119" s="52"/>
      <c r="G119" s="52"/>
      <c r="H119" s="54"/>
      <c r="I119" s="53"/>
      <c r="J119" s="53"/>
    </row>
    <row r="120">
      <c r="B120" s="53"/>
      <c r="C120" s="52"/>
      <c r="D120" s="52"/>
      <c r="E120" s="52"/>
      <c r="F120" s="52"/>
      <c r="G120" s="52"/>
      <c r="H120" s="54"/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/>
      <c r="C122" s="52"/>
      <c r="D122" s="52"/>
      <c r="E122" s="52"/>
      <c r="F122" s="52"/>
      <c r="G122" s="52"/>
      <c r="H122" s="54"/>
      <c r="I122" s="53"/>
      <c r="J122" s="53"/>
    </row>
    <row r="123">
      <c r="B123" s="53"/>
      <c r="C123" s="52"/>
      <c r="D123" s="52"/>
      <c r="E123" s="52"/>
      <c r="F123" s="52"/>
      <c r="G123" s="52"/>
      <c r="H123" s="54"/>
      <c r="I123" s="53"/>
      <c r="J123" s="53"/>
    </row>
    <row r="124">
      <c r="B124" s="53"/>
      <c r="C124" s="52"/>
      <c r="D124" s="52"/>
      <c r="E124" s="52"/>
      <c r="F124" s="52"/>
      <c r="G124" s="52"/>
      <c r="H124" s="54"/>
      <c r="I124" s="53"/>
      <c r="J124" s="53"/>
    </row>
    <row r="125">
      <c r="B125" s="53"/>
      <c r="C125" s="52"/>
      <c r="D125" s="52"/>
      <c r="E125" s="52"/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/>
      <c r="C127" s="52"/>
      <c r="D127" s="52"/>
      <c r="E127" s="52"/>
      <c r="F127" s="52"/>
      <c r="G127" s="52"/>
      <c r="H127" s="54"/>
      <c r="I127" s="53"/>
      <c r="J127" s="53"/>
    </row>
    <row r="128">
      <c r="B128" s="53"/>
      <c r="C128" s="52"/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15" customWidth="1"/>
    <col min="10" max="10" width="55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370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 ht="33">
      <c r="B9" s="53" t="s">
        <v>371</v>
      </c>
      <c r="C9" s="81" t="s">
        <v>372</v>
      </c>
      <c r="D9" s="81" t="s">
        <v>3</v>
      </c>
      <c r="E9" s="81" t="s">
        <v>373</v>
      </c>
      <c r="F9" s="81" t="s">
        <v>374</v>
      </c>
      <c r="G9" s="81" t="s">
        <v>375</v>
      </c>
      <c r="H9" s="109" t="s">
        <v>376</v>
      </c>
      <c r="I9" s="97" t="s">
        <v>377</v>
      </c>
      <c r="J9" s="97" t="s">
        <v>378</v>
      </c>
    </row>
    <row r="10" ht="33">
      <c r="B10" s="53"/>
      <c r="C10" s="72" t="s">
        <v>379</v>
      </c>
      <c r="D10" s="72" t="s">
        <v>380</v>
      </c>
      <c r="E10" s="72" t="s">
        <v>381</v>
      </c>
      <c r="F10" s="91">
        <v>128</v>
      </c>
      <c r="G10" s="91">
        <v>162</v>
      </c>
      <c r="H10" s="67">
        <f>AVERAGE(F10:G10)</f>
        <v>145</v>
      </c>
      <c r="I10" s="73"/>
      <c r="J10" s="73"/>
    </row>
    <row r="11" ht="33">
      <c r="B11" s="53"/>
      <c r="C11" s="72" t="s">
        <v>379</v>
      </c>
      <c r="D11" s="72" t="s">
        <v>380</v>
      </c>
      <c r="E11" s="72" t="s">
        <v>382</v>
      </c>
      <c r="F11" s="91">
        <v>735</v>
      </c>
      <c r="G11" s="91">
        <v>755</v>
      </c>
      <c r="H11" s="67">
        <f>AVERAGE(F11:G11)</f>
        <v>745</v>
      </c>
      <c r="I11" s="73"/>
      <c r="J11" s="73"/>
    </row>
    <row r="12" ht="33">
      <c r="B12" s="53"/>
      <c r="C12" s="72" t="s">
        <v>379</v>
      </c>
      <c r="D12" s="72" t="s">
        <v>380</v>
      </c>
      <c r="E12" s="72" t="s">
        <v>383</v>
      </c>
      <c r="F12" s="91">
        <v>739</v>
      </c>
      <c r="G12" s="91">
        <v>761</v>
      </c>
      <c r="H12" s="67">
        <f>AVERAGE(F12:G12)</f>
        <v>750</v>
      </c>
      <c r="I12" s="73"/>
      <c r="J12" s="73"/>
    </row>
    <row r="13" ht="33">
      <c r="B13" s="53"/>
      <c r="C13" s="72" t="s">
        <v>379</v>
      </c>
      <c r="D13" s="72" t="s">
        <v>380</v>
      </c>
      <c r="E13" s="72" t="s">
        <v>75</v>
      </c>
      <c r="F13" s="91">
        <v>721</v>
      </c>
      <c r="G13" s="91">
        <v>739</v>
      </c>
      <c r="H13" s="67">
        <f>AVERAGE(F13:G13)</f>
        <v>730</v>
      </c>
      <c r="I13" s="73"/>
      <c r="J13" s="73"/>
    </row>
    <row r="14" ht="33">
      <c r="B14" s="53"/>
      <c r="C14" s="72" t="s">
        <v>379</v>
      </c>
      <c r="D14" s="72" t="s">
        <v>380</v>
      </c>
      <c r="E14" s="72" t="s">
        <v>154</v>
      </c>
      <c r="F14" s="91">
        <v>14</v>
      </c>
      <c r="G14" s="91">
        <v>16</v>
      </c>
      <c r="H14" s="67">
        <f>AVERAGE(F14:G14)</f>
        <v>15</v>
      </c>
      <c r="I14" s="73"/>
      <c r="J14" s="73"/>
    </row>
    <row r="15" ht="33">
      <c r="B15" s="53"/>
      <c r="C15" s="72" t="s">
        <v>379</v>
      </c>
      <c r="D15" s="72" t="s">
        <v>380</v>
      </c>
      <c r="E15" s="72" t="s">
        <v>384</v>
      </c>
      <c r="F15" s="91">
        <v>4</v>
      </c>
      <c r="G15" s="91">
        <v>6</v>
      </c>
      <c r="H15" s="67">
        <f>AVERAGE(F15:G15)</f>
        <v>5</v>
      </c>
      <c r="I15" s="73"/>
      <c r="J15" s="73"/>
    </row>
    <row r="16" ht="33">
      <c r="B16" s="53"/>
      <c r="C16" s="72" t="s">
        <v>379</v>
      </c>
      <c r="D16" s="72" t="s">
        <v>380</v>
      </c>
      <c r="E16" s="72" t="s">
        <v>385</v>
      </c>
      <c r="F16" s="91">
        <v>55</v>
      </c>
      <c r="G16" s="91">
        <v>65</v>
      </c>
      <c r="H16" s="67">
        <f>AVERAGE(F16:G16)</f>
        <v>60</v>
      </c>
      <c r="I16" s="73"/>
      <c r="J16" s="73"/>
    </row>
    <row r="17" ht="33">
      <c r="B17" s="53"/>
      <c r="C17" s="72" t="s">
        <v>379</v>
      </c>
      <c r="D17" s="72" t="s">
        <v>380</v>
      </c>
      <c r="E17" s="72" t="s">
        <v>242</v>
      </c>
      <c r="F17" s="91">
        <v>299</v>
      </c>
      <c r="G17" s="91">
        <v>303</v>
      </c>
      <c r="H17" s="67">
        <f>AVERAGE(F17:G17)</f>
        <v>301</v>
      </c>
      <c r="I17" s="73"/>
      <c r="J17" s="73"/>
    </row>
    <row r="18" ht="33">
      <c r="B18" s="53"/>
      <c r="C18" s="72" t="s">
        <v>379</v>
      </c>
      <c r="D18" s="72" t="s">
        <v>380</v>
      </c>
      <c r="E18" s="72" t="s">
        <v>250</v>
      </c>
      <c r="F18" s="91">
        <v>203</v>
      </c>
      <c r="G18" s="91">
        <v>207</v>
      </c>
      <c r="H18" s="67">
        <f>AVERAGE(F18:G18)</f>
        <v>205</v>
      </c>
      <c r="I18" s="73"/>
      <c r="J18" s="73"/>
    </row>
    <row r="19" ht="33">
      <c r="B19" s="53"/>
      <c r="C19" s="72" t="s">
        <v>386</v>
      </c>
      <c r="D19" s="72" t="s">
        <v>380</v>
      </c>
      <c r="E19" s="72" t="s">
        <v>387</v>
      </c>
      <c r="F19" s="91">
        <v>201</v>
      </c>
      <c r="G19" s="91">
        <v>276</v>
      </c>
      <c r="H19" s="67">
        <f>AVERAGE(F19:G19)</f>
        <v>238.5</v>
      </c>
      <c r="I19" s="73"/>
      <c r="J19" s="73"/>
    </row>
    <row r="20" ht="39">
      <c r="B20" s="53"/>
      <c r="C20" s="72" t="s">
        <v>386</v>
      </c>
      <c r="D20" s="72" t="s">
        <v>380</v>
      </c>
      <c r="E20" s="72" t="s">
        <v>388</v>
      </c>
      <c r="F20" s="91">
        <v>842</v>
      </c>
      <c r="G20" s="91">
        <v>898</v>
      </c>
      <c r="H20" s="67">
        <f>AVERAGE(F20:G20)</f>
        <v>870</v>
      </c>
      <c r="I20" s="73"/>
      <c r="J20" s="73"/>
    </row>
    <row r="21">
      <c r="B21" s="53"/>
      <c r="C21" s="52"/>
      <c r="D21" s="52"/>
      <c r="E21" s="52"/>
      <c r="F21" s="52"/>
      <c r="G21" s="52"/>
      <c r="H21" s="54"/>
      <c r="I21" s="53"/>
      <c r="J21" s="53"/>
    </row>
    <row r="22">
      <c r="B22" s="53" t="s">
        <v>389</v>
      </c>
      <c r="C22" s="52"/>
      <c r="D22" s="52"/>
      <c r="E22" s="52"/>
      <c r="F22" s="52"/>
      <c r="G22" s="52"/>
      <c r="H22" s="54"/>
      <c r="I22" s="53"/>
      <c r="J22" s="53"/>
    </row>
    <row r="23">
      <c r="B23" s="53" t="s">
        <v>390</v>
      </c>
      <c r="C23" s="62"/>
      <c r="D23" s="62"/>
      <c r="E23" s="62"/>
      <c r="F23" s="62"/>
      <c r="G23" s="62"/>
      <c r="H23" s="78">
        <f>SUM('Income Statement'!E38:G38)</f>
        <v>337.6899999999999</v>
      </c>
      <c r="I23" s="53"/>
      <c r="J23" s="53"/>
    </row>
    <row r="24">
      <c r="B24" s="65" t="s">
        <v>391</v>
      </c>
      <c r="C24" s="62"/>
      <c r="D24" s="62"/>
      <c r="E24" s="62"/>
      <c r="F24" s="62"/>
      <c r="G24" s="62"/>
      <c r="H24" s="78">
        <f>SUM('Income Statement'!E24:G24)</f>
        <v>874.9219999999998</v>
      </c>
      <c r="I24" s="53"/>
      <c r="J24" s="53"/>
    </row>
    <row r="25">
      <c r="B25" s="53" t="s">
        <v>392</v>
      </c>
      <c r="C25" s="62"/>
      <c r="D25" s="62"/>
      <c r="E25" s="62"/>
      <c r="F25" s="62"/>
      <c r="G25" s="62"/>
      <c r="H25" s="70">
        <f>H10-H23</f>
        <v>-192.68999999999988</v>
      </c>
      <c r="I25" s="53"/>
      <c r="J25" s="53"/>
    </row>
    <row r="26">
      <c r="B26" s="53" t="s">
        <v>393</v>
      </c>
      <c r="C26" s="62"/>
      <c r="D26" s="62"/>
      <c r="E26" s="62"/>
      <c r="F26" s="62"/>
      <c r="G26" s="62"/>
      <c r="H26" s="70">
        <f>H12-H24</f>
        <v>-124.9219999999998</v>
      </c>
      <c r="I26" s="53"/>
      <c r="J26" s="53"/>
    </row>
    <row r="27">
      <c r="B27" s="53" t="s">
        <v>394</v>
      </c>
      <c r="C27" s="85"/>
      <c r="D27" s="85"/>
      <c r="E27" s="85"/>
      <c r="F27" s="85"/>
      <c r="G27" s="85"/>
      <c r="H27" s="112">
        <f>H25/'Share Count'!H16</f>
        <v>-5.40762776078354</v>
      </c>
      <c r="I27" s="53"/>
      <c r="J27" s="53"/>
    </row>
    <row r="28">
      <c r="B28" s="53" t="s">
        <v>395</v>
      </c>
      <c r="C28" s="62"/>
      <c r="D28" s="62"/>
      <c r="E28" s="62"/>
      <c r="F28" s="62"/>
      <c r="G28" s="62"/>
      <c r="H28" s="78">
        <f>H24+'Income Statement'!H24-H12</f>
        <v>-2.2244820000001937</v>
      </c>
      <c r="I28" s="53"/>
      <c r="J28" s="53"/>
    </row>
    <row r="29">
      <c r="B29" s="53" t="s">
        <v>396</v>
      </c>
      <c r="C29" s="62"/>
      <c r="D29" s="62"/>
      <c r="E29" s="62"/>
      <c r="F29" s="62"/>
      <c r="G29" s="62"/>
      <c r="H29" s="78">
        <f>H23+'Income Statement'!H38-H10</f>
        <v>-7.9037770400000795</v>
      </c>
      <c r="I29" s="53"/>
      <c r="J29" s="53"/>
    </row>
    <row r="30">
      <c r="B30" s="53"/>
      <c r="C30" s="52"/>
      <c r="D30" s="52"/>
      <c r="E30" s="52"/>
      <c r="F30" s="52"/>
      <c r="G30" s="52"/>
      <c r="H30" s="54"/>
      <c r="I30" s="53"/>
      <c r="J30" s="53"/>
    </row>
    <row r="31">
      <c r="B31" s="53" t="s">
        <v>397</v>
      </c>
      <c r="C31" s="52"/>
      <c r="D31" s="52"/>
      <c r="E31" s="52"/>
      <c r="F31" s="52"/>
      <c r="G31" s="52"/>
      <c r="H31" s="54"/>
      <c r="I31" s="53"/>
      <c r="J31" s="53" t="s">
        <v>398</v>
      </c>
    </row>
    <row r="32">
      <c r="B32" s="53"/>
      <c r="C32" s="52"/>
      <c r="D32" s="52"/>
      <c r="E32" s="52"/>
      <c r="F32" s="52"/>
      <c r="G32" s="52"/>
      <c r="H32" s="54"/>
      <c r="I32" s="53"/>
      <c r="J32" s="53"/>
    </row>
    <row r="33">
      <c r="B33" s="53"/>
      <c r="C33" s="52"/>
      <c r="D33" s="52"/>
      <c r="E33" s="52"/>
      <c r="F33" s="52"/>
      <c r="G33" s="52"/>
      <c r="H33" s="54"/>
      <c r="I33" s="53"/>
      <c r="J33" s="53"/>
    </row>
    <row r="34">
      <c r="B34" s="53"/>
      <c r="C34" s="52"/>
      <c r="D34" s="52"/>
      <c r="E34" s="52"/>
      <c r="F34" s="52"/>
      <c r="G34" s="52"/>
      <c r="H34" s="54"/>
      <c r="I34" s="53"/>
      <c r="J34" s="53"/>
    </row>
    <row r="35">
      <c r="B35" s="53"/>
      <c r="C35" s="52"/>
      <c r="D35" s="52"/>
      <c r="E35" s="52"/>
      <c r="F35" s="52"/>
      <c r="G35" s="52"/>
      <c r="H35" s="54"/>
      <c r="I35" s="53"/>
      <c r="J35" s="53"/>
    </row>
    <row r="36">
      <c r="B36" s="53"/>
      <c r="C36" s="52"/>
      <c r="D36" s="52"/>
      <c r="E36" s="52"/>
      <c r="F36" s="52"/>
      <c r="G36" s="52"/>
      <c r="H36" s="54"/>
      <c r="I36" s="53"/>
      <c r="J36" s="53"/>
    </row>
    <row r="37">
      <c r="B37" s="53"/>
      <c r="C37" s="52"/>
      <c r="D37" s="52"/>
      <c r="E37" s="52"/>
      <c r="F37" s="52"/>
      <c r="G37" s="52"/>
      <c r="H37" s="54"/>
      <c r="I37" s="53"/>
      <c r="J37" s="53"/>
    </row>
    <row r="38">
      <c r="B38" s="53"/>
      <c r="C38" s="52"/>
      <c r="D38" s="52"/>
      <c r="E38" s="52"/>
      <c r="F38" s="52"/>
      <c r="G38" s="52"/>
      <c r="H38" s="54"/>
      <c r="I38" s="53"/>
      <c r="J38" s="53"/>
    </row>
    <row r="39">
      <c r="B39" s="53"/>
      <c r="C39" s="52"/>
      <c r="D39" s="52"/>
      <c r="E39" s="52"/>
      <c r="F39" s="52"/>
      <c r="G39" s="52"/>
      <c r="H39" s="54"/>
      <c r="I39" s="53"/>
      <c r="J39" s="53"/>
    </row>
    <row r="40">
      <c r="B40" s="53"/>
      <c r="C40" s="52"/>
      <c r="D40" s="52"/>
      <c r="E40" s="52"/>
      <c r="F40" s="52"/>
      <c r="G40" s="52"/>
      <c r="H40" s="54"/>
      <c r="I40" s="53"/>
      <c r="J40" s="53"/>
    </row>
    <row r="41">
      <c r="B41" s="53"/>
      <c r="C41" s="52"/>
      <c r="D41" s="52"/>
      <c r="E41" s="52"/>
      <c r="F41" s="52"/>
      <c r="G41" s="52"/>
      <c r="H41" s="54"/>
      <c r="I41" s="53"/>
      <c r="J41" s="53"/>
    </row>
    <row r="42">
      <c r="B42" s="53"/>
      <c r="C42" s="52"/>
      <c r="D42" s="52"/>
      <c r="E42" s="52"/>
      <c r="F42" s="52"/>
      <c r="G42" s="52"/>
      <c r="H42" s="54"/>
      <c r="I42" s="53"/>
      <c r="J42" s="53"/>
    </row>
    <row r="43">
      <c r="B43" s="53"/>
      <c r="C43" s="52"/>
      <c r="D43" s="52"/>
      <c r="E43" s="52"/>
      <c r="F43" s="52"/>
      <c r="G43" s="52"/>
      <c r="H43" s="54"/>
      <c r="I43" s="53"/>
      <c r="J43" s="53"/>
    </row>
    <row r="44">
      <c r="B44" s="53"/>
      <c r="C44" s="52"/>
      <c r="D44" s="52"/>
      <c r="E44" s="52"/>
      <c r="F44" s="52"/>
      <c r="G44" s="52"/>
      <c r="H44" s="54"/>
      <c r="I44" s="53"/>
      <c r="J44" s="53"/>
    </row>
    <row r="45">
      <c r="B45" s="53"/>
      <c r="C45" s="52"/>
      <c r="D45" s="52"/>
      <c r="E45" s="52"/>
      <c r="F45" s="52"/>
      <c r="G45" s="52"/>
      <c r="H45" s="54"/>
      <c r="I45" s="53"/>
      <c r="J45" s="53"/>
    </row>
    <row r="46">
      <c r="B46" s="53"/>
      <c r="C46" s="52"/>
      <c r="D46" s="52"/>
      <c r="E46" s="52"/>
      <c r="F46" s="52"/>
      <c r="G46" s="52"/>
      <c r="H46" s="54"/>
      <c r="I46" s="53"/>
      <c r="J46" s="53"/>
    </row>
    <row r="47">
      <c r="B47" s="53"/>
      <c r="C47" s="52"/>
      <c r="D47" s="52"/>
      <c r="E47" s="52"/>
      <c r="F47" s="52"/>
      <c r="G47" s="52"/>
      <c r="H47" s="54"/>
      <c r="I47" s="53"/>
      <c r="J47" s="53"/>
    </row>
    <row r="48">
      <c r="B48" s="53"/>
      <c r="C48" s="52"/>
      <c r="D48" s="52"/>
      <c r="E48" s="52"/>
      <c r="F48" s="52"/>
      <c r="G48" s="52"/>
      <c r="H48" s="54"/>
      <c r="I48" s="53"/>
      <c r="J48" s="53"/>
    </row>
    <row r="49">
      <c r="B49" s="53"/>
      <c r="C49" s="52"/>
      <c r="D49" s="52"/>
      <c r="E49" s="52"/>
      <c r="F49" s="52"/>
      <c r="G49" s="52"/>
      <c r="H49" s="54"/>
      <c r="I49" s="53"/>
      <c r="J49" s="53"/>
    </row>
    <row r="50">
      <c r="B50" s="53"/>
      <c r="C50" s="52"/>
      <c r="D50" s="52"/>
      <c r="E50" s="52"/>
      <c r="F50" s="52"/>
      <c r="G50" s="52"/>
      <c r="H50" s="54"/>
      <c r="I50" s="53"/>
      <c r="J50" s="53"/>
    </row>
    <row r="51">
      <c r="B51" s="53"/>
      <c r="C51" s="52"/>
      <c r="D51" s="52"/>
      <c r="E51" s="52"/>
      <c r="F51" s="52"/>
      <c r="G51" s="52"/>
      <c r="H51" s="54"/>
      <c r="I51" s="53"/>
      <c r="J51" s="53"/>
    </row>
    <row r="52">
      <c r="B52" s="53"/>
      <c r="C52" s="52"/>
      <c r="D52" s="52"/>
      <c r="E52" s="52"/>
      <c r="F52" s="52"/>
      <c r="G52" s="52"/>
      <c r="H52" s="54"/>
      <c r="I52" s="53"/>
      <c r="J52" s="53"/>
    </row>
    <row r="53">
      <c r="B53" s="53"/>
      <c r="C53" s="52"/>
      <c r="D53" s="52"/>
      <c r="E53" s="52"/>
      <c r="F53" s="52"/>
      <c r="G53" s="52"/>
      <c r="H53" s="54"/>
      <c r="I53" s="53"/>
      <c r="J53" s="53"/>
    </row>
    <row r="54">
      <c r="B54" s="53"/>
      <c r="C54" s="52"/>
      <c r="D54" s="52"/>
      <c r="E54" s="52"/>
      <c r="F54" s="52"/>
      <c r="G54" s="52"/>
      <c r="H54" s="54"/>
      <c r="I54" s="53"/>
      <c r="J54" s="53"/>
    </row>
    <row r="55">
      <c r="B55" s="53"/>
      <c r="C55" s="52"/>
      <c r="D55" s="52"/>
      <c r="E55" s="52"/>
      <c r="F55" s="52"/>
      <c r="G55" s="52"/>
      <c r="H55" s="54"/>
      <c r="I55" s="53"/>
      <c r="J55" s="53"/>
    </row>
    <row r="56">
      <c r="B56" s="53"/>
      <c r="C56" s="52"/>
      <c r="D56" s="52"/>
      <c r="E56" s="52"/>
      <c r="F56" s="52"/>
      <c r="G56" s="52"/>
      <c r="H56" s="54"/>
      <c r="I56" s="53"/>
      <c r="J56" s="53"/>
    </row>
    <row r="57">
      <c r="B57" s="53"/>
      <c r="C57" s="52"/>
      <c r="D57" s="52"/>
      <c r="E57" s="52"/>
      <c r="F57" s="52"/>
      <c r="G57" s="52"/>
      <c r="H57" s="54"/>
      <c r="I57" s="53"/>
      <c r="J57" s="53"/>
    </row>
    <row r="58">
      <c r="B58" s="53"/>
      <c r="C58" s="52"/>
      <c r="D58" s="52"/>
      <c r="E58" s="52"/>
      <c r="F58" s="52"/>
      <c r="G58" s="52"/>
      <c r="H58" s="54"/>
      <c r="I58" s="53"/>
      <c r="J58" s="53"/>
    </row>
    <row r="59">
      <c r="B59" s="53"/>
      <c r="C59" s="52"/>
      <c r="D59" s="52"/>
      <c r="E59" s="52"/>
      <c r="F59" s="52"/>
      <c r="G59" s="52"/>
      <c r="H59" s="54"/>
      <c r="I59" s="53"/>
      <c r="J59" s="53"/>
    </row>
    <row r="60">
      <c r="B60" s="53"/>
      <c r="C60" s="52"/>
      <c r="D60" s="52"/>
      <c r="E60" s="52"/>
      <c r="F60" s="52"/>
      <c r="G60" s="52"/>
      <c r="H60" s="54"/>
      <c r="I60" s="53"/>
      <c r="J60" s="53"/>
    </row>
    <row r="61">
      <c r="B61" s="53"/>
      <c r="C61" s="52"/>
      <c r="D61" s="52"/>
      <c r="E61" s="52"/>
      <c r="F61" s="52"/>
      <c r="G61" s="52"/>
      <c r="H61" s="54"/>
      <c r="I61" s="53"/>
      <c r="J61" s="53"/>
    </row>
    <row r="62">
      <c r="B62" s="53"/>
      <c r="C62" s="52"/>
      <c r="D62" s="52"/>
      <c r="E62" s="52"/>
      <c r="F62" s="52"/>
      <c r="G62" s="52"/>
      <c r="H62" s="54"/>
      <c r="I62" s="53"/>
      <c r="J62" s="53"/>
    </row>
    <row r="63">
      <c r="B63" s="53"/>
      <c r="C63" s="52"/>
      <c r="D63" s="52"/>
      <c r="E63" s="52"/>
      <c r="F63" s="52"/>
      <c r="G63" s="52"/>
      <c r="H63" s="54"/>
      <c r="I63" s="53"/>
      <c r="J63" s="53"/>
    </row>
    <row r="64">
      <c r="B64" s="53"/>
      <c r="C64" s="52"/>
      <c r="D64" s="52"/>
      <c r="E64" s="52"/>
      <c r="F64" s="52"/>
      <c r="G64" s="52"/>
      <c r="H64" s="54"/>
      <c r="I64" s="53"/>
      <c r="J64" s="53"/>
    </row>
    <row r="65">
      <c r="B65" s="53"/>
      <c r="C65" s="52"/>
      <c r="D65" s="52"/>
      <c r="E65" s="52"/>
      <c r="F65" s="52"/>
      <c r="G65" s="52"/>
      <c r="H65" s="54"/>
      <c r="I65" s="53"/>
      <c r="J65" s="53"/>
    </row>
    <row r="66">
      <c r="B66" s="53"/>
      <c r="C66" s="52"/>
      <c r="D66" s="52"/>
      <c r="E66" s="52"/>
      <c r="F66" s="52"/>
      <c r="G66" s="52"/>
      <c r="H66" s="54"/>
      <c r="I66" s="53"/>
      <c r="J66" s="53"/>
    </row>
    <row r="67">
      <c r="B67" s="53"/>
      <c r="C67" s="52"/>
      <c r="D67" s="52"/>
      <c r="E67" s="52"/>
      <c r="F67" s="52"/>
      <c r="G67" s="52"/>
      <c r="H67" s="54"/>
      <c r="I67" s="53"/>
      <c r="J67" s="53"/>
    </row>
    <row r="68">
      <c r="B68" s="53"/>
      <c r="C68" s="52"/>
      <c r="D68" s="52"/>
      <c r="E68" s="52"/>
      <c r="F68" s="52"/>
      <c r="G68" s="52"/>
      <c r="H68" s="54"/>
      <c r="I68" s="53"/>
      <c r="J68" s="53"/>
    </row>
    <row r="69">
      <c r="B69" s="53"/>
      <c r="C69" s="52"/>
      <c r="D69" s="52"/>
      <c r="E69" s="52"/>
      <c r="F69" s="52"/>
      <c r="G69" s="52"/>
      <c r="H69" s="54"/>
      <c r="I69" s="53"/>
      <c r="J69" s="53"/>
    </row>
    <row r="70">
      <c r="B70" s="53"/>
      <c r="C70" s="52"/>
      <c r="D70" s="52"/>
      <c r="E70" s="52"/>
      <c r="F70" s="52"/>
      <c r="G70" s="52"/>
      <c r="H70" s="54"/>
      <c r="I70" s="53"/>
      <c r="J70" s="53"/>
    </row>
    <row r="71">
      <c r="B71" s="53"/>
      <c r="C71" s="52"/>
      <c r="D71" s="52"/>
      <c r="E71" s="52"/>
      <c r="F71" s="52"/>
      <c r="G71" s="52"/>
      <c r="H71" s="54"/>
      <c r="I71" s="53"/>
      <c r="J71" s="53"/>
    </row>
    <row r="72">
      <c r="B72" s="53"/>
      <c r="C72" s="52"/>
      <c r="D72" s="52"/>
      <c r="E72" s="52"/>
      <c r="F72" s="52"/>
      <c r="G72" s="52"/>
      <c r="H72" s="54"/>
      <c r="I72" s="53"/>
      <c r="J72" s="53"/>
    </row>
    <row r="73">
      <c r="B73" s="53"/>
      <c r="C73" s="52"/>
      <c r="D73" s="52"/>
      <c r="E73" s="52"/>
      <c r="F73" s="52"/>
      <c r="G73" s="52"/>
      <c r="H73" s="54"/>
      <c r="I73" s="53"/>
      <c r="J73" s="53"/>
    </row>
    <row r="74">
      <c r="B74" s="53"/>
      <c r="C74" s="52"/>
      <c r="D74" s="52"/>
      <c r="E74" s="52"/>
      <c r="F74" s="52"/>
      <c r="G74" s="52"/>
      <c r="H74" s="54"/>
      <c r="I74" s="53"/>
      <c r="J74" s="53"/>
    </row>
    <row r="75">
      <c r="B75" s="53"/>
      <c r="C75" s="52"/>
      <c r="D75" s="52"/>
      <c r="E75" s="52"/>
      <c r="F75" s="52"/>
      <c r="G75" s="52"/>
      <c r="H75" s="54"/>
      <c r="I75" s="53"/>
      <c r="J75" s="53"/>
    </row>
    <row r="76">
      <c r="B76" s="53"/>
      <c r="C76" s="52"/>
      <c r="D76" s="52"/>
      <c r="E76" s="52"/>
      <c r="F76" s="52"/>
      <c r="G76" s="52"/>
      <c r="H76" s="54"/>
      <c r="I76" s="53"/>
      <c r="J76" s="53"/>
    </row>
    <row r="77">
      <c r="B77" s="53"/>
      <c r="C77" s="52"/>
      <c r="D77" s="52"/>
      <c r="E77" s="52"/>
      <c r="F77" s="52"/>
      <c r="G77" s="52"/>
      <c r="H77" s="54"/>
      <c r="I77" s="53"/>
      <c r="J77" s="53"/>
    </row>
    <row r="78">
      <c r="B78" s="53"/>
      <c r="C78" s="52"/>
      <c r="D78" s="52"/>
      <c r="E78" s="52"/>
      <c r="F78" s="52"/>
      <c r="G78" s="52"/>
      <c r="H78" s="54"/>
      <c r="I78" s="53"/>
      <c r="J78" s="53"/>
    </row>
    <row r="79">
      <c r="B79" s="53"/>
      <c r="C79" s="52"/>
      <c r="D79" s="52"/>
      <c r="E79" s="52"/>
      <c r="F79" s="52"/>
      <c r="G79" s="52"/>
      <c r="H79" s="54"/>
      <c r="I79" s="53"/>
      <c r="J79" s="53"/>
    </row>
    <row r="80">
      <c r="B80" s="53"/>
      <c r="C80" s="52"/>
      <c r="D80" s="52"/>
      <c r="E80" s="52"/>
      <c r="F80" s="52"/>
      <c r="G80" s="52"/>
      <c r="H80" s="54"/>
      <c r="I80" s="53"/>
      <c r="J80" s="53"/>
    </row>
    <row r="81">
      <c r="B81" s="53"/>
      <c r="C81" s="52"/>
      <c r="D81" s="52"/>
      <c r="E81" s="52"/>
      <c r="F81" s="52"/>
      <c r="G81" s="52"/>
      <c r="H81" s="54"/>
      <c r="I81" s="53"/>
      <c r="J81" s="53"/>
    </row>
    <row r="82">
      <c r="B82" s="53"/>
      <c r="C82" s="52"/>
      <c r="D82" s="52"/>
      <c r="E82" s="52"/>
      <c r="F82" s="52"/>
      <c r="G82" s="52"/>
      <c r="H82" s="54"/>
      <c r="I82" s="53"/>
      <c r="J82" s="53"/>
    </row>
    <row r="83">
      <c r="B83" s="53"/>
      <c r="C83" s="52"/>
      <c r="D83" s="52"/>
      <c r="E83" s="52"/>
      <c r="F83" s="52"/>
      <c r="G83" s="52"/>
      <c r="H83" s="54"/>
      <c r="I83" s="53"/>
      <c r="J83" s="53"/>
    </row>
    <row r="84">
      <c r="B84" s="53"/>
      <c r="C84" s="52"/>
      <c r="D84" s="52"/>
      <c r="E84" s="52"/>
      <c r="F84" s="52"/>
      <c r="G84" s="52"/>
      <c r="H84" s="54"/>
      <c r="I84" s="53"/>
      <c r="J84" s="53"/>
    </row>
    <row r="85">
      <c r="B85" s="53"/>
      <c r="C85" s="52"/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/>
      <c r="C89" s="52"/>
      <c r="D89" s="52"/>
      <c r="E89" s="52"/>
      <c r="F89" s="52"/>
      <c r="G89" s="52"/>
      <c r="H89" s="54"/>
      <c r="I89" s="53"/>
      <c r="J89" s="53"/>
    </row>
    <row r="90">
      <c r="B90" s="53"/>
      <c r="C90" s="52"/>
      <c r="D90" s="52"/>
      <c r="E90" s="52"/>
      <c r="F90" s="52"/>
      <c r="G90" s="52"/>
      <c r="H90" s="54"/>
      <c r="I90" s="53"/>
      <c r="J90" s="53"/>
    </row>
    <row r="91">
      <c r="B91" s="53"/>
      <c r="C91" s="52"/>
      <c r="D91" s="52"/>
      <c r="E91" s="52"/>
      <c r="F91" s="52"/>
      <c r="G91" s="52"/>
      <c r="H91" s="54"/>
      <c r="I91" s="53"/>
      <c r="J91" s="53"/>
    </row>
    <row r="92">
      <c r="B92" s="53"/>
      <c r="C92" s="52"/>
      <c r="D92" s="52"/>
      <c r="E92" s="52"/>
      <c r="F92" s="52"/>
      <c r="G92" s="52"/>
      <c r="H92" s="54"/>
      <c r="I92" s="53"/>
      <c r="J92" s="53"/>
    </row>
    <row r="93">
      <c r="B93" s="53"/>
      <c r="C93" s="52"/>
      <c r="D93" s="52"/>
      <c r="E93" s="52"/>
      <c r="F93" s="52"/>
      <c r="G93" s="52"/>
      <c r="H93" s="54"/>
      <c r="I93" s="53"/>
      <c r="J93" s="53"/>
    </row>
    <row r="94">
      <c r="B94" s="53"/>
      <c r="C94" s="52"/>
      <c r="D94" s="52"/>
      <c r="E94" s="52"/>
      <c r="F94" s="52"/>
      <c r="G94" s="52"/>
      <c r="H94" s="54"/>
      <c r="I94" s="53"/>
      <c r="J94" s="53"/>
    </row>
    <row r="95">
      <c r="B95" s="53"/>
      <c r="C95" s="52"/>
      <c r="D95" s="52"/>
      <c r="E95" s="52"/>
      <c r="F95" s="52"/>
      <c r="G95" s="52"/>
      <c r="H95" s="54"/>
      <c r="I95" s="53"/>
      <c r="J95" s="53"/>
    </row>
    <row r="96">
      <c r="B96" s="53"/>
      <c r="C96" s="52"/>
      <c r="D96" s="52"/>
      <c r="E96" s="52"/>
      <c r="F96" s="52"/>
      <c r="G96" s="52"/>
      <c r="H96" s="54"/>
      <c r="I96" s="53"/>
      <c r="J96" s="53"/>
    </row>
    <row r="97">
      <c r="B97" s="53"/>
      <c r="C97" s="52"/>
      <c r="D97" s="52"/>
      <c r="E97" s="52"/>
      <c r="F97" s="52"/>
      <c r="G97" s="52"/>
      <c r="H97" s="54"/>
      <c r="I97" s="53"/>
      <c r="J97" s="53"/>
    </row>
    <row r="98">
      <c r="B98" s="53"/>
      <c r="C98" s="52"/>
      <c r="D98" s="52"/>
      <c r="E98" s="52"/>
      <c r="F98" s="52"/>
      <c r="G98" s="52"/>
      <c r="H98" s="54"/>
      <c r="I98" s="53"/>
      <c r="J98" s="53"/>
    </row>
    <row r="99">
      <c r="B99" s="53"/>
      <c r="C99" s="52"/>
      <c r="D99" s="52"/>
      <c r="E99" s="52"/>
      <c r="F99" s="52"/>
      <c r="G99" s="52"/>
      <c r="H99" s="54"/>
      <c r="I99" s="53"/>
      <c r="J99" s="53"/>
    </row>
    <row r="100">
      <c r="B100" s="53"/>
      <c r="C100" s="52"/>
      <c r="D100" s="52"/>
      <c r="E100" s="52"/>
      <c r="F100" s="52"/>
      <c r="G100" s="52"/>
      <c r="H100" s="54"/>
      <c r="I100" s="53"/>
      <c r="J100" s="53"/>
    </row>
    <row r="101">
      <c r="B101" s="53"/>
      <c r="C101" s="52"/>
      <c r="D101" s="52"/>
      <c r="E101" s="52"/>
      <c r="F101" s="52"/>
      <c r="G101" s="52"/>
      <c r="H101" s="54"/>
      <c r="I101" s="53"/>
      <c r="J101" s="53"/>
    </row>
    <row r="102">
      <c r="B102" s="53"/>
      <c r="C102" s="52"/>
      <c r="D102" s="52"/>
      <c r="E102" s="52"/>
      <c r="F102" s="52"/>
      <c r="G102" s="52"/>
      <c r="H102" s="54"/>
      <c r="I102" s="53"/>
      <c r="J102" s="53"/>
    </row>
    <row r="103">
      <c r="B103" s="53"/>
      <c r="C103" s="52"/>
      <c r="D103" s="52"/>
      <c r="E103" s="52"/>
      <c r="F103" s="52"/>
      <c r="G103" s="52"/>
      <c r="H103" s="54"/>
      <c r="I103" s="53"/>
      <c r="J103" s="53"/>
    </row>
    <row r="104">
      <c r="B104" s="53"/>
      <c r="C104" s="52"/>
      <c r="D104" s="52"/>
      <c r="E104" s="52"/>
      <c r="F104" s="52"/>
      <c r="G104" s="52"/>
      <c r="H104" s="54"/>
      <c r="I104" s="53"/>
      <c r="J104" s="53"/>
    </row>
    <row r="105">
      <c r="B105" s="53"/>
      <c r="C105" s="52"/>
      <c r="D105" s="52"/>
      <c r="E105" s="52"/>
      <c r="F105" s="52"/>
      <c r="G105" s="52"/>
      <c r="H105" s="54"/>
      <c r="I105" s="53"/>
      <c r="J105" s="53"/>
    </row>
    <row r="106">
      <c r="B106" s="53"/>
      <c r="C106" s="52"/>
      <c r="D106" s="52"/>
      <c r="E106" s="52"/>
      <c r="F106" s="52"/>
      <c r="G106" s="52"/>
      <c r="H106" s="54"/>
      <c r="I106" s="53"/>
      <c r="J106" s="53"/>
    </row>
    <row r="107">
      <c r="B107" s="53"/>
      <c r="C107" s="52"/>
      <c r="D107" s="52"/>
      <c r="E107" s="52"/>
      <c r="F107" s="52"/>
      <c r="G107" s="52"/>
      <c r="H107" s="54"/>
      <c r="I107" s="53"/>
      <c r="J107" s="53"/>
    </row>
    <row r="108">
      <c r="B108" s="53"/>
      <c r="C108" s="52"/>
      <c r="D108" s="52"/>
      <c r="E108" s="52"/>
      <c r="F108" s="52"/>
      <c r="G108" s="52"/>
      <c r="H108" s="54"/>
      <c r="I108" s="53"/>
      <c r="J108" s="53"/>
    </row>
    <row r="109">
      <c r="B109" s="53"/>
      <c r="C109" s="52"/>
      <c r="D109" s="52"/>
      <c r="E109" s="52"/>
      <c r="F109" s="52"/>
      <c r="G109" s="52"/>
      <c r="H109" s="54"/>
      <c r="I109" s="53"/>
      <c r="J109" s="53"/>
    </row>
    <row r="110">
      <c r="B110" s="53"/>
      <c r="C110" s="52"/>
      <c r="D110" s="52"/>
      <c r="E110" s="52"/>
      <c r="F110" s="52"/>
      <c r="G110" s="52"/>
      <c r="H110" s="54"/>
      <c r="I110" s="53"/>
      <c r="J110" s="53"/>
    </row>
    <row r="111">
      <c r="B111" s="53"/>
      <c r="C111" s="52"/>
      <c r="D111" s="52"/>
      <c r="E111" s="52"/>
      <c r="F111" s="52"/>
      <c r="G111" s="52"/>
      <c r="H111" s="54"/>
      <c r="I111" s="53"/>
      <c r="J111" s="53"/>
    </row>
    <row r="112">
      <c r="B112" s="53"/>
      <c r="C112" s="52"/>
      <c r="D112" s="52"/>
      <c r="E112" s="52"/>
      <c r="F112" s="52"/>
      <c r="G112" s="52"/>
      <c r="H112" s="54"/>
      <c r="I112" s="53"/>
      <c r="J112" s="53"/>
    </row>
    <row r="113">
      <c r="B113" s="53"/>
      <c r="C113" s="52"/>
      <c r="D113" s="52"/>
      <c r="E113" s="52"/>
      <c r="F113" s="52"/>
      <c r="G113" s="52"/>
      <c r="H113" s="54"/>
      <c r="I113" s="53"/>
      <c r="J113" s="53"/>
    </row>
    <row r="114">
      <c r="B114" s="53"/>
      <c r="C114" s="52"/>
      <c r="D114" s="52"/>
      <c r="E114" s="52"/>
      <c r="F114" s="52"/>
      <c r="G114" s="52"/>
      <c r="H114" s="54"/>
      <c r="I114" s="53"/>
      <c r="J114" s="53"/>
    </row>
    <row r="115">
      <c r="B115" s="53"/>
      <c r="C115" s="52"/>
      <c r="D115" s="52"/>
      <c r="E115" s="52"/>
      <c r="F115" s="52"/>
      <c r="G115" s="52"/>
      <c r="H115" s="54"/>
      <c r="I115" s="53"/>
      <c r="J115" s="53"/>
    </row>
    <row r="116">
      <c r="B116" s="53"/>
      <c r="C116" s="52"/>
      <c r="D116" s="52"/>
      <c r="E116" s="52"/>
      <c r="F116" s="52"/>
      <c r="G116" s="52"/>
      <c r="H116" s="54"/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/>
      <c r="C118" s="52"/>
      <c r="D118" s="52"/>
      <c r="E118" s="52"/>
      <c r="F118" s="52"/>
      <c r="G118" s="52"/>
      <c r="H118" s="54"/>
      <c r="I118" s="53"/>
      <c r="J118" s="53"/>
    </row>
    <row r="119">
      <c r="B119" s="53"/>
      <c r="C119" s="52"/>
      <c r="D119" s="52"/>
      <c r="E119" s="52"/>
      <c r="F119" s="52"/>
      <c r="G119" s="52"/>
      <c r="H119" s="54"/>
      <c r="I119" s="53"/>
      <c r="J119" s="53"/>
    </row>
    <row r="120">
      <c r="B120" s="53"/>
      <c r="C120" s="52"/>
      <c r="D120" s="52"/>
      <c r="E120" s="52"/>
      <c r="F120" s="52"/>
      <c r="G120" s="52"/>
      <c r="H120" s="54"/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/>
      <c r="C122" s="52"/>
      <c r="D122" s="52"/>
      <c r="E122" s="52"/>
      <c r="F122" s="52"/>
      <c r="G122" s="52"/>
      <c r="H122" s="54"/>
      <c r="I122" s="53"/>
      <c r="J122" s="53"/>
    </row>
    <row r="123">
      <c r="B123" s="53"/>
      <c r="C123" s="52"/>
      <c r="D123" s="52"/>
      <c r="E123" s="52"/>
      <c r="F123" s="52"/>
      <c r="G123" s="52"/>
      <c r="H123" s="54"/>
      <c r="I123" s="53"/>
      <c r="J123" s="53"/>
    </row>
    <row r="124">
      <c r="B124" s="53"/>
      <c r="C124" s="52"/>
      <c r="D124" s="52"/>
      <c r="E124" s="52"/>
      <c r="F124" s="52"/>
      <c r="G124" s="52"/>
      <c r="H124" s="54"/>
      <c r="I124" s="53"/>
      <c r="J124" s="53"/>
    </row>
    <row r="125">
      <c r="B125" s="53"/>
      <c r="C125" s="52"/>
      <c r="D125" s="52"/>
      <c r="E125" s="52"/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/>
      <c r="C127" s="52"/>
      <c r="D127" s="52"/>
      <c r="E127" s="52"/>
      <c r="F127" s="52"/>
      <c r="G127" s="52"/>
      <c r="H127" s="54"/>
      <c r="I127" s="53"/>
      <c r="J127" s="53"/>
    </row>
    <row r="128">
      <c r="B128" s="53"/>
      <c r="C128" s="52"/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3" customWidth="1"/>
    <col min="10" max="10" width="48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399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>
      <c r="B8" s="53"/>
      <c r="C8" s="52"/>
      <c r="D8" s="52"/>
      <c r="E8" s="52"/>
      <c r="F8" s="52"/>
      <c r="G8" s="52"/>
      <c r="H8" s="54"/>
      <c r="I8" s="53"/>
      <c r="J8" s="53"/>
    </row>
    <row r="9">
      <c r="B9" s="90" t="s">
        <v>400</v>
      </c>
      <c r="C9" s="71" t="s">
        <v>372</v>
      </c>
      <c r="D9" s="71" t="s">
        <v>401</v>
      </c>
      <c r="E9" s="71" t="s">
        <v>402</v>
      </c>
      <c r="F9" s="71" t="s">
        <v>403</v>
      </c>
      <c r="G9" s="52"/>
      <c r="H9" s="54"/>
      <c r="I9" s="53"/>
      <c r="J9" s="68" t="s">
        <v>404</v>
      </c>
    </row>
    <row r="10" ht="28.5">
      <c r="B10" s="77" t="s">
        <v>405</v>
      </c>
      <c r="C10" s="66" t="s">
        <v>406</v>
      </c>
      <c r="D10" s="66" t="s">
        <v>407</v>
      </c>
      <c r="E10" s="66" t="str">
        <f>HYPERLINK("MTN_consensus.json","Consensus")</f>
        <v>Consensus</v>
      </c>
      <c r="F10" s="66" t="s">
        <v>408</v>
      </c>
      <c r="G10" s="52"/>
      <c r="H10" s="54"/>
      <c r="I10" s="53"/>
      <c r="J10" s="68" t="s">
        <v>409</v>
      </c>
    </row>
    <row r="11" ht="28.5">
      <c r="B11" s="77" t="s">
        <v>410</v>
      </c>
      <c r="C11" s="66" t="s">
        <v>406</v>
      </c>
      <c r="D11" s="66" t="s">
        <v>407</v>
      </c>
      <c r="E11" s="66" t="str">
        <f>HYPERLINK("MTN_history.csv","History CSV")</f>
        <v>History CSV</v>
      </c>
      <c r="F11" s="66" t="s">
        <v>411</v>
      </c>
      <c r="G11" s="52"/>
      <c r="H11" s="54"/>
      <c r="I11" s="53"/>
      <c r="J11" s="68" t="s">
        <v>412</v>
      </c>
    </row>
    <row r="12" ht="28.5">
      <c r="B12" s="77" t="s">
        <v>413</v>
      </c>
      <c r="C12" s="66" t="s">
        <v>386</v>
      </c>
      <c r="D12" s="66" t="s">
        <v>414</v>
      </c>
      <c r="E12" s="66" t="str">
        <f>HYPERLINK("https://www.sec.gov/Archives/edgar/data/812011/000081201125000104/mtn-20250731.htm","FY25 10-K")</f>
        <v>FY25 10-K</v>
      </c>
      <c r="F12" s="66" t="s">
        <v>415</v>
      </c>
      <c r="G12" s="52"/>
      <c r="H12" s="54"/>
      <c r="I12" s="53"/>
      <c r="J12" s="68" t="s">
        <v>416</v>
      </c>
    </row>
    <row r="13" ht="28.5">
      <c r="B13" s="77" t="s">
        <v>417</v>
      </c>
      <c r="C13" s="66" t="s">
        <v>386</v>
      </c>
      <c r="D13" s="66" t="s">
        <v>418</v>
      </c>
      <c r="E13" s="66" t="str">
        <f>HYPERLINK("https://www.sec.gov/Archives/edgar/data/812011/000081201125000103/a20250731pressrelease.htm","FY25 Q4")</f>
        <v>FY25 Q4</v>
      </c>
      <c r="F13" s="66" t="s">
        <v>419</v>
      </c>
      <c r="G13" s="52"/>
      <c r="H13" s="54"/>
      <c r="I13" s="53"/>
      <c r="J13" s="68" t="s">
        <v>420</v>
      </c>
    </row>
    <row r="14" ht="28.5">
      <c r="B14" s="77" t="s">
        <v>421</v>
      </c>
      <c r="C14" s="66" t="s">
        <v>422</v>
      </c>
      <c r="D14" s="66" t="s">
        <v>423</v>
      </c>
      <c r="E14" s="66" t="str">
        <f>HYPERLINK("https://www.sec.gov/Archives/edgar/data/812011/000081201125000241/mtn-20251031.htm","FY26 Q1")</f>
        <v>FY26 Q1</v>
      </c>
      <c r="F14" s="66" t="s">
        <v>424</v>
      </c>
      <c r="G14" s="52"/>
      <c r="H14" s="54"/>
      <c r="I14" s="53"/>
      <c r="J14" s="68" t="s">
        <v>425</v>
      </c>
    </row>
    <row r="15" ht="28.5">
      <c r="B15" s="77" t="s">
        <v>426</v>
      </c>
      <c r="C15" s="66" t="s">
        <v>427</v>
      </c>
      <c r="D15" s="66" t="s">
        <v>423</v>
      </c>
      <c r="E15" s="66" t="str">
        <f>HYPERLINK("https://www.sec.gov/Archives/edgar/data/812011/000081201126000014/mtn-20260131.htm","FY26 Q2")</f>
        <v>FY26 Q2</v>
      </c>
      <c r="F15" s="66" t="s">
        <v>428</v>
      </c>
      <c r="G15" s="52"/>
      <c r="H15" s="54"/>
      <c r="I15" s="53"/>
      <c r="J15" s="68" t="s">
        <v>429</v>
      </c>
    </row>
    <row r="16" ht="28.5">
      <c r="B16" s="77" t="s">
        <v>430</v>
      </c>
      <c r="C16" s="66" t="s">
        <v>379</v>
      </c>
      <c r="D16" s="66" t="s">
        <v>423</v>
      </c>
      <c r="E16" s="66" t="str">
        <f>HYPERLINK("https://www.sec.gov/Archives/edgar/data/812011/000081201126000026/mtn-20260430.htm","FY26 Q3")</f>
        <v>FY26 Q3</v>
      </c>
      <c r="F16" s="66" t="s">
        <v>431</v>
      </c>
      <c r="G16" s="52"/>
      <c r="H16" s="54"/>
      <c r="I16" s="53"/>
      <c r="J16" s="68" t="s">
        <v>432</v>
      </c>
    </row>
    <row r="17" ht="28.5">
      <c r="B17" s="77" t="s">
        <v>433</v>
      </c>
      <c r="C17" s="66" t="s">
        <v>379</v>
      </c>
      <c r="D17" s="66" t="s">
        <v>418</v>
      </c>
      <c r="E17" s="66" t="str">
        <f>HYPERLINK("https://www.sec.gov/Archives/edgar/data/812011/000081201126000025/a2026430pressrelease.htm","FY26 guide")</f>
        <v>FY26 guide</v>
      </c>
      <c r="F17" s="66" t="s">
        <v>434</v>
      </c>
      <c r="G17" s="52"/>
      <c r="H17" s="54"/>
      <c r="I17" s="53"/>
      <c r="J17" s="68" t="s">
        <v>435</v>
      </c>
    </row>
    <row r="18" ht="28.5">
      <c r="B18" s="77" t="s">
        <v>436</v>
      </c>
      <c r="C18" s="66" t="s">
        <v>386</v>
      </c>
      <c r="D18" s="66" t="s">
        <v>437</v>
      </c>
      <c r="E18" s="66" t="str">
        <f>HYPERLINK("https://www.sec.gov/Archives/edgar/data/812011/000081201125000104/R36.htm","Geo + EBITDA")</f>
        <v>Geo + EBITDA</v>
      </c>
      <c r="F18" s="66" t="s">
        <v>438</v>
      </c>
      <c r="G18" s="52"/>
      <c r="H18" s="54"/>
      <c r="I18" s="53"/>
      <c r="J18" s="68" t="s">
        <v>439</v>
      </c>
    </row>
    <row r="19" ht="28.5">
      <c r="B19" s="77" t="s">
        <v>440</v>
      </c>
      <c r="C19" s="66" t="s">
        <v>386</v>
      </c>
      <c r="D19" s="66" t="s">
        <v>437</v>
      </c>
      <c r="E19" s="66" t="str">
        <f>HYPERLINK("https://www.sec.gov/Archives/edgar/data/812011/000081201125000104/R28.htm","Products")</f>
        <v>Products</v>
      </c>
      <c r="F19" s="66" t="s">
        <v>441</v>
      </c>
      <c r="G19" s="52"/>
      <c r="H19" s="54"/>
      <c r="I19" s="53"/>
      <c r="J19" s="68" t="s">
        <v>442</v>
      </c>
    </row>
    <row r="20" ht="28.5">
      <c r="B20" s="77" t="s">
        <v>443</v>
      </c>
      <c r="C20" s="66" t="s">
        <v>386</v>
      </c>
      <c r="D20" s="66" t="s">
        <v>444</v>
      </c>
      <c r="E20" s="66" t="str">
        <f>HYPERLINK("https://www.sec.gov/Archives/edgar/data/812011/000081201125000104/R3.htm","FY25 BS")</f>
        <v>FY25 BS</v>
      </c>
      <c r="F20" s="66" t="s">
        <v>445</v>
      </c>
      <c r="G20" s="52"/>
      <c r="H20" s="54"/>
      <c r="I20" s="53"/>
      <c r="J20" s="68" t="s">
        <v>446</v>
      </c>
    </row>
    <row r="21" ht="28.5">
      <c r="B21" s="77" t="s">
        <v>447</v>
      </c>
      <c r="C21" s="66" t="s">
        <v>386</v>
      </c>
      <c r="D21" s="66" t="s">
        <v>444</v>
      </c>
      <c r="E21" s="66" t="str">
        <f>HYPERLINK("https://www.sec.gov/Archives/edgar/data/812011/000081201125000104/R8.htm","FY25 CF")</f>
        <v>FY25 CF</v>
      </c>
      <c r="F21" s="66" t="s">
        <v>448</v>
      </c>
      <c r="G21" s="52"/>
      <c r="H21" s="54"/>
      <c r="I21" s="53"/>
      <c r="J21" s="68" t="s">
        <v>449</v>
      </c>
    </row>
    <row r="22" ht="28.5">
      <c r="B22" s="77" t="s">
        <v>450</v>
      </c>
      <c r="C22" s="66" t="s">
        <v>451</v>
      </c>
      <c r="D22" s="66" t="s">
        <v>452</v>
      </c>
      <c r="E22" s="66" t="str">
        <f>HYPERLINK("https://www.abc.net.au/news/2026-09-03/winter-delivers-record-low-snow-and-warmth-to-australian-alps/107108342","AUS snow")</f>
        <v>AUS snow</v>
      </c>
      <c r="F22" s="66" t="s">
        <v>453</v>
      </c>
      <c r="G22" s="52"/>
      <c r="H22" s="54"/>
      <c r="I22" s="53"/>
      <c r="J22" s="68" t="s">
        <v>454</v>
      </c>
    </row>
    <row r="23" ht="28.5">
      <c r="B23" s="77" t="s">
        <v>455</v>
      </c>
      <c r="C23" s="66" t="s">
        <v>456</v>
      </c>
      <c r="D23" s="66" t="s">
        <v>457</v>
      </c>
      <c r="E23" s="66" t="str">
        <f>HYPERLINK("https://www.alpineobserver.com.au/news/warm-weather-throws-ice-on-season-h0zs63kj","Perisher")</f>
        <v>Perisher</v>
      </c>
      <c r="F23" s="66" t="s">
        <v>458</v>
      </c>
      <c r="G23" s="52"/>
      <c r="H23" s="54"/>
      <c r="I23" s="53"/>
      <c r="J23" s="68" t="s">
        <v>459</v>
      </c>
    </row>
    <row r="24" ht="28.5">
      <c r="B24" s="77" t="s">
        <v>460</v>
      </c>
      <c r="C24" s="66" t="s">
        <v>461</v>
      </c>
      <c r="D24" s="66" t="s">
        <v>462</v>
      </c>
      <c r="E24" s="66" t="str">
        <f>HYPERLINK("https://www.metatrader.com/en/news/zacks/4214605-vail-resorts-to-post-q4-earnings-what-s-in-the-cards-for","EPS preview")</f>
        <v>EPS preview</v>
      </c>
      <c r="F24" s="66" t="s">
        <v>463</v>
      </c>
      <c r="G24" s="52"/>
      <c r="H24" s="54"/>
      <c r="I24" s="53"/>
      <c r="J24" s="68" t="s">
        <v>464</v>
      </c>
    </row>
    <row r="25" ht="28.5">
      <c r="B25" s="77" t="s">
        <v>465</v>
      </c>
      <c r="C25" s="66" t="s">
        <v>466</v>
      </c>
      <c r="D25" s="66" t="s">
        <v>467</v>
      </c>
      <c r="E25" s="66" t="str">
        <f>HYPERLINK("https://au.j2ski.com/ski-news/item/21638/perisher-expands-open-terrain-offer-world-right","August snow")</f>
        <v>August snow</v>
      </c>
      <c r="F25" s="66" t="s">
        <v>468</v>
      </c>
      <c r="G25" s="52"/>
      <c r="H25" s="54"/>
      <c r="I25" s="53"/>
      <c r="J25" s="68" t="s">
        <v>469</v>
      </c>
    </row>
    <row r="26">
      <c r="B26" s="53"/>
      <c r="C26" s="52"/>
      <c r="D26" s="52"/>
      <c r="E26" s="52"/>
      <c r="F26" s="52"/>
      <c r="G26" s="52"/>
      <c r="H26" s="54"/>
      <c r="I26" s="53"/>
      <c r="J26" s="53"/>
    </row>
    <row r="27">
      <c r="B27" s="53" t="s">
        <v>470</v>
      </c>
      <c r="C27" s="52" t="s">
        <v>471</v>
      </c>
      <c r="D27" s="52"/>
      <c r="E27" s="52"/>
      <c r="F27" s="52"/>
      <c r="G27" s="52"/>
      <c r="H27" s="54"/>
      <c r="I27" s="53"/>
      <c r="J27" s="53"/>
    </row>
    <row r="28">
      <c r="B28" s="53" t="s">
        <v>472</v>
      </c>
      <c r="C28" s="57" t="str">
        <f>Inputs!C78</f>
        <v>6ab94ee31f100c0c2f72127b6e337655929ce42400e91464dad1287d7a5fdf9a</v>
      </c>
      <c r="D28" s="52"/>
      <c r="E28" s="52"/>
      <c r="F28" s="52"/>
      <c r="G28" s="52"/>
      <c r="H28" s="54"/>
      <c r="I28" s="53"/>
      <c r="J28" s="53"/>
    </row>
    <row r="29">
      <c r="B29" s="53" t="s">
        <v>473</v>
      </c>
      <c r="C29" s="57" t="str">
        <f>Inputs!C79</f>
        <v>598e59b445e357d8ef0d6fdba4a186362b0cb0d3b05cc61dbe62e3b7d1d3c3ac</v>
      </c>
      <c r="D29" s="52"/>
      <c r="E29" s="52"/>
      <c r="F29" s="52"/>
      <c r="G29" s="52"/>
      <c r="H29" s="54"/>
      <c r="I29" s="53"/>
      <c r="J29" s="53"/>
    </row>
    <row r="30">
      <c r="B30" s="53" t="s">
        <v>474</v>
      </c>
      <c r="C30" s="57" t="str">
        <f>Inputs!C77</f>
        <v>2026-09-24</v>
      </c>
      <c r="D30" s="52"/>
      <c r="E30" s="52"/>
      <c r="F30" s="52"/>
      <c r="G30" s="52"/>
      <c r="H30" s="54"/>
      <c r="I30" s="53"/>
      <c r="J30" s="53"/>
    </row>
    <row r="31">
      <c r="B31" s="73" t="s">
        <v>475</v>
      </c>
      <c r="C31" s="72"/>
      <c r="D31" s="72"/>
      <c r="E31" s="72"/>
      <c r="F31" s="72"/>
      <c r="G31" s="72"/>
      <c r="H31" s="67"/>
      <c r="I31" s="73"/>
      <c r="J31" s="73" t="s">
        <v>476</v>
      </c>
    </row>
    <row r="32">
      <c r="B32" s="73" t="s">
        <v>477</v>
      </c>
      <c r="C32" s="72"/>
      <c r="D32" s="72"/>
      <c r="E32" s="72"/>
      <c r="F32" s="72"/>
      <c r="G32" s="72"/>
      <c r="H32" s="67"/>
      <c r="I32" s="73"/>
      <c r="J32" s="73" t="s">
        <v>478</v>
      </c>
    </row>
    <row r="33">
      <c r="B33" s="53"/>
      <c r="C33" s="52"/>
      <c r="D33" s="52"/>
      <c r="E33" s="52"/>
      <c r="F33" s="52"/>
      <c r="G33" s="52"/>
      <c r="H33" s="54"/>
      <c r="I33" s="53"/>
      <c r="J33" s="53"/>
    </row>
    <row r="34">
      <c r="B34" s="53"/>
      <c r="C34" s="52"/>
      <c r="D34" s="52"/>
      <c r="E34" s="52"/>
      <c r="F34" s="52"/>
      <c r="G34" s="52"/>
      <c r="H34" s="54"/>
      <c r="I34" s="53"/>
      <c r="J34" s="53"/>
    </row>
    <row r="35">
      <c r="B35" s="53"/>
      <c r="C35" s="52"/>
      <c r="D35" s="52"/>
      <c r="E35" s="52"/>
      <c r="F35" s="52"/>
      <c r="G35" s="52"/>
      <c r="H35" s="54"/>
      <c r="I35" s="53"/>
      <c r="J35" s="53"/>
    </row>
    <row r="36">
      <c r="B36" s="53"/>
      <c r="C36" s="52"/>
      <c r="D36" s="52"/>
      <c r="E36" s="52"/>
      <c r="F36" s="52"/>
      <c r="G36" s="52"/>
      <c r="H36" s="54"/>
      <c r="I36" s="53"/>
      <c r="J36" s="53"/>
    </row>
    <row r="37">
      <c r="B37" s="53"/>
      <c r="C37" s="52"/>
      <c r="D37" s="52"/>
      <c r="E37" s="52"/>
      <c r="F37" s="52"/>
      <c r="G37" s="52"/>
      <c r="H37" s="54"/>
      <c r="I37" s="53"/>
      <c r="J37" s="53"/>
    </row>
    <row r="38">
      <c r="B38" s="53"/>
      <c r="C38" s="52"/>
      <c r="D38" s="52"/>
      <c r="E38" s="52"/>
      <c r="F38" s="52"/>
      <c r="G38" s="52"/>
      <c r="H38" s="54"/>
      <c r="I38" s="53"/>
      <c r="J38" s="53"/>
    </row>
    <row r="39">
      <c r="B39" s="53"/>
      <c r="C39" s="52"/>
      <c r="D39" s="52"/>
      <c r="E39" s="52"/>
      <c r="F39" s="52"/>
      <c r="G39" s="52"/>
      <c r="H39" s="54"/>
      <c r="I39" s="53"/>
      <c r="J39" s="53"/>
    </row>
    <row r="40">
      <c r="B40" s="53"/>
      <c r="C40" s="52"/>
      <c r="D40" s="52"/>
      <c r="E40" s="52"/>
      <c r="F40" s="52"/>
      <c r="G40" s="52"/>
      <c r="H40" s="54"/>
      <c r="I40" s="53"/>
      <c r="J40" s="53"/>
    </row>
    <row r="41">
      <c r="B41" s="53"/>
      <c r="C41" s="52"/>
      <c r="D41" s="52"/>
      <c r="E41" s="52"/>
      <c r="F41" s="52"/>
      <c r="G41" s="52"/>
      <c r="H41" s="54"/>
      <c r="I41" s="53"/>
      <c r="J41" s="53"/>
    </row>
    <row r="42">
      <c r="B42" s="53"/>
      <c r="C42" s="52"/>
      <c r="D42" s="52"/>
      <c r="E42" s="52"/>
      <c r="F42" s="52"/>
      <c r="G42" s="52"/>
      <c r="H42" s="54"/>
      <c r="I42" s="53"/>
      <c r="J42" s="53"/>
    </row>
    <row r="43">
      <c r="B43" s="53"/>
      <c r="C43" s="52"/>
      <c r="D43" s="52"/>
      <c r="E43" s="52"/>
      <c r="F43" s="52"/>
      <c r="G43" s="52"/>
      <c r="H43" s="54"/>
      <c r="I43" s="53"/>
      <c r="J43" s="53"/>
    </row>
    <row r="44">
      <c r="B44" s="53"/>
      <c r="C44" s="52"/>
      <c r="D44" s="52"/>
      <c r="E44" s="52"/>
      <c r="F44" s="52"/>
      <c r="G44" s="52"/>
      <c r="H44" s="54"/>
      <c r="I44" s="53"/>
      <c r="J44" s="53"/>
    </row>
    <row r="45">
      <c r="B45" s="53"/>
      <c r="C45" s="52"/>
      <c r="D45" s="52"/>
      <c r="E45" s="52"/>
      <c r="F45" s="52"/>
      <c r="G45" s="52"/>
      <c r="H45" s="54"/>
      <c r="I45" s="53"/>
      <c r="J45" s="53"/>
    </row>
    <row r="46">
      <c r="B46" s="53"/>
      <c r="C46" s="52"/>
      <c r="D46" s="52"/>
      <c r="E46" s="52"/>
      <c r="F46" s="52"/>
      <c r="G46" s="52"/>
      <c r="H46" s="54"/>
      <c r="I46" s="53"/>
      <c r="J46" s="53"/>
    </row>
    <row r="47">
      <c r="B47" s="53"/>
      <c r="C47" s="52"/>
      <c r="D47" s="52"/>
      <c r="E47" s="52"/>
      <c r="F47" s="52"/>
      <c r="G47" s="52"/>
      <c r="H47" s="54"/>
      <c r="I47" s="53"/>
      <c r="J47" s="53"/>
    </row>
    <row r="48">
      <c r="B48" s="53"/>
      <c r="C48" s="52"/>
      <c r="D48" s="52"/>
      <c r="E48" s="52"/>
      <c r="F48" s="52"/>
      <c r="G48" s="52"/>
      <c r="H48" s="54"/>
      <c r="I48" s="53"/>
      <c r="J48" s="53"/>
    </row>
    <row r="49">
      <c r="B49" s="53"/>
      <c r="C49" s="52"/>
      <c r="D49" s="52"/>
      <c r="E49" s="52"/>
      <c r="F49" s="52"/>
      <c r="G49" s="52"/>
      <c r="H49" s="54"/>
      <c r="I49" s="53"/>
      <c r="J49" s="53"/>
    </row>
    <row r="50">
      <c r="B50" s="53"/>
      <c r="C50" s="52"/>
      <c r="D50" s="52"/>
      <c r="E50" s="52"/>
      <c r="F50" s="52"/>
      <c r="G50" s="52"/>
      <c r="H50" s="54"/>
      <c r="I50" s="53"/>
      <c r="J50" s="53"/>
    </row>
    <row r="51">
      <c r="B51" s="53"/>
      <c r="C51" s="52"/>
      <c r="D51" s="52"/>
      <c r="E51" s="52"/>
      <c r="F51" s="52"/>
      <c r="G51" s="52"/>
      <c r="H51" s="54"/>
      <c r="I51" s="53"/>
      <c r="J51" s="53"/>
    </row>
    <row r="52">
      <c r="B52" s="53"/>
      <c r="C52" s="52"/>
      <c r="D52" s="52"/>
      <c r="E52" s="52"/>
      <c r="F52" s="52"/>
      <c r="G52" s="52"/>
      <c r="H52" s="54"/>
      <c r="I52" s="53"/>
      <c r="J52" s="53"/>
    </row>
    <row r="53">
      <c r="B53" s="53"/>
      <c r="C53" s="52"/>
      <c r="D53" s="52"/>
      <c r="E53" s="52"/>
      <c r="F53" s="52"/>
      <c r="G53" s="52"/>
      <c r="H53" s="54"/>
      <c r="I53" s="53"/>
      <c r="J53" s="53"/>
    </row>
    <row r="54">
      <c r="B54" s="53"/>
      <c r="C54" s="52"/>
      <c r="D54" s="52"/>
      <c r="E54" s="52"/>
      <c r="F54" s="52"/>
      <c r="G54" s="52"/>
      <c r="H54" s="54"/>
      <c r="I54" s="53"/>
      <c r="J54" s="53"/>
    </row>
    <row r="55">
      <c r="B55" s="53"/>
      <c r="C55" s="52"/>
      <c r="D55" s="52"/>
      <c r="E55" s="52"/>
      <c r="F55" s="52"/>
      <c r="G55" s="52"/>
      <c r="H55" s="54"/>
      <c r="I55" s="53"/>
      <c r="J55" s="53"/>
    </row>
    <row r="56">
      <c r="B56" s="53"/>
      <c r="C56" s="52"/>
      <c r="D56" s="52"/>
      <c r="E56" s="52"/>
      <c r="F56" s="52"/>
      <c r="G56" s="52"/>
      <c r="H56" s="54"/>
      <c r="I56" s="53"/>
      <c r="J56" s="53"/>
    </row>
    <row r="57">
      <c r="B57" s="53"/>
      <c r="C57" s="52"/>
      <c r="D57" s="52"/>
      <c r="E57" s="52"/>
      <c r="F57" s="52"/>
      <c r="G57" s="52"/>
      <c r="H57" s="54"/>
      <c r="I57" s="53"/>
      <c r="J57" s="53"/>
    </row>
    <row r="58">
      <c r="B58" s="53"/>
      <c r="C58" s="52"/>
      <c r="D58" s="52"/>
      <c r="E58" s="52"/>
      <c r="F58" s="52"/>
      <c r="G58" s="52"/>
      <c r="H58" s="54"/>
      <c r="I58" s="53"/>
      <c r="J58" s="53"/>
    </row>
    <row r="59">
      <c r="B59" s="53"/>
      <c r="C59" s="52"/>
      <c r="D59" s="52"/>
      <c r="E59" s="52"/>
      <c r="F59" s="52"/>
      <c r="G59" s="52"/>
      <c r="H59" s="54"/>
      <c r="I59" s="53"/>
      <c r="J59" s="53"/>
    </row>
    <row r="60">
      <c r="B60" s="53"/>
      <c r="C60" s="52"/>
      <c r="D60" s="52"/>
      <c r="E60" s="52"/>
      <c r="F60" s="52"/>
      <c r="G60" s="52"/>
      <c r="H60" s="54"/>
      <c r="I60" s="53"/>
      <c r="J60" s="53"/>
    </row>
    <row r="61">
      <c r="B61" s="53"/>
      <c r="C61" s="52"/>
      <c r="D61" s="52"/>
      <c r="E61" s="52"/>
      <c r="F61" s="52"/>
      <c r="G61" s="52"/>
      <c r="H61" s="54"/>
      <c r="I61" s="53"/>
      <c r="J61" s="53"/>
    </row>
    <row r="62">
      <c r="B62" s="53"/>
      <c r="C62" s="52"/>
      <c r="D62" s="52"/>
      <c r="E62" s="52"/>
      <c r="F62" s="52"/>
      <c r="G62" s="52"/>
      <c r="H62" s="54"/>
      <c r="I62" s="53"/>
      <c r="J62" s="53"/>
    </row>
    <row r="63">
      <c r="B63" s="53"/>
      <c r="C63" s="52"/>
      <c r="D63" s="52"/>
      <c r="E63" s="52"/>
      <c r="F63" s="52"/>
      <c r="G63" s="52"/>
      <c r="H63" s="54"/>
      <c r="I63" s="53"/>
      <c r="J63" s="53"/>
    </row>
    <row r="64">
      <c r="B64" s="53"/>
      <c r="C64" s="52"/>
      <c r="D64" s="52"/>
      <c r="E64" s="52"/>
      <c r="F64" s="52"/>
      <c r="G64" s="52"/>
      <c r="H64" s="54"/>
      <c r="I64" s="53"/>
      <c r="J64" s="53"/>
    </row>
    <row r="65">
      <c r="B65" s="53"/>
      <c r="C65" s="52"/>
      <c r="D65" s="52"/>
      <c r="E65" s="52"/>
      <c r="F65" s="52"/>
      <c r="G65" s="52"/>
      <c r="H65" s="54"/>
      <c r="I65" s="53"/>
      <c r="J65" s="53"/>
    </row>
    <row r="66">
      <c r="B66" s="53"/>
      <c r="C66" s="52"/>
      <c r="D66" s="52"/>
      <c r="E66" s="52"/>
      <c r="F66" s="52"/>
      <c r="G66" s="52"/>
      <c r="H66" s="54"/>
      <c r="I66" s="53"/>
      <c r="J66" s="53"/>
    </row>
    <row r="67">
      <c r="B67" s="53"/>
      <c r="C67" s="52"/>
      <c r="D67" s="52"/>
      <c r="E67" s="52"/>
      <c r="F67" s="52"/>
      <c r="G67" s="52"/>
      <c r="H67" s="54"/>
      <c r="I67" s="53"/>
      <c r="J67" s="53"/>
    </row>
    <row r="68">
      <c r="B68" s="53"/>
      <c r="C68" s="52"/>
      <c r="D68" s="52"/>
      <c r="E68" s="52"/>
      <c r="F68" s="52"/>
      <c r="G68" s="52"/>
      <c r="H68" s="54"/>
      <c r="I68" s="53"/>
      <c r="J68" s="53"/>
    </row>
    <row r="69">
      <c r="B69" s="53"/>
      <c r="C69" s="52"/>
      <c r="D69" s="52"/>
      <c r="E69" s="52"/>
      <c r="F69" s="52"/>
      <c r="G69" s="52"/>
      <c r="H69" s="54"/>
      <c r="I69" s="53"/>
      <c r="J69" s="53"/>
    </row>
    <row r="70">
      <c r="B70" s="53"/>
      <c r="C70" s="52"/>
      <c r="D70" s="52"/>
      <c r="E70" s="52"/>
      <c r="F70" s="52"/>
      <c r="G70" s="52"/>
      <c r="H70" s="54"/>
      <c r="I70" s="53"/>
      <c r="J70" s="53"/>
    </row>
    <row r="71">
      <c r="B71" s="53"/>
      <c r="C71" s="52"/>
      <c r="D71" s="52"/>
      <c r="E71" s="52"/>
      <c r="F71" s="52"/>
      <c r="G71" s="52"/>
      <c r="H71" s="54"/>
      <c r="I71" s="53"/>
      <c r="J71" s="53"/>
    </row>
    <row r="72">
      <c r="B72" s="53"/>
      <c r="C72" s="52"/>
      <c r="D72" s="52"/>
      <c r="E72" s="52"/>
      <c r="F72" s="52"/>
      <c r="G72" s="52"/>
      <c r="H72" s="54"/>
      <c r="I72" s="53"/>
      <c r="J72" s="53"/>
    </row>
    <row r="73">
      <c r="B73" s="53"/>
      <c r="C73" s="52"/>
      <c r="D73" s="52"/>
      <c r="E73" s="52"/>
      <c r="F73" s="52"/>
      <c r="G73" s="52"/>
      <c r="H73" s="54"/>
      <c r="I73" s="53"/>
      <c r="J73" s="53"/>
    </row>
    <row r="74">
      <c r="B74" s="53"/>
      <c r="C74" s="52"/>
      <c r="D74" s="52"/>
      <c r="E74" s="52"/>
      <c r="F74" s="52"/>
      <c r="G74" s="52"/>
      <c r="H74" s="54"/>
      <c r="I74" s="53"/>
      <c r="J74" s="53"/>
    </row>
    <row r="75">
      <c r="B75" s="53"/>
      <c r="C75" s="52"/>
      <c r="D75" s="52"/>
      <c r="E75" s="52"/>
      <c r="F75" s="52"/>
      <c r="G75" s="52"/>
      <c r="H75" s="54"/>
      <c r="I75" s="53"/>
      <c r="J75" s="53"/>
    </row>
    <row r="76">
      <c r="B76" s="53"/>
      <c r="C76" s="52"/>
      <c r="D76" s="52"/>
      <c r="E76" s="52"/>
      <c r="F76" s="52"/>
      <c r="G76" s="52"/>
      <c r="H76" s="54"/>
      <c r="I76" s="53"/>
      <c r="J76" s="53"/>
    </row>
    <row r="77">
      <c r="B77" s="53"/>
      <c r="C77" s="52"/>
      <c r="D77" s="52"/>
      <c r="E77" s="52"/>
      <c r="F77" s="52"/>
      <c r="G77" s="52"/>
      <c r="H77" s="54"/>
      <c r="I77" s="53"/>
      <c r="J77" s="53"/>
    </row>
    <row r="78">
      <c r="B78" s="53"/>
      <c r="C78" s="52"/>
      <c r="D78" s="52"/>
      <c r="E78" s="52"/>
      <c r="F78" s="52"/>
      <c r="G78" s="52"/>
      <c r="H78" s="54"/>
      <c r="I78" s="53"/>
      <c r="J78" s="53"/>
    </row>
    <row r="79">
      <c r="B79" s="53"/>
      <c r="C79" s="52"/>
      <c r="D79" s="52"/>
      <c r="E79" s="52"/>
      <c r="F79" s="52"/>
      <c r="G79" s="52"/>
      <c r="H79" s="54"/>
      <c r="I79" s="53"/>
      <c r="J79" s="53"/>
    </row>
    <row r="80">
      <c r="B80" s="53"/>
      <c r="C80" s="52"/>
      <c r="D80" s="52"/>
      <c r="E80" s="52"/>
      <c r="F80" s="52"/>
      <c r="G80" s="52"/>
      <c r="H80" s="54"/>
      <c r="I80" s="53"/>
      <c r="J80" s="53"/>
    </row>
    <row r="81">
      <c r="B81" s="53"/>
      <c r="C81" s="52"/>
      <c r="D81" s="52"/>
      <c r="E81" s="52"/>
      <c r="F81" s="52"/>
      <c r="G81" s="52"/>
      <c r="H81" s="54"/>
      <c r="I81" s="53"/>
      <c r="J81" s="53"/>
    </row>
    <row r="82">
      <c r="B82" s="53"/>
      <c r="C82" s="52"/>
      <c r="D82" s="52"/>
      <c r="E82" s="52"/>
      <c r="F82" s="52"/>
      <c r="G82" s="52"/>
      <c r="H82" s="54"/>
      <c r="I82" s="53"/>
      <c r="J82" s="53"/>
    </row>
    <row r="83">
      <c r="B83" s="53"/>
      <c r="C83" s="52"/>
      <c r="D83" s="52"/>
      <c r="E83" s="52"/>
      <c r="F83" s="52"/>
      <c r="G83" s="52"/>
      <c r="H83" s="54"/>
      <c r="I83" s="53"/>
      <c r="J83" s="53"/>
    </row>
    <row r="84">
      <c r="B84" s="53"/>
      <c r="C84" s="52"/>
      <c r="D84" s="52"/>
      <c r="E84" s="52"/>
      <c r="F84" s="52"/>
      <c r="G84" s="52"/>
      <c r="H84" s="54"/>
      <c r="I84" s="53"/>
      <c r="J84" s="53"/>
    </row>
    <row r="85">
      <c r="B85" s="53"/>
      <c r="C85" s="52"/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/>
      <c r="C89" s="52"/>
      <c r="D89" s="52"/>
      <c r="E89" s="52"/>
      <c r="F89" s="52"/>
      <c r="G89" s="52"/>
      <c r="H89" s="54"/>
      <c r="I89" s="53"/>
      <c r="J89" s="53"/>
    </row>
    <row r="90">
      <c r="B90" s="53"/>
      <c r="C90" s="52"/>
      <c r="D90" s="52"/>
      <c r="E90" s="52"/>
      <c r="F90" s="52"/>
      <c r="G90" s="52"/>
      <c r="H90" s="54"/>
      <c r="I90" s="53"/>
      <c r="J90" s="53"/>
    </row>
    <row r="91">
      <c r="B91" s="53"/>
      <c r="C91" s="52"/>
      <c r="D91" s="52"/>
      <c r="E91" s="52"/>
      <c r="F91" s="52"/>
      <c r="G91" s="52"/>
      <c r="H91" s="54"/>
      <c r="I91" s="53"/>
      <c r="J91" s="53"/>
    </row>
    <row r="92">
      <c r="B92" s="53"/>
      <c r="C92" s="52"/>
      <c r="D92" s="52"/>
      <c r="E92" s="52"/>
      <c r="F92" s="52"/>
      <c r="G92" s="52"/>
      <c r="H92" s="54"/>
      <c r="I92" s="53"/>
      <c r="J92" s="53"/>
    </row>
    <row r="93">
      <c r="B93" s="53"/>
      <c r="C93" s="52"/>
      <c r="D93" s="52"/>
      <c r="E93" s="52"/>
      <c r="F93" s="52"/>
      <c r="G93" s="52"/>
      <c r="H93" s="54"/>
      <c r="I93" s="53"/>
      <c r="J93" s="53"/>
    </row>
    <row r="94">
      <c r="B94" s="53"/>
      <c r="C94" s="52"/>
      <c r="D94" s="52"/>
      <c r="E94" s="52"/>
      <c r="F94" s="52"/>
      <c r="G94" s="52"/>
      <c r="H94" s="54"/>
      <c r="I94" s="53"/>
      <c r="J94" s="53"/>
    </row>
    <row r="95">
      <c r="B95" s="53"/>
      <c r="C95" s="52"/>
      <c r="D95" s="52"/>
      <c r="E95" s="52"/>
      <c r="F95" s="52"/>
      <c r="G95" s="52"/>
      <c r="H95" s="54"/>
      <c r="I95" s="53"/>
      <c r="J95" s="53"/>
    </row>
    <row r="96">
      <c r="B96" s="53"/>
      <c r="C96" s="52"/>
      <c r="D96" s="52"/>
      <c r="E96" s="52"/>
      <c r="F96" s="52"/>
      <c r="G96" s="52"/>
      <c r="H96" s="54"/>
      <c r="I96" s="53"/>
      <c r="J96" s="53"/>
    </row>
    <row r="97">
      <c r="B97" s="53"/>
      <c r="C97" s="52"/>
      <c r="D97" s="52"/>
      <c r="E97" s="52"/>
      <c r="F97" s="52"/>
      <c r="G97" s="52"/>
      <c r="H97" s="54"/>
      <c r="I97" s="53"/>
      <c r="J97" s="53"/>
    </row>
    <row r="98">
      <c r="B98" s="53"/>
      <c r="C98" s="52"/>
      <c r="D98" s="52"/>
      <c r="E98" s="52"/>
      <c r="F98" s="52"/>
      <c r="G98" s="52"/>
      <c r="H98" s="54"/>
      <c r="I98" s="53"/>
      <c r="J98" s="53"/>
    </row>
    <row r="99">
      <c r="B99" s="53"/>
      <c r="C99" s="52"/>
      <c r="D99" s="52"/>
      <c r="E99" s="52"/>
      <c r="F99" s="52"/>
      <c r="G99" s="52"/>
      <c r="H99" s="54"/>
      <c r="I99" s="53"/>
      <c r="J99" s="53"/>
    </row>
    <row r="100">
      <c r="B100" s="53"/>
      <c r="C100" s="52"/>
      <c r="D100" s="52"/>
      <c r="E100" s="52"/>
      <c r="F100" s="52"/>
      <c r="G100" s="52"/>
      <c r="H100" s="54"/>
      <c r="I100" s="53"/>
      <c r="J100" s="53"/>
    </row>
    <row r="101">
      <c r="B101" s="53"/>
      <c r="C101" s="52"/>
      <c r="D101" s="52"/>
      <c r="E101" s="52"/>
      <c r="F101" s="52"/>
      <c r="G101" s="52"/>
      <c r="H101" s="54"/>
      <c r="I101" s="53"/>
      <c r="J101" s="53"/>
    </row>
    <row r="102">
      <c r="B102" s="53"/>
      <c r="C102" s="52"/>
      <c r="D102" s="52"/>
      <c r="E102" s="52"/>
      <c r="F102" s="52"/>
      <c r="G102" s="52"/>
      <c r="H102" s="54"/>
      <c r="I102" s="53"/>
      <c r="J102" s="53"/>
    </row>
    <row r="103">
      <c r="B103" s="53"/>
      <c r="C103" s="52"/>
      <c r="D103" s="52"/>
      <c r="E103" s="52"/>
      <c r="F103" s="52"/>
      <c r="G103" s="52"/>
      <c r="H103" s="54"/>
      <c r="I103" s="53"/>
      <c r="J103" s="53"/>
    </row>
    <row r="104">
      <c r="B104" s="53"/>
      <c r="C104" s="52"/>
      <c r="D104" s="52"/>
      <c r="E104" s="52"/>
      <c r="F104" s="52"/>
      <c r="G104" s="52"/>
      <c r="H104" s="54"/>
      <c r="I104" s="53"/>
      <c r="J104" s="53"/>
    </row>
    <row r="105">
      <c r="B105" s="53"/>
      <c r="C105" s="52"/>
      <c r="D105" s="52"/>
      <c r="E105" s="52"/>
      <c r="F105" s="52"/>
      <c r="G105" s="52"/>
      <c r="H105" s="54"/>
      <c r="I105" s="53"/>
      <c r="J105" s="53"/>
    </row>
    <row r="106">
      <c r="B106" s="53"/>
      <c r="C106" s="52"/>
      <c r="D106" s="52"/>
      <c r="E106" s="52"/>
      <c r="F106" s="52"/>
      <c r="G106" s="52"/>
      <c r="H106" s="54"/>
      <c r="I106" s="53"/>
      <c r="J106" s="53"/>
    </row>
    <row r="107">
      <c r="B107" s="53"/>
      <c r="C107" s="52"/>
      <c r="D107" s="52"/>
      <c r="E107" s="52"/>
      <c r="F107" s="52"/>
      <c r="G107" s="52"/>
      <c r="H107" s="54"/>
      <c r="I107" s="53"/>
      <c r="J107" s="53"/>
    </row>
    <row r="108">
      <c r="B108" s="53"/>
      <c r="C108" s="52"/>
      <c r="D108" s="52"/>
      <c r="E108" s="52"/>
      <c r="F108" s="52"/>
      <c r="G108" s="52"/>
      <c r="H108" s="54"/>
      <c r="I108" s="53"/>
      <c r="J108" s="53"/>
    </row>
    <row r="109">
      <c r="B109" s="53"/>
      <c r="C109" s="52"/>
      <c r="D109" s="52"/>
      <c r="E109" s="52"/>
      <c r="F109" s="52"/>
      <c r="G109" s="52"/>
      <c r="H109" s="54"/>
      <c r="I109" s="53"/>
      <c r="J109" s="53"/>
    </row>
    <row r="110">
      <c r="B110" s="53"/>
      <c r="C110" s="52"/>
      <c r="D110" s="52"/>
      <c r="E110" s="52"/>
      <c r="F110" s="52"/>
      <c r="G110" s="52"/>
      <c r="H110" s="54"/>
      <c r="I110" s="53"/>
      <c r="J110" s="53"/>
    </row>
    <row r="111">
      <c r="B111" s="53"/>
      <c r="C111" s="52"/>
      <c r="D111" s="52"/>
      <c r="E111" s="52"/>
      <c r="F111" s="52"/>
      <c r="G111" s="52"/>
      <c r="H111" s="54"/>
      <c r="I111" s="53"/>
      <c r="J111" s="53"/>
    </row>
    <row r="112">
      <c r="B112" s="53"/>
      <c r="C112" s="52"/>
      <c r="D112" s="52"/>
      <c r="E112" s="52"/>
      <c r="F112" s="52"/>
      <c r="G112" s="52"/>
      <c r="H112" s="54"/>
      <c r="I112" s="53"/>
      <c r="J112" s="53"/>
    </row>
    <row r="113">
      <c r="B113" s="53"/>
      <c r="C113" s="52"/>
      <c r="D113" s="52"/>
      <c r="E113" s="52"/>
      <c r="F113" s="52"/>
      <c r="G113" s="52"/>
      <c r="H113" s="54"/>
      <c r="I113" s="53"/>
      <c r="J113" s="53"/>
    </row>
    <row r="114">
      <c r="B114" s="53"/>
      <c r="C114" s="52"/>
      <c r="D114" s="52"/>
      <c r="E114" s="52"/>
      <c r="F114" s="52"/>
      <c r="G114" s="52"/>
      <c r="H114" s="54"/>
      <c r="I114" s="53"/>
      <c r="J114" s="53"/>
    </row>
    <row r="115">
      <c r="B115" s="53"/>
      <c r="C115" s="52"/>
      <c r="D115" s="52"/>
      <c r="E115" s="52"/>
      <c r="F115" s="52"/>
      <c r="G115" s="52"/>
      <c r="H115" s="54"/>
      <c r="I115" s="53"/>
      <c r="J115" s="53"/>
    </row>
    <row r="116">
      <c r="B116" s="53"/>
      <c r="C116" s="52"/>
      <c r="D116" s="52"/>
      <c r="E116" s="52"/>
      <c r="F116" s="52"/>
      <c r="G116" s="52"/>
      <c r="H116" s="54"/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/>
      <c r="C118" s="52"/>
      <c r="D118" s="52"/>
      <c r="E118" s="52"/>
      <c r="F118" s="52"/>
      <c r="G118" s="52"/>
      <c r="H118" s="54"/>
      <c r="I118" s="53"/>
      <c r="J118" s="53"/>
    </row>
    <row r="119">
      <c r="B119" s="53"/>
      <c r="C119" s="52"/>
      <c r="D119" s="52"/>
      <c r="E119" s="52"/>
      <c r="F119" s="52"/>
      <c r="G119" s="52"/>
      <c r="H119" s="54"/>
      <c r="I119" s="53"/>
      <c r="J119" s="53"/>
    </row>
    <row r="120">
      <c r="B120" s="53"/>
      <c r="C120" s="52"/>
      <c r="D120" s="52"/>
      <c r="E120" s="52"/>
      <c r="F120" s="52"/>
      <c r="G120" s="52"/>
      <c r="H120" s="54"/>
      <c r="I120" s="53"/>
      <c r="J120" s="53"/>
    </row>
    <row r="121">
      <c r="B121" s="53"/>
      <c r="C121" s="52"/>
      <c r="D121" s="52"/>
      <c r="E121" s="52"/>
      <c r="F121" s="52"/>
      <c r="G121" s="52"/>
      <c r="H121" s="54"/>
      <c r="I121" s="53"/>
      <c r="J121" s="53"/>
    </row>
    <row r="122">
      <c r="B122" s="53"/>
      <c r="C122" s="52"/>
      <c r="D122" s="52"/>
      <c r="E122" s="52"/>
      <c r="F122" s="52"/>
      <c r="G122" s="52"/>
      <c r="H122" s="54"/>
      <c r="I122" s="53"/>
      <c r="J122" s="53"/>
    </row>
    <row r="123">
      <c r="B123" s="53"/>
      <c r="C123" s="52"/>
      <c r="D123" s="52"/>
      <c r="E123" s="52"/>
      <c r="F123" s="52"/>
      <c r="G123" s="52"/>
      <c r="H123" s="54"/>
      <c r="I123" s="53"/>
      <c r="J123" s="53"/>
    </row>
    <row r="124">
      <c r="B124" s="53"/>
      <c r="C124" s="52"/>
      <c r="D124" s="52"/>
      <c r="E124" s="52"/>
      <c r="F124" s="52"/>
      <c r="G124" s="52"/>
      <c r="H124" s="54"/>
      <c r="I124" s="53"/>
      <c r="J124" s="53"/>
    </row>
    <row r="125">
      <c r="B125" s="53"/>
      <c r="C125" s="52"/>
      <c r="D125" s="52"/>
      <c r="E125" s="52"/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/>
      <c r="C127" s="52"/>
      <c r="D127" s="52"/>
      <c r="E127" s="52"/>
      <c r="F127" s="52"/>
      <c r="G127" s="52"/>
      <c r="H127" s="54"/>
      <c r="I127" s="53"/>
      <c r="J127" s="53"/>
    </row>
    <row r="128">
      <c r="B128" s="53"/>
      <c r="C128" s="52"/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B2:J139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3" customWidth="1"/>
    <col min="9" max="9" width="17" customWidth="1"/>
    <col min="10" max="10" width="18" customWidth="1"/>
  </cols>
  <sheetData>
    <row r="2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3">
      <c r="B3" s="53" t="s">
        <v>479</v>
      </c>
      <c r="C3" s="53"/>
      <c r="D3" s="53"/>
      <c r="E3" s="53"/>
      <c r="F3" s="53"/>
      <c r="G3" s="53"/>
      <c r="H3" s="53"/>
      <c r="I3" s="53"/>
      <c r="J3" s="53"/>
    </row>
    <row r="4">
      <c r="B4" s="53" t="s">
        <v>2</v>
      </c>
      <c r="C4" s="53"/>
      <c r="D4" s="53"/>
      <c r="E4" s="53"/>
      <c r="F4" s="53"/>
      <c r="G4" s="53"/>
      <c r="H4" s="53"/>
      <c r="I4" s="53"/>
      <c r="J4" s="53"/>
    </row>
    <row r="5">
      <c r="B5" s="63" t="s">
        <v>3</v>
      </c>
      <c r="C5" s="63" t="s">
        <v>4</v>
      </c>
      <c r="D5" s="63" t="s">
        <v>5</v>
      </c>
      <c r="E5" s="63" t="s">
        <v>6</v>
      </c>
      <c r="F5" s="63" t="s">
        <v>7</v>
      </c>
      <c r="G5" s="63" t="s">
        <v>8</v>
      </c>
      <c r="H5" s="63" t="s">
        <v>9</v>
      </c>
      <c r="I5" s="53"/>
      <c r="J5" s="53"/>
    </row>
    <row r="6">
      <c r="B6" s="63" t="s">
        <v>10</v>
      </c>
      <c r="C6" s="58">
        <v>45869</v>
      </c>
      <c r="D6" s="58">
        <v>45869</v>
      </c>
      <c r="E6" s="58">
        <v>45961</v>
      </c>
      <c r="F6" s="58">
        <v>46053</v>
      </c>
      <c r="G6" s="58">
        <v>46142</v>
      </c>
      <c r="H6" s="58">
        <v>46234</v>
      </c>
      <c r="I6" s="53"/>
      <c r="J6" s="53"/>
    </row>
    <row r="7">
      <c r="B7" s="63" t="s">
        <v>11</v>
      </c>
      <c r="C7" s="63">
        <v>92</v>
      </c>
      <c r="D7" s="63">
        <v>365</v>
      </c>
      <c r="E7" s="63">
        <v>92</v>
      </c>
      <c r="F7" s="63">
        <v>92</v>
      </c>
      <c r="G7" s="63">
        <v>89</v>
      </c>
      <c r="H7" s="63">
        <v>92</v>
      </c>
      <c r="I7" s="53"/>
      <c r="J7" s="53"/>
    </row>
    <row r="8" ht="48">
      <c r="B8" s="97" t="s">
        <v>480</v>
      </c>
      <c r="C8" s="81" t="s">
        <v>481</v>
      </c>
      <c r="D8" s="81" t="s">
        <v>482</v>
      </c>
      <c r="E8" s="81" t="s">
        <v>483</v>
      </c>
      <c r="F8" s="81" t="s">
        <v>484</v>
      </c>
      <c r="G8" s="81" t="s">
        <v>485</v>
      </c>
      <c r="H8" s="81" t="s">
        <v>486</v>
      </c>
      <c r="I8" s="97" t="s">
        <v>487</v>
      </c>
      <c r="J8" s="53"/>
    </row>
    <row r="9">
      <c r="B9" s="87">
        <v>45688</v>
      </c>
      <c r="C9" s="88">
        <v>6.31</v>
      </c>
      <c r="D9" s="88">
        <v>6.56</v>
      </c>
      <c r="E9" s="88">
        <v>6.32</v>
      </c>
      <c r="F9" s="88">
        <v>6.56</v>
      </c>
      <c r="G9" s="88">
        <v>1139.59</v>
      </c>
      <c r="H9" s="84">
        <v>1137.23</v>
      </c>
      <c r="I9" s="86">
        <v>45726</v>
      </c>
      <c r="J9" s="53"/>
    </row>
    <row r="10">
      <c r="B10" s="87">
        <v>45777</v>
      </c>
      <c r="C10" s="88">
        <v>10.06</v>
      </c>
      <c r="D10" s="88">
        <v>10.54</v>
      </c>
      <c r="E10" s="88">
        <v>10.06</v>
      </c>
      <c r="F10" s="88">
        <v>10.54</v>
      </c>
      <c r="G10" s="88">
        <v>1301.36</v>
      </c>
      <c r="H10" s="84">
        <v>1295.56</v>
      </c>
      <c r="I10" s="86">
        <v>45813</v>
      </c>
      <c r="J10" s="53"/>
    </row>
    <row r="11">
      <c r="B11" s="87">
        <v>45869</v>
      </c>
      <c r="C11" s="88">
        <v>-4.73</v>
      </c>
      <c r="D11" s="88">
        <v>-5.08</v>
      </c>
      <c r="E11" s="88">
        <v>-4.72</v>
      </c>
      <c r="F11" s="88">
        <v>-5.08</v>
      </c>
      <c r="G11" s="88">
        <v>276.17</v>
      </c>
      <c r="H11" s="84">
        <v>271.29</v>
      </c>
      <c r="I11" s="86">
        <v>45929</v>
      </c>
      <c r="J11" s="53"/>
    </row>
    <row r="12">
      <c r="B12" s="87">
        <v>45961</v>
      </c>
      <c r="C12" s="88">
        <v>-5.13</v>
      </c>
      <c r="D12" s="88">
        <v>-5.2</v>
      </c>
      <c r="E12" s="88">
        <v>-5.17</v>
      </c>
      <c r="F12" s="88">
        <v>-5.2</v>
      </c>
      <c r="G12" s="88">
        <v>277.59</v>
      </c>
      <c r="H12" s="84">
        <v>271.03</v>
      </c>
      <c r="I12" s="86">
        <v>46001</v>
      </c>
      <c r="J12" s="53"/>
    </row>
    <row r="13">
      <c r="B13" s="87">
        <v>46053</v>
      </c>
      <c r="C13" s="88">
        <v>6.15</v>
      </c>
      <c r="D13" s="88">
        <v>5.87</v>
      </c>
      <c r="E13" s="88">
        <v>6.15</v>
      </c>
      <c r="F13" s="88">
        <v>5.87</v>
      </c>
      <c r="G13" s="88">
        <v>1107.09</v>
      </c>
      <c r="H13" s="84">
        <v>1083.93</v>
      </c>
      <c r="I13" s="86">
        <v>46090</v>
      </c>
      <c r="J13" s="53"/>
    </row>
    <row r="14">
      <c r="B14" s="87">
        <v>46142</v>
      </c>
      <c r="C14" s="88">
        <v>8.93</v>
      </c>
      <c r="D14" s="88">
        <v>8.81</v>
      </c>
      <c r="E14" s="88">
        <v>8.96</v>
      </c>
      <c r="F14" s="88">
        <v>8.81</v>
      </c>
      <c r="G14" s="88">
        <v>1201.59</v>
      </c>
      <c r="H14" s="84">
        <v>1205.18</v>
      </c>
      <c r="I14" s="86">
        <v>46181</v>
      </c>
      <c r="J14" s="53"/>
    </row>
    <row r="15">
      <c r="B15" s="53"/>
      <c r="C15" s="52"/>
      <c r="D15" s="52"/>
      <c r="E15" s="52"/>
      <c r="F15" s="52"/>
      <c r="G15" s="52"/>
      <c r="H15" s="54"/>
      <c r="I15" s="53"/>
      <c r="J15" s="53"/>
    </row>
    <row r="16">
      <c r="B16" s="53"/>
      <c r="C16" s="52"/>
      <c r="D16" s="52"/>
      <c r="E16" s="52"/>
      <c r="F16" s="52"/>
      <c r="G16" s="52"/>
      <c r="H16" s="54"/>
      <c r="I16" s="53"/>
      <c r="J16" s="53"/>
    </row>
    <row r="17">
      <c r="B17" s="53" t="s">
        <v>488</v>
      </c>
      <c r="C17" s="52"/>
      <c r="D17" s="52"/>
      <c r="E17" s="52"/>
      <c r="F17" s="52"/>
      <c r="G17" s="52"/>
      <c r="H17" s="54"/>
      <c r="I17" s="53"/>
      <c r="J17" s="53"/>
    </row>
    <row r="18">
      <c r="B18" s="53"/>
      <c r="C18" s="52"/>
      <c r="D18" s="52"/>
      <c r="E18" s="52"/>
      <c r="F18" s="52"/>
      <c r="G18" s="52"/>
      <c r="H18" s="54"/>
      <c r="I18" s="53"/>
      <c r="J18" s="53"/>
    </row>
    <row r="19">
      <c r="B19" s="53"/>
      <c r="C19" s="52"/>
      <c r="D19" s="52"/>
      <c r="E19" s="52"/>
      <c r="F19" s="52"/>
      <c r="G19" s="52"/>
      <c r="H19" s="54"/>
      <c r="I19" s="53"/>
      <c r="J19" s="53"/>
    </row>
    <row r="20">
      <c r="B20" s="73" t="s">
        <v>489</v>
      </c>
      <c r="C20" s="52" t="s">
        <v>490</v>
      </c>
      <c r="D20" s="52"/>
      <c r="E20" s="52"/>
      <c r="F20" s="52"/>
      <c r="G20" s="52"/>
      <c r="H20" s="54"/>
      <c r="I20" s="53"/>
      <c r="J20" s="53"/>
    </row>
    <row r="21">
      <c r="B21" s="73" t="s">
        <v>491</v>
      </c>
      <c r="C21" s="52" t="s">
        <v>0</v>
      </c>
      <c r="D21" s="52"/>
      <c r="E21" s="52"/>
      <c r="F21" s="52"/>
      <c r="G21" s="52"/>
      <c r="H21" s="54"/>
      <c r="I21" s="53"/>
      <c r="J21" s="53"/>
    </row>
    <row r="22">
      <c r="B22" s="73" t="s">
        <v>492</v>
      </c>
      <c r="C22" s="52" t="s">
        <v>493</v>
      </c>
      <c r="D22" s="52"/>
      <c r="E22" s="52"/>
      <c r="F22" s="52"/>
      <c r="G22" s="52"/>
      <c r="H22" s="54"/>
      <c r="I22" s="53"/>
      <c r="J22" s="53"/>
    </row>
    <row r="23">
      <c r="B23" s="73" t="s">
        <v>494</v>
      </c>
      <c r="C23" s="61">
        <v>36122</v>
      </c>
      <c r="D23" s="52"/>
      <c r="E23" s="52"/>
      <c r="F23" s="52"/>
      <c r="G23" s="52"/>
      <c r="H23" s="54"/>
      <c r="I23" s="53"/>
      <c r="J23" s="53"/>
    </row>
    <row r="24">
      <c r="B24" s="73" t="s">
        <v>495</v>
      </c>
      <c r="C24" s="61">
        <v>13</v>
      </c>
      <c r="D24" s="52"/>
      <c r="E24" s="52"/>
      <c r="F24" s="52"/>
      <c r="G24" s="52"/>
      <c r="H24" s="54"/>
      <c r="I24" s="53"/>
      <c r="J24" s="53"/>
    </row>
    <row r="25">
      <c r="B25" s="73" t="s">
        <v>496</v>
      </c>
      <c r="C25" s="52" t="s">
        <v>497</v>
      </c>
      <c r="D25" s="52"/>
      <c r="E25" s="52"/>
      <c r="F25" s="52"/>
      <c r="G25" s="52"/>
      <c r="H25" s="54"/>
      <c r="I25" s="53"/>
      <c r="J25" s="53"/>
    </row>
    <row r="26">
      <c r="B26" s="73" t="s">
        <v>498</v>
      </c>
      <c r="C26" s="52" t="s">
        <v>499</v>
      </c>
      <c r="D26" s="52"/>
      <c r="E26" s="52"/>
      <c r="F26" s="52"/>
      <c r="G26" s="52"/>
      <c r="H26" s="54"/>
      <c r="I26" s="53"/>
      <c r="J26" s="53"/>
    </row>
    <row r="27">
      <c r="B27" s="73" t="s">
        <v>480</v>
      </c>
      <c r="C27" s="52" t="s">
        <v>500</v>
      </c>
      <c r="D27" s="52"/>
      <c r="E27" s="52"/>
      <c r="F27" s="52"/>
      <c r="G27" s="52"/>
      <c r="H27" s="54"/>
      <c r="I27" s="53"/>
      <c r="J27" s="53"/>
    </row>
    <row r="28">
      <c r="B28" s="73" t="s">
        <v>501</v>
      </c>
      <c r="C28" s="52" t="s">
        <v>502</v>
      </c>
      <c r="D28" s="52"/>
      <c r="E28" s="52"/>
      <c r="F28" s="52"/>
      <c r="G28" s="52"/>
      <c r="H28" s="54"/>
      <c r="I28" s="53"/>
      <c r="J28" s="53"/>
    </row>
    <row r="29">
      <c r="B29" s="73" t="s">
        <v>503</v>
      </c>
      <c r="C29" s="96">
        <v>-5.37</v>
      </c>
      <c r="D29" s="52"/>
      <c r="E29" s="52"/>
      <c r="F29" s="52"/>
      <c r="G29" s="52"/>
      <c r="H29" s="54"/>
      <c r="I29" s="53"/>
      <c r="J29" s="53"/>
    </row>
    <row r="30">
      <c r="B30" s="73" t="s">
        <v>504</v>
      </c>
      <c r="C30" s="96">
        <v>-5.35</v>
      </c>
      <c r="D30" s="52"/>
      <c r="E30" s="52"/>
      <c r="F30" s="52"/>
      <c r="G30" s="52"/>
      <c r="H30" s="54"/>
      <c r="I30" s="53"/>
      <c r="J30" s="53"/>
    </row>
    <row r="31">
      <c r="B31" s="73" t="s">
        <v>505</v>
      </c>
      <c r="C31" s="96">
        <v>-4.9</v>
      </c>
      <c r="D31" s="52"/>
      <c r="E31" s="52"/>
      <c r="F31" s="52"/>
      <c r="G31" s="52"/>
      <c r="H31" s="54"/>
      <c r="I31" s="53"/>
      <c r="J31" s="53"/>
    </row>
    <row r="32">
      <c r="B32" s="73" t="s">
        <v>506</v>
      </c>
      <c r="C32" s="96">
        <v>-5.81</v>
      </c>
      <c r="D32" s="52"/>
      <c r="E32" s="52"/>
      <c r="F32" s="52"/>
      <c r="G32" s="52"/>
      <c r="H32" s="54"/>
      <c r="I32" s="53"/>
      <c r="J32" s="53"/>
    </row>
    <row r="33">
      <c r="B33" s="73" t="s">
        <v>507</v>
      </c>
      <c r="C33" s="96">
        <v>0.28</v>
      </c>
      <c r="D33" s="52"/>
      <c r="E33" s="52"/>
      <c r="F33" s="52"/>
      <c r="G33" s="52"/>
      <c r="H33" s="54"/>
      <c r="I33" s="53"/>
      <c r="J33" s="53"/>
    </row>
    <row r="34">
      <c r="B34" s="73" t="s">
        <v>508</v>
      </c>
      <c r="C34" s="61">
        <v>10</v>
      </c>
      <c r="D34" s="52"/>
      <c r="E34" s="52"/>
      <c r="F34" s="52"/>
      <c r="G34" s="52"/>
      <c r="H34" s="54"/>
      <c r="I34" s="53"/>
      <c r="J34" s="53"/>
    </row>
    <row r="35">
      <c r="B35" s="73" t="s">
        <v>509</v>
      </c>
      <c r="C35" s="52"/>
      <c r="D35" s="52"/>
      <c r="E35" s="52"/>
      <c r="F35" s="52"/>
      <c r="G35" s="52"/>
      <c r="H35" s="54"/>
      <c r="I35" s="53"/>
      <c r="J35" s="53"/>
    </row>
    <row r="36">
      <c r="B36" s="73" t="s">
        <v>510</v>
      </c>
      <c r="C36" s="52"/>
      <c r="D36" s="52"/>
      <c r="E36" s="52"/>
      <c r="F36" s="52"/>
      <c r="G36" s="52"/>
      <c r="H36" s="54"/>
      <c r="I36" s="53"/>
      <c r="J36" s="53"/>
    </row>
    <row r="37">
      <c r="B37" s="73" t="s">
        <v>511</v>
      </c>
      <c r="C37" s="52"/>
      <c r="D37" s="52"/>
      <c r="E37" s="52"/>
      <c r="F37" s="52"/>
      <c r="G37" s="52"/>
      <c r="H37" s="54"/>
      <c r="I37" s="53"/>
      <c r="J37" s="53"/>
    </row>
    <row r="38">
      <c r="B38" s="73" t="s">
        <v>512</v>
      </c>
      <c r="C38" s="96">
        <v>-5.35</v>
      </c>
      <c r="D38" s="52"/>
      <c r="E38" s="52"/>
      <c r="F38" s="52"/>
      <c r="G38" s="52"/>
      <c r="H38" s="54"/>
      <c r="I38" s="53"/>
      <c r="J38" s="53"/>
    </row>
    <row r="39">
      <c r="B39" s="73" t="s">
        <v>513</v>
      </c>
      <c r="C39" s="96">
        <v>-5.25</v>
      </c>
      <c r="D39" s="52"/>
      <c r="E39" s="52"/>
      <c r="F39" s="52"/>
      <c r="G39" s="52"/>
      <c r="H39" s="54"/>
      <c r="I39" s="53"/>
      <c r="J39" s="53"/>
    </row>
    <row r="40">
      <c r="B40" s="73" t="s">
        <v>514</v>
      </c>
      <c r="C40" s="96">
        <v>-4.9</v>
      </c>
      <c r="D40" s="52"/>
      <c r="E40" s="52"/>
      <c r="F40" s="52"/>
      <c r="G40" s="52"/>
      <c r="H40" s="54"/>
      <c r="I40" s="53"/>
      <c r="J40" s="53"/>
    </row>
    <row r="41">
      <c r="B41" s="73" t="s">
        <v>515</v>
      </c>
      <c r="C41" s="96">
        <v>-5.81</v>
      </c>
      <c r="D41" s="52"/>
      <c r="E41" s="52"/>
      <c r="F41" s="52"/>
      <c r="G41" s="52"/>
      <c r="H41" s="54"/>
      <c r="I41" s="53"/>
      <c r="J41" s="53"/>
    </row>
    <row r="42">
      <c r="B42" s="73" t="s">
        <v>516</v>
      </c>
      <c r="C42" s="96">
        <v>0.28</v>
      </c>
      <c r="D42" s="52"/>
      <c r="E42" s="52"/>
      <c r="F42" s="52"/>
      <c r="G42" s="52"/>
      <c r="H42" s="54"/>
      <c r="I42" s="53"/>
      <c r="J42" s="53"/>
    </row>
    <row r="43">
      <c r="B43" s="73" t="s">
        <v>517</v>
      </c>
      <c r="C43" s="61">
        <v>11</v>
      </c>
      <c r="D43" s="52"/>
      <c r="E43" s="52"/>
      <c r="F43" s="52"/>
      <c r="G43" s="52"/>
      <c r="H43" s="54"/>
      <c r="I43" s="53"/>
      <c r="J43" s="53"/>
    </row>
    <row r="44">
      <c r="B44" s="73" t="s">
        <v>518</v>
      </c>
      <c r="C44" s="52"/>
      <c r="D44" s="52"/>
      <c r="E44" s="52"/>
      <c r="F44" s="52"/>
      <c r="G44" s="52"/>
      <c r="H44" s="54"/>
      <c r="I44" s="53"/>
      <c r="J44" s="53"/>
    </row>
    <row r="45">
      <c r="B45" s="73" t="s">
        <v>519</v>
      </c>
      <c r="C45" s="52"/>
      <c r="D45" s="52"/>
      <c r="E45" s="52"/>
      <c r="F45" s="52"/>
      <c r="G45" s="52"/>
      <c r="H45" s="54"/>
      <c r="I45" s="53"/>
      <c r="J45" s="53"/>
    </row>
    <row r="46">
      <c r="B46" s="73" t="s">
        <v>520</v>
      </c>
      <c r="C46" s="61">
        <v>269.3</v>
      </c>
      <c r="D46" s="52"/>
      <c r="E46" s="52"/>
      <c r="F46" s="52"/>
      <c r="G46" s="52"/>
      <c r="H46" s="54"/>
      <c r="I46" s="53"/>
      <c r="J46" s="53"/>
    </row>
    <row r="47">
      <c r="B47" s="73" t="s">
        <v>521</v>
      </c>
      <c r="C47" s="61">
        <v>270.31</v>
      </c>
      <c r="D47" s="52"/>
      <c r="E47" s="52"/>
      <c r="F47" s="52"/>
      <c r="G47" s="52"/>
      <c r="H47" s="54"/>
      <c r="I47" s="53"/>
      <c r="J47" s="53"/>
    </row>
    <row r="48">
      <c r="B48" s="73" t="s">
        <v>522</v>
      </c>
      <c r="C48" s="61">
        <v>284.18</v>
      </c>
      <c r="D48" s="52"/>
      <c r="E48" s="52"/>
      <c r="F48" s="52"/>
      <c r="G48" s="52"/>
      <c r="H48" s="54"/>
      <c r="I48" s="53"/>
      <c r="J48" s="53"/>
    </row>
    <row r="49">
      <c r="B49" s="73" t="s">
        <v>523</v>
      </c>
      <c r="C49" s="61">
        <v>251</v>
      </c>
      <c r="D49" s="52"/>
      <c r="E49" s="52"/>
      <c r="F49" s="52"/>
      <c r="G49" s="52"/>
      <c r="H49" s="54"/>
      <c r="I49" s="53"/>
      <c r="J49" s="53"/>
    </row>
    <row r="50">
      <c r="B50" s="73" t="s">
        <v>524</v>
      </c>
      <c r="C50" s="61">
        <v>11.21</v>
      </c>
      <c r="D50" s="52"/>
      <c r="E50" s="52"/>
      <c r="F50" s="52"/>
      <c r="G50" s="52"/>
      <c r="H50" s="54"/>
      <c r="I50" s="53"/>
      <c r="J50" s="53"/>
    </row>
    <row r="51">
      <c r="B51" s="73" t="s">
        <v>525</v>
      </c>
      <c r="C51" s="61">
        <v>10</v>
      </c>
      <c r="D51" s="52"/>
      <c r="E51" s="52"/>
      <c r="F51" s="52"/>
      <c r="G51" s="52"/>
      <c r="H51" s="54"/>
      <c r="I51" s="53"/>
      <c r="J51" s="53"/>
    </row>
    <row r="52">
      <c r="B52" s="73" t="s">
        <v>526</v>
      </c>
      <c r="C52" s="52"/>
      <c r="D52" s="52"/>
      <c r="E52" s="52"/>
      <c r="F52" s="52"/>
      <c r="G52" s="52"/>
      <c r="H52" s="54"/>
      <c r="I52" s="53"/>
      <c r="J52" s="53"/>
    </row>
    <row r="53">
      <c r="B53" s="73" t="s">
        <v>527</v>
      </c>
      <c r="C53" s="52"/>
      <c r="D53" s="52"/>
      <c r="E53" s="52"/>
      <c r="F53" s="52"/>
      <c r="G53" s="52"/>
      <c r="H53" s="54"/>
      <c r="I53" s="53"/>
      <c r="J53" s="53"/>
    </row>
    <row r="54">
      <c r="B54" s="73" t="s">
        <v>528</v>
      </c>
      <c r="C54" s="61">
        <v>-128.04</v>
      </c>
      <c r="D54" s="52"/>
      <c r="E54" s="52"/>
      <c r="F54" s="52"/>
      <c r="G54" s="52"/>
      <c r="H54" s="54"/>
      <c r="I54" s="53"/>
      <c r="J54" s="53"/>
    </row>
    <row r="55">
      <c r="B55" s="73" t="s">
        <v>529</v>
      </c>
      <c r="C55" s="52"/>
      <c r="D55" s="52"/>
      <c r="E55" s="52"/>
      <c r="F55" s="52"/>
      <c r="G55" s="52"/>
      <c r="H55" s="54"/>
      <c r="I55" s="53"/>
      <c r="J55" s="53"/>
    </row>
    <row r="56">
      <c r="B56" s="73" t="s">
        <v>530</v>
      </c>
      <c r="C56" s="52"/>
      <c r="D56" s="52"/>
      <c r="E56" s="52"/>
      <c r="F56" s="52"/>
      <c r="G56" s="52"/>
      <c r="H56" s="54"/>
      <c r="I56" s="53"/>
      <c r="J56" s="53"/>
    </row>
    <row r="57">
      <c r="B57" s="73" t="s">
        <v>531</v>
      </c>
      <c r="C57" s="52"/>
      <c r="D57" s="52"/>
      <c r="E57" s="52"/>
      <c r="F57" s="52"/>
      <c r="G57" s="52"/>
      <c r="H57" s="54"/>
      <c r="I57" s="53"/>
      <c r="J57" s="53"/>
    </row>
    <row r="58">
      <c r="B58" s="73" t="s">
        <v>532</v>
      </c>
      <c r="C58" s="52"/>
      <c r="D58" s="52"/>
      <c r="E58" s="52"/>
      <c r="F58" s="52"/>
      <c r="G58" s="52"/>
      <c r="H58" s="54"/>
      <c r="I58" s="53"/>
      <c r="J58" s="53"/>
    </row>
    <row r="59">
      <c r="B59" s="73" t="s">
        <v>533</v>
      </c>
      <c r="C59" s="52"/>
      <c r="D59" s="52"/>
      <c r="E59" s="52"/>
      <c r="F59" s="52"/>
      <c r="G59" s="52"/>
      <c r="H59" s="54"/>
      <c r="I59" s="53"/>
      <c r="J59" s="53"/>
    </row>
    <row r="60">
      <c r="B60" s="73" t="s">
        <v>534</v>
      </c>
      <c r="C60" s="52"/>
      <c r="D60" s="52"/>
      <c r="E60" s="52"/>
      <c r="F60" s="52"/>
      <c r="G60" s="52"/>
      <c r="H60" s="54"/>
      <c r="I60" s="53"/>
      <c r="J60" s="53"/>
    </row>
    <row r="61">
      <c r="B61" s="73" t="s">
        <v>535</v>
      </c>
      <c r="C61" s="52"/>
      <c r="D61" s="52"/>
      <c r="E61" s="52"/>
      <c r="F61" s="52"/>
      <c r="G61" s="52"/>
      <c r="H61" s="54"/>
      <c r="I61" s="53"/>
      <c r="J61" s="53"/>
    </row>
    <row r="62">
      <c r="B62" s="73" t="s">
        <v>536</v>
      </c>
      <c r="C62" s="52"/>
      <c r="D62" s="52"/>
      <c r="E62" s="52"/>
      <c r="F62" s="52"/>
      <c r="G62" s="52"/>
      <c r="H62" s="54"/>
      <c r="I62" s="53"/>
      <c r="J62" s="53"/>
    </row>
    <row r="63">
      <c r="B63" s="73" t="s">
        <v>537</v>
      </c>
      <c r="C63" s="52"/>
      <c r="D63" s="52"/>
      <c r="E63" s="52"/>
      <c r="F63" s="52"/>
      <c r="G63" s="52"/>
      <c r="H63" s="54"/>
      <c r="I63" s="53"/>
      <c r="J63" s="53"/>
    </row>
    <row r="64">
      <c r="B64" s="73" t="s">
        <v>538</v>
      </c>
      <c r="C64" s="61">
        <v>144.77</v>
      </c>
      <c r="D64" s="52"/>
      <c r="E64" s="52"/>
      <c r="F64" s="52"/>
      <c r="G64" s="52"/>
      <c r="H64" s="54"/>
      <c r="I64" s="53"/>
      <c r="J64" s="53"/>
    </row>
    <row r="65">
      <c r="B65" s="73" t="s">
        <v>539</v>
      </c>
      <c r="C65" s="61">
        <v>139</v>
      </c>
      <c r="D65" s="52"/>
      <c r="E65" s="52"/>
      <c r="F65" s="52"/>
      <c r="G65" s="52"/>
      <c r="H65" s="54"/>
      <c r="I65" s="53"/>
      <c r="J65" s="53"/>
    </row>
    <row r="66">
      <c r="B66" s="73" t="s">
        <v>540</v>
      </c>
      <c r="C66" s="61">
        <v>195</v>
      </c>
      <c r="D66" s="52"/>
      <c r="E66" s="52"/>
      <c r="F66" s="52"/>
      <c r="G66" s="52"/>
      <c r="H66" s="54"/>
      <c r="I66" s="53"/>
      <c r="J66" s="53"/>
    </row>
    <row r="67">
      <c r="B67" s="73" t="s">
        <v>541</v>
      </c>
      <c r="C67" s="61">
        <v>119</v>
      </c>
      <c r="D67" s="52"/>
      <c r="E67" s="52"/>
      <c r="F67" s="52"/>
      <c r="G67" s="52"/>
      <c r="H67" s="54"/>
      <c r="I67" s="53"/>
      <c r="J67" s="53"/>
    </row>
    <row r="68">
      <c r="B68" s="73" t="s">
        <v>542</v>
      </c>
      <c r="C68" s="61">
        <v>20</v>
      </c>
      <c r="D68" s="52"/>
      <c r="E68" s="52"/>
      <c r="F68" s="52"/>
      <c r="G68" s="52"/>
      <c r="H68" s="54"/>
      <c r="I68" s="53"/>
      <c r="J68" s="53"/>
    </row>
    <row r="69">
      <c r="B69" s="73" t="s">
        <v>543</v>
      </c>
      <c r="C69" s="61">
        <v>13</v>
      </c>
      <c r="D69" s="52"/>
      <c r="E69" s="52"/>
      <c r="F69" s="52"/>
      <c r="G69" s="52"/>
      <c r="H69" s="54"/>
      <c r="I69" s="53"/>
      <c r="J69" s="53"/>
    </row>
    <row r="70">
      <c r="B70" s="73" t="s">
        <v>544</v>
      </c>
      <c r="C70" s="52" t="s">
        <v>545</v>
      </c>
      <c r="D70" s="52"/>
      <c r="E70" s="52"/>
      <c r="F70" s="52"/>
      <c r="G70" s="52"/>
      <c r="H70" s="54"/>
      <c r="I70" s="53"/>
      <c r="J70" s="53"/>
    </row>
    <row r="71">
      <c r="B71" s="73" t="s">
        <v>546</v>
      </c>
      <c r="C71" s="61">
        <v>2.62</v>
      </c>
      <c r="D71" s="52"/>
      <c r="E71" s="52"/>
      <c r="F71" s="52"/>
      <c r="G71" s="52"/>
      <c r="H71" s="54"/>
      <c r="I71" s="53"/>
      <c r="J71" s="53"/>
    </row>
    <row r="72">
      <c r="B72" s="73" t="s">
        <v>547</v>
      </c>
      <c r="C72" s="61">
        <v>137.82</v>
      </c>
      <c r="D72" s="52"/>
      <c r="E72" s="52"/>
      <c r="F72" s="52"/>
      <c r="G72" s="52"/>
      <c r="H72" s="54"/>
      <c r="I72" s="53"/>
      <c r="J72" s="53"/>
    </row>
    <row r="73" ht="161.25">
      <c r="B73" s="73" t="s">
        <v>548</v>
      </c>
      <c r="C73" s="72" t="s">
        <v>549</v>
      </c>
      <c r="D73" s="52"/>
      <c r="E73" s="52"/>
      <c r="F73" s="52"/>
      <c r="G73" s="52"/>
      <c r="H73" s="54"/>
      <c r="I73" s="53"/>
      <c r="J73" s="53"/>
    </row>
    <row r="74">
      <c r="B74" s="53"/>
      <c r="C74" s="61"/>
      <c r="D74" s="52"/>
      <c r="E74" s="52"/>
      <c r="F74" s="52"/>
      <c r="G74" s="52"/>
      <c r="H74" s="54"/>
      <c r="I74" s="53"/>
      <c r="J74" s="53"/>
    </row>
    <row r="75">
      <c r="B75" s="53"/>
      <c r="C75" s="61"/>
      <c r="D75" s="52"/>
      <c r="E75" s="52"/>
      <c r="F75" s="52"/>
      <c r="G75" s="52"/>
      <c r="H75" s="54"/>
      <c r="I75" s="53"/>
      <c r="J75" s="53"/>
    </row>
    <row r="76">
      <c r="B76" s="53"/>
      <c r="C76" s="61"/>
      <c r="D76" s="52"/>
      <c r="E76" s="52"/>
      <c r="F76" s="52"/>
      <c r="G76" s="52"/>
      <c r="H76" s="54"/>
      <c r="I76" s="53"/>
      <c r="J76" s="53"/>
    </row>
    <row r="77">
      <c r="B77" s="53" t="s">
        <v>550</v>
      </c>
      <c r="C77" s="52" t="s">
        <v>406</v>
      </c>
      <c r="D77" s="52"/>
      <c r="E77" s="52"/>
      <c r="F77" s="52"/>
      <c r="G77" s="52"/>
      <c r="H77" s="54"/>
      <c r="I77" s="53"/>
      <c r="J77" s="53"/>
    </row>
    <row r="78">
      <c r="B78" s="53" t="s">
        <v>551</v>
      </c>
      <c r="C78" s="52" t="s">
        <v>552</v>
      </c>
      <c r="D78" s="52"/>
      <c r="E78" s="52"/>
      <c r="F78" s="52"/>
      <c r="G78" s="52"/>
      <c r="H78" s="54"/>
      <c r="I78" s="53"/>
      <c r="J78" s="53"/>
    </row>
    <row r="79">
      <c r="B79" s="53" t="s">
        <v>553</v>
      </c>
      <c r="C79" s="52" t="s">
        <v>554</v>
      </c>
      <c r="D79" s="52"/>
      <c r="E79" s="52"/>
      <c r="F79" s="52"/>
      <c r="G79" s="52"/>
      <c r="H79" s="54"/>
      <c r="I79" s="53"/>
      <c r="J79" s="53"/>
    </row>
    <row r="80">
      <c r="B80" s="53" t="s">
        <v>555</v>
      </c>
      <c r="C80" s="52" t="s">
        <v>556</v>
      </c>
      <c r="D80" s="52"/>
      <c r="E80" s="52"/>
      <c r="F80" s="52"/>
      <c r="G80" s="52"/>
      <c r="H80" s="54"/>
      <c r="I80" s="53"/>
      <c r="J80" s="53"/>
    </row>
    <row r="81">
      <c r="B81" s="53"/>
      <c r="C81" s="61"/>
      <c r="D81" s="52"/>
      <c r="E81" s="52"/>
      <c r="F81" s="52"/>
      <c r="G81" s="52"/>
      <c r="H81" s="54"/>
      <c r="I81" s="53"/>
      <c r="J81" s="53"/>
    </row>
    <row r="82">
      <c r="B82" s="53" t="s">
        <v>557</v>
      </c>
      <c r="C82" s="61">
        <v>-185.46</v>
      </c>
      <c r="D82" s="52"/>
      <c r="E82" s="52"/>
      <c r="F82" s="52"/>
      <c r="G82" s="52"/>
      <c r="H82" s="54"/>
      <c r="I82" s="53"/>
      <c r="J82" s="53"/>
    </row>
    <row r="83">
      <c r="B83" s="53" t="s">
        <v>558</v>
      </c>
      <c r="C83" s="61">
        <v>280.004</v>
      </c>
      <c r="D83" s="52"/>
      <c r="E83" s="52"/>
      <c r="F83" s="52"/>
      <c r="G83" s="52"/>
      <c r="H83" s="54"/>
      <c r="I83" s="53"/>
      <c r="J83" s="53"/>
    </row>
    <row r="84">
      <c r="B84" s="53" t="s">
        <v>559</v>
      </c>
      <c r="C84" s="61">
        <v>-186.752</v>
      </c>
      <c r="D84" s="52"/>
      <c r="E84" s="52"/>
      <c r="F84" s="52"/>
      <c r="G84" s="52"/>
      <c r="H84" s="54"/>
      <c r="I84" s="53"/>
      <c r="J84" s="53"/>
    </row>
    <row r="85">
      <c r="B85" s="53" t="s">
        <v>560</v>
      </c>
      <c r="C85" s="61">
        <v>335.3</v>
      </c>
      <c r="D85" s="52"/>
      <c r="E85" s="52"/>
      <c r="F85" s="52"/>
      <c r="G85" s="52"/>
      <c r="H85" s="54"/>
      <c r="I85" s="53"/>
      <c r="J85" s="53"/>
    </row>
    <row r="86">
      <c r="B86" s="53"/>
      <c r="C86" s="52"/>
      <c r="D86" s="52"/>
      <c r="E86" s="52"/>
      <c r="F86" s="52"/>
      <c r="G86" s="52"/>
      <c r="H86" s="54"/>
      <c r="I86" s="53"/>
      <c r="J86" s="53"/>
    </row>
    <row r="87">
      <c r="B87" s="53"/>
      <c r="C87" s="52"/>
      <c r="D87" s="52"/>
      <c r="E87" s="52"/>
      <c r="F87" s="52"/>
      <c r="G87" s="52"/>
      <c r="H87" s="54"/>
      <c r="I87" s="53"/>
      <c r="J87" s="53"/>
    </row>
    <row r="88">
      <c r="B88" s="53"/>
      <c r="C88" s="52"/>
      <c r="D88" s="52"/>
      <c r="E88" s="52"/>
      <c r="F88" s="52"/>
      <c r="G88" s="52"/>
      <c r="H88" s="54"/>
      <c r="I88" s="53"/>
      <c r="J88" s="53"/>
    </row>
    <row r="89">
      <c r="B89" s="53" t="s">
        <v>561</v>
      </c>
      <c r="C89" s="52"/>
      <c r="D89" s="52"/>
      <c r="E89" s="52"/>
      <c r="F89" s="52"/>
      <c r="G89" s="52"/>
      <c r="H89" s="54"/>
      <c r="I89" s="53"/>
      <c r="J89" s="53"/>
    </row>
    <row r="90">
      <c r="B90" s="53" t="s">
        <v>562</v>
      </c>
      <c r="C90" s="61">
        <v>639.363</v>
      </c>
      <c r="D90" s="52"/>
      <c r="E90" s="52"/>
      <c r="F90" s="52"/>
      <c r="G90" s="52"/>
      <c r="H90" s="54"/>
      <c r="I90" s="53"/>
      <c r="J90" s="53"/>
    </row>
    <row r="91">
      <c r="B91" s="53" t="s">
        <v>563</v>
      </c>
      <c r="C91" s="61">
        <v>86.121</v>
      </c>
      <c r="D91" s="52"/>
      <c r="E91" s="52"/>
      <c r="F91" s="52"/>
      <c r="G91" s="52"/>
      <c r="H91" s="54"/>
      <c r="I91" s="53"/>
      <c r="J91" s="53"/>
    </row>
    <row r="92">
      <c r="B92" s="53" t="s">
        <v>564</v>
      </c>
      <c r="C92" s="61">
        <v>107.33</v>
      </c>
      <c r="D92" s="52"/>
      <c r="E92" s="52"/>
      <c r="F92" s="52"/>
      <c r="G92" s="52"/>
      <c r="H92" s="54"/>
      <c r="I92" s="53"/>
      <c r="J92" s="53"/>
    </row>
    <row r="93">
      <c r="B93" s="53" t="s">
        <v>565</v>
      </c>
      <c r="C93" s="61">
        <v>281.588</v>
      </c>
      <c r="D93" s="52"/>
      <c r="E93" s="52"/>
      <c r="F93" s="52"/>
      <c r="G93" s="52"/>
      <c r="H93" s="54"/>
      <c r="I93" s="53"/>
      <c r="J93" s="53"/>
    </row>
    <row r="94">
      <c r="B94" s="53" t="s">
        <v>566</v>
      </c>
      <c r="C94" s="61">
        <v>389.108</v>
      </c>
      <c r="D94" s="52"/>
      <c r="E94" s="52"/>
      <c r="F94" s="52"/>
      <c r="G94" s="52"/>
      <c r="H94" s="54"/>
      <c r="I94" s="53"/>
      <c r="J94" s="53"/>
    </row>
    <row r="95">
      <c r="B95" s="53" t="s">
        <v>567</v>
      </c>
      <c r="C95" s="61">
        <v>100.845</v>
      </c>
      <c r="D95" s="52"/>
      <c r="E95" s="52"/>
      <c r="F95" s="52"/>
      <c r="G95" s="52"/>
      <c r="H95" s="54"/>
      <c r="I95" s="53"/>
      <c r="J95" s="53"/>
    </row>
    <row r="96">
      <c r="B96" s="53" t="s">
        <v>568</v>
      </c>
      <c r="C96" s="61">
        <v>45.82</v>
      </c>
      <c r="D96" s="52"/>
      <c r="E96" s="52"/>
      <c r="F96" s="52"/>
      <c r="G96" s="52"/>
      <c r="H96" s="54"/>
      <c r="I96" s="53"/>
      <c r="J96" s="53"/>
    </row>
    <row r="97">
      <c r="B97" s="53" t="s">
        <v>569</v>
      </c>
      <c r="C97" s="61">
        <v>11.139</v>
      </c>
      <c r="D97" s="52"/>
      <c r="E97" s="52"/>
      <c r="F97" s="52"/>
      <c r="G97" s="52"/>
      <c r="H97" s="54"/>
      <c r="I97" s="53"/>
      <c r="J97" s="53"/>
    </row>
    <row r="98">
      <c r="B98" s="53" t="s">
        <v>570</v>
      </c>
      <c r="C98" s="61">
        <v>67.268</v>
      </c>
      <c r="D98" s="52"/>
      <c r="E98" s="52"/>
      <c r="F98" s="52"/>
      <c r="G98" s="52"/>
      <c r="H98" s="54"/>
      <c r="I98" s="53"/>
      <c r="J98" s="53"/>
    </row>
    <row r="99">
      <c r="B99" s="53" t="s">
        <v>571</v>
      </c>
      <c r="C99" s="61">
        <v>4.911</v>
      </c>
      <c r="D99" s="52"/>
      <c r="E99" s="52"/>
      <c r="F99" s="52"/>
      <c r="G99" s="52"/>
      <c r="H99" s="54"/>
      <c r="I99" s="53"/>
      <c r="J99" s="53"/>
    </row>
    <row r="100">
      <c r="B100" s="53"/>
      <c r="C100" s="52"/>
      <c r="D100" s="52"/>
      <c r="E100" s="52"/>
      <c r="F100" s="52"/>
      <c r="G100" s="52"/>
      <c r="H100" s="54"/>
      <c r="I100" s="53"/>
      <c r="J100" s="53"/>
    </row>
    <row r="101">
      <c r="B101" s="53"/>
      <c r="C101" s="52"/>
      <c r="D101" s="52"/>
      <c r="E101" s="52"/>
      <c r="F101" s="52"/>
      <c r="G101" s="52"/>
      <c r="H101" s="54"/>
      <c r="I101" s="53"/>
      <c r="J101" s="53"/>
    </row>
    <row r="102">
      <c r="B102" s="53" t="s">
        <v>572</v>
      </c>
      <c r="C102" s="52"/>
      <c r="D102" s="52"/>
      <c r="E102" s="52"/>
      <c r="F102" s="52"/>
      <c r="G102" s="52"/>
      <c r="H102" s="54"/>
      <c r="I102" s="53"/>
      <c r="J102" s="53"/>
    </row>
    <row r="103">
      <c r="B103" s="53" t="s">
        <v>57</v>
      </c>
      <c r="C103" s="61">
        <v>1455.6</v>
      </c>
      <c r="D103" s="52"/>
      <c r="E103" s="52"/>
      <c r="F103" s="52"/>
      <c r="G103" s="52"/>
      <c r="H103" s="54"/>
      <c r="I103" s="53"/>
      <c r="J103" s="53"/>
    </row>
    <row r="104">
      <c r="B104" s="53" t="s">
        <v>62</v>
      </c>
      <c r="C104" s="61">
        <v>300.091</v>
      </c>
      <c r="D104" s="52"/>
      <c r="E104" s="52"/>
      <c r="F104" s="52"/>
      <c r="G104" s="52"/>
      <c r="H104" s="54"/>
      <c r="I104" s="53"/>
      <c r="J104" s="53"/>
    </row>
    <row r="105">
      <c r="B105" s="53" t="s">
        <v>63</v>
      </c>
      <c r="C105" s="61">
        <v>222.507</v>
      </c>
      <c r="D105" s="52"/>
      <c r="E105" s="52"/>
      <c r="F105" s="52"/>
      <c r="G105" s="52"/>
      <c r="H105" s="54"/>
      <c r="I105" s="53"/>
      <c r="J105" s="53"/>
    </row>
    <row r="106">
      <c r="B106" s="53" t="s">
        <v>64</v>
      </c>
      <c r="C106" s="61">
        <v>278.363</v>
      </c>
      <c r="D106" s="52"/>
      <c r="E106" s="52"/>
      <c r="F106" s="52"/>
      <c r="G106" s="52"/>
      <c r="H106" s="54"/>
      <c r="I106" s="53"/>
      <c r="J106" s="53"/>
    </row>
    <row r="107">
      <c r="B107" s="53" t="s">
        <v>65</v>
      </c>
      <c r="C107" s="61">
        <v>192.378</v>
      </c>
      <c r="D107" s="52"/>
      <c r="E107" s="52"/>
      <c r="F107" s="52"/>
      <c r="G107" s="52"/>
      <c r="H107" s="54"/>
      <c r="I107" s="53"/>
      <c r="J107" s="53"/>
    </row>
    <row r="108">
      <c r="B108" s="53" t="s">
        <v>139</v>
      </c>
      <c r="C108" s="61">
        <v>56.618</v>
      </c>
      <c r="D108" s="52"/>
      <c r="E108" s="52"/>
      <c r="F108" s="52"/>
      <c r="G108" s="52"/>
      <c r="H108" s="54"/>
      <c r="I108" s="53"/>
      <c r="J108" s="53"/>
    </row>
    <row r="109">
      <c r="B109" s="53" t="s">
        <v>140</v>
      </c>
      <c r="C109" s="61">
        <v>71.413</v>
      </c>
      <c r="D109" s="52"/>
      <c r="E109" s="52"/>
      <c r="F109" s="52"/>
      <c r="G109" s="52"/>
      <c r="H109" s="54"/>
      <c r="I109" s="53"/>
      <c r="J109" s="53"/>
    </row>
    <row r="110">
      <c r="B110" s="53" t="s">
        <v>141</v>
      </c>
      <c r="C110" s="61">
        <v>48.576</v>
      </c>
      <c r="D110" s="52"/>
      <c r="E110" s="52"/>
      <c r="F110" s="52"/>
      <c r="G110" s="52"/>
      <c r="H110" s="54"/>
      <c r="I110" s="53"/>
      <c r="J110" s="53"/>
    </row>
    <row r="111">
      <c r="B111" s="53" t="s">
        <v>142</v>
      </c>
      <c r="C111" s="61">
        <v>13.784</v>
      </c>
      <c r="D111" s="52"/>
      <c r="E111" s="52"/>
      <c r="F111" s="52"/>
      <c r="G111" s="52"/>
      <c r="H111" s="54"/>
      <c r="I111" s="53"/>
      <c r="J111" s="53"/>
    </row>
    <row r="112">
      <c r="B112" s="53" t="s">
        <v>143</v>
      </c>
      <c r="C112" s="61">
        <v>8.131</v>
      </c>
      <c r="D112" s="52"/>
      <c r="E112" s="52"/>
      <c r="F112" s="52"/>
      <c r="G112" s="52"/>
      <c r="H112" s="54"/>
      <c r="I112" s="53"/>
      <c r="J112" s="53"/>
    </row>
    <row r="113">
      <c r="B113" s="53" t="s">
        <v>144</v>
      </c>
      <c r="C113" s="61">
        <v>34.109</v>
      </c>
      <c r="D113" s="52"/>
      <c r="E113" s="52"/>
      <c r="F113" s="52"/>
      <c r="G113" s="52"/>
      <c r="H113" s="54"/>
      <c r="I113" s="53"/>
      <c r="J113" s="53"/>
    </row>
    <row r="114">
      <c r="B114" s="53" t="s">
        <v>145</v>
      </c>
      <c r="C114" s="61">
        <v>11.139</v>
      </c>
      <c r="D114" s="52"/>
      <c r="E114" s="52"/>
      <c r="F114" s="52"/>
      <c r="G114" s="52"/>
      <c r="H114" s="54"/>
      <c r="I114" s="53"/>
      <c r="J114" s="53"/>
    </row>
    <row r="115">
      <c r="B115" s="53" t="s">
        <v>573</v>
      </c>
      <c r="C115" s="61">
        <v>0.349</v>
      </c>
      <c r="D115" s="52"/>
      <c r="E115" s="52"/>
      <c r="F115" s="52"/>
      <c r="G115" s="52"/>
      <c r="H115" s="54"/>
      <c r="I115" s="53"/>
      <c r="J115" s="53"/>
    </row>
    <row r="116">
      <c r="B116" s="53"/>
      <c r="C116" s="52"/>
      <c r="D116" s="52"/>
      <c r="E116" s="52"/>
      <c r="F116" s="52"/>
      <c r="G116" s="52"/>
      <c r="H116" s="54"/>
      <c r="I116" s="53"/>
      <c r="J116" s="53"/>
    </row>
    <row r="117">
      <c r="B117" s="53"/>
      <c r="C117" s="52"/>
      <c r="D117" s="52"/>
      <c r="E117" s="52"/>
      <c r="F117" s="52"/>
      <c r="G117" s="52"/>
      <c r="H117" s="54"/>
      <c r="I117" s="53"/>
      <c r="J117" s="53"/>
    </row>
    <row r="118">
      <c r="B118" s="53"/>
      <c r="C118" s="52"/>
      <c r="D118" s="52"/>
      <c r="E118" s="52"/>
      <c r="F118" s="52"/>
      <c r="G118" s="52"/>
      <c r="H118" s="54"/>
      <c r="I118" s="53"/>
      <c r="J118" s="53"/>
    </row>
    <row r="119">
      <c r="B119" s="53"/>
      <c r="C119" s="52"/>
      <c r="D119" s="52"/>
      <c r="E119" s="52"/>
      <c r="F119" s="52"/>
      <c r="G119" s="52"/>
      <c r="H119" s="54"/>
      <c r="I119" s="53"/>
      <c r="J119" s="53"/>
    </row>
    <row r="120">
      <c r="B120" s="53" t="s">
        <v>574</v>
      </c>
      <c r="C120" s="52" t="s">
        <v>575</v>
      </c>
      <c r="D120" s="52" t="s">
        <v>576</v>
      </c>
      <c r="E120" s="52" t="s">
        <v>577</v>
      </c>
      <c r="F120" s="52"/>
      <c r="G120" s="52"/>
      <c r="H120" s="54"/>
      <c r="I120" s="53"/>
      <c r="J120" s="53"/>
    </row>
    <row r="121">
      <c r="B121" s="53" t="s">
        <v>323</v>
      </c>
      <c r="C121" s="61">
        <v>724.598</v>
      </c>
      <c r="D121" s="61">
        <v>575.85</v>
      </c>
      <c r="E121" s="61">
        <v>582.666</v>
      </c>
      <c r="F121" s="52"/>
      <c r="G121" s="52"/>
      <c r="H121" s="54"/>
      <c r="I121" s="53"/>
      <c r="J121" s="53"/>
    </row>
    <row r="122">
      <c r="B122" s="53" t="s">
        <v>324</v>
      </c>
      <c r="C122" s="61">
        <v>-179.25</v>
      </c>
      <c r="D122" s="61">
        <v>-146.584</v>
      </c>
      <c r="E122" s="61">
        <v>-181.64</v>
      </c>
      <c r="F122" s="52"/>
      <c r="G122" s="52"/>
      <c r="H122" s="54"/>
      <c r="I122" s="53"/>
      <c r="J122" s="53"/>
    </row>
    <row r="123">
      <c r="B123" s="53" t="s">
        <v>326</v>
      </c>
      <c r="C123" s="61">
        <v>-155.482</v>
      </c>
      <c r="D123" s="61">
        <v>-146.001</v>
      </c>
      <c r="E123" s="61">
        <v>-178.941</v>
      </c>
      <c r="F123" s="52"/>
      <c r="G123" s="52"/>
      <c r="H123" s="54"/>
      <c r="I123" s="53"/>
      <c r="J123" s="53"/>
    </row>
    <row r="124">
      <c r="B124" s="53" t="s">
        <v>330</v>
      </c>
      <c r="C124" s="61">
        <v>-435.716</v>
      </c>
      <c r="D124" s="61">
        <v>-493.156</v>
      </c>
      <c r="E124" s="61">
        <v>-487.252</v>
      </c>
      <c r="F124" s="52"/>
      <c r="G124" s="52"/>
      <c r="H124" s="54"/>
      <c r="I124" s="53"/>
      <c r="J124" s="53"/>
    </row>
    <row r="125">
      <c r="B125" s="53" t="s">
        <v>578</v>
      </c>
      <c r="C125" s="61">
        <v>10.349</v>
      </c>
      <c r="D125" s="61">
        <v>12.725</v>
      </c>
      <c r="E125" s="61">
        <v>14.428</v>
      </c>
      <c r="F125" s="52"/>
      <c r="G125" s="52"/>
      <c r="H125" s="54"/>
      <c r="I125" s="53"/>
      <c r="J125" s="53"/>
    </row>
    <row r="126">
      <c r="B126" s="53"/>
      <c r="C126" s="52"/>
      <c r="D126" s="52"/>
      <c r="E126" s="52"/>
      <c r="F126" s="52"/>
      <c r="G126" s="52"/>
      <c r="H126" s="54"/>
      <c r="I126" s="53"/>
      <c r="J126" s="53"/>
    </row>
    <row r="127">
      <c r="B127" s="53" t="s">
        <v>579</v>
      </c>
      <c r="C127" s="95">
        <v>0.00001</v>
      </c>
      <c r="D127" s="52"/>
      <c r="E127" s="52"/>
      <c r="F127" s="52"/>
      <c r="G127" s="52"/>
      <c r="H127" s="54"/>
      <c r="I127" s="53"/>
      <c r="J127" s="53"/>
    </row>
    <row r="128">
      <c r="B128" s="53" t="s">
        <v>580</v>
      </c>
      <c r="C128" s="102">
        <v>1</v>
      </c>
      <c r="D128" s="52"/>
      <c r="E128" s="52"/>
      <c r="F128" s="52"/>
      <c r="G128" s="52"/>
      <c r="H128" s="54"/>
      <c r="I128" s="53"/>
      <c r="J128" s="53"/>
    </row>
    <row r="129">
      <c r="B129" s="53"/>
      <c r="C129" s="52"/>
      <c r="D129" s="52"/>
      <c r="E129" s="52"/>
      <c r="F129" s="52"/>
      <c r="G129" s="52"/>
      <c r="H129" s="54"/>
      <c r="I129" s="53"/>
      <c r="J129" s="53"/>
    </row>
    <row r="130">
      <c r="B130" s="53"/>
      <c r="C130" s="52"/>
      <c r="D130" s="52"/>
      <c r="E130" s="52"/>
      <c r="F130" s="52"/>
      <c r="G130" s="52"/>
      <c r="H130" s="54"/>
      <c r="I130" s="53"/>
      <c r="J130" s="53"/>
    </row>
    <row r="131">
      <c r="B131" s="53"/>
      <c r="C131" s="52"/>
      <c r="D131" s="52"/>
      <c r="E131" s="52"/>
      <c r="F131" s="52"/>
      <c r="G131" s="52"/>
      <c r="H131" s="54"/>
      <c r="I131" s="53"/>
      <c r="J131" s="53"/>
    </row>
    <row r="132">
      <c r="B132" s="53"/>
      <c r="C132" s="52"/>
      <c r="D132" s="52"/>
      <c r="E132" s="52"/>
      <c r="F132" s="52"/>
      <c r="G132" s="52"/>
      <c r="H132" s="54"/>
      <c r="I132" s="53"/>
      <c r="J132" s="53"/>
    </row>
    <row r="133">
      <c r="B133" s="53"/>
      <c r="C133" s="52"/>
      <c r="D133" s="52"/>
      <c r="E133" s="52"/>
      <c r="F133" s="52"/>
      <c r="G133" s="52"/>
      <c r="H133" s="54"/>
      <c r="I133" s="53"/>
      <c r="J133" s="53"/>
    </row>
    <row r="134">
      <c r="B134" s="53"/>
      <c r="C134" s="52"/>
      <c r="D134" s="52"/>
      <c r="E134" s="52"/>
      <c r="F134" s="52"/>
      <c r="G134" s="52"/>
      <c r="H134" s="54"/>
      <c r="I134" s="53"/>
      <c r="J134" s="53"/>
    </row>
    <row r="135">
      <c r="B135" s="53"/>
      <c r="C135" s="52"/>
      <c r="D135" s="52"/>
      <c r="E135" s="52"/>
      <c r="F135" s="52"/>
      <c r="G135" s="52"/>
      <c r="H135" s="54"/>
      <c r="I135" s="53"/>
      <c r="J135" s="53"/>
    </row>
    <row r="136">
      <c r="B136" s="53"/>
      <c r="C136" s="52"/>
      <c r="D136" s="52"/>
      <c r="E136" s="52"/>
      <c r="F136" s="52"/>
      <c r="G136" s="52"/>
      <c r="H136" s="54"/>
      <c r="I136" s="53"/>
      <c r="J136" s="53"/>
    </row>
    <row r="137">
      <c r="B137" s="53"/>
      <c r="C137" s="52"/>
      <c r="D137" s="52"/>
      <c r="E137" s="52"/>
      <c r="F137" s="52"/>
      <c r="G137" s="52"/>
      <c r="H137" s="54"/>
      <c r="I137" s="53"/>
      <c r="J137" s="53"/>
    </row>
    <row r="138">
      <c r="B138" s="53"/>
      <c r="C138" s="52"/>
      <c r="D138" s="52"/>
      <c r="E138" s="52"/>
      <c r="F138" s="52"/>
      <c r="G138" s="52"/>
      <c r="H138" s="54"/>
      <c r="I138" s="53"/>
      <c r="J138" s="53"/>
    </row>
    <row r="139">
      <c r="B139" s="53"/>
      <c r="C139" s="52"/>
      <c r="D139" s="52"/>
      <c r="E139" s="52"/>
      <c r="F139" s="52"/>
      <c r="G139" s="52"/>
      <c r="H139" s="54"/>
      <c r="I139" s="53"/>
      <c r="J139" s="53"/>
    </row>
  </sheetData>
  <legacyDrawing r:id="rId2"/>
</worksheet>
</file>