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Cloud Memory" sheetId="3" r:id="rId4"/>
    <sheet name="Segment - Core Data Center" sheetId="4" r:id="rId5"/>
    <sheet name="Segment - Mobile and Client" sheetId="5" r:id="rId6"/>
    <sheet name="Segment - Automotive &amp; Embedded" sheetId="6" r:id="rId7"/>
    <sheet name="Income Statement" sheetId="7" r:id="rId8"/>
    <sheet name="Balance Sheet" sheetId="8" r:id="rId9"/>
    <sheet name="Cash Flow Statement" sheetId="9" r:id="rId10"/>
    <sheet name="Geo" sheetId="10" r:id="rId11"/>
    <sheet name="Share Count" sheetId="11" r:id="rId12"/>
    <sheet name="Guidance" sheetId="12" r:id="rId13"/>
    <sheet name="Sources" sheetId="13" r:id="rId14"/>
    <sheet name="Inputs" sheetId="14" r:id="rId15"/>
  </sheets>
  <calcPr calcId="0"/>
</workbook>
</file>

<file path=xl/sharedStrings.xml><?xml version="1.0" encoding="utf-8"?>
<sst xmlns="http://schemas.openxmlformats.org/spreadsheetml/2006/main" count="1062" uniqueCount="545">
  <si>
    <t>Micron Technology, Inc.</t>
  </si>
  <si>
    <t>Cover</t>
  </si>
  <si>
    <t>$ millions, except per share</t>
  </si>
  <si>
    <t>Period</t>
  </si>
  <si>
    <t>4Q25A</t>
  </si>
  <si>
    <t>FY25A</t>
  </si>
  <si>
    <t>1Q26A</t>
  </si>
  <si>
    <t>2Q26A</t>
  </si>
  <si>
    <t>3Q26A</t>
  </si>
  <si>
    <t>4Q26E</t>
  </si>
  <si>
    <t>Period end</t>
  </si>
  <si>
    <t>Days in period</t>
  </si>
  <si>
    <t>Company Model — built by Shortcut</t>
  </si>
  <si>
    <t>Company</t>
  </si>
  <si>
    <t>Ticker</t>
  </si>
  <si>
    <t>MU</t>
  </si>
  <si>
    <t>Exchange</t>
  </si>
  <si>
    <t>Nasdaq Global Select Market</t>
  </si>
  <si>
    <t>Fiscal year end</t>
  </si>
  <si>
    <t>Thursday closest to Aug 31</t>
  </si>
  <si>
    <t>Reporting currency</t>
  </si>
  <si>
    <t>USD</t>
  </si>
  <si>
    <t>EPS basis</t>
  </si>
  <si>
    <t>Normalized diluted per common share</t>
  </si>
  <si>
    <t>Information cutoff UTC</t>
  </si>
  <si>
    <t>2026-09-26T18:44:22Z</t>
  </si>
  <si>
    <t>Expected report date</t>
  </si>
  <si>
    <t>CapIQ captured date</t>
  </si>
  <si>
    <t>2026-09-24 (date only)</t>
  </si>
  <si>
    <t>Issuer actual FY26 year end</t>
  </si>
  <si>
    <t>2026-09-03 (53-week FY)</t>
  </si>
  <si>
    <t>CapIQ target month-end label</t>
  </si>
  <si>
    <t>2026-08-31 (issuer closes Sep 03)</t>
  </si>
  <si>
    <t>FQ4 2026 FORECAST VS 24 SEP CONSENSUS</t>
  </si>
  <si>
    <t>Notes</t>
  </si>
  <si>
    <t>Metric</t>
  </si>
  <si>
    <t>Estimate</t>
  </si>
  <si>
    <t>Consensus</t>
  </si>
  <si>
    <t>Variance</t>
  </si>
  <si>
    <t>Guide midpoint</t>
  </si>
  <si>
    <t>vs guidance</t>
  </si>
  <si>
    <t>Issuer does not guide net income; Sep 03 is the true 14-week fiscal close; CapIQ uses Aug 31 label.</t>
  </si>
  <si>
    <t>Revenue ($m)</t>
  </si>
  <si>
    <t>Normalized net income ($m)</t>
  </si>
  <si>
    <t>unavailable</t>
  </si>
  <si>
    <t>Normalized diluted EPS</t>
  </si>
  <si>
    <t>GAAP net income ($m)</t>
  </si>
  <si>
    <t>GAAP diluted EPS</t>
  </si>
  <si>
    <t>Sourced actual + forecast BS checks</t>
  </si>
  <si>
    <t>Cover-statement revenue check</t>
  </si>
  <si>
    <t>Cover-statement EPS check</t>
  </si>
  <si>
    <t>P(beat consensus EPS)</t>
  </si>
  <si>
    <t>Confidence</t>
  </si>
  <si>
    <t>Revenue summary</t>
  </si>
  <si>
    <t>REVENUE BY MEMORY TECHNOLOGY</t>
  </si>
  <si>
    <t>DRAM products</t>
  </si>
  <si>
    <t xml:space="preserve">  % Y/Y</t>
  </si>
  <si>
    <t xml:space="preserve">  % Q/Q</t>
  </si>
  <si>
    <t xml:space="preserve">  Organic Y/Y</t>
  </si>
  <si>
    <t xml:space="preserve">  M&amp;A / scope Y/Y</t>
  </si>
  <si>
    <t xml:space="preserve">  FX Y/Y</t>
  </si>
  <si>
    <t xml:space="preserve">  Total Y/Y</t>
  </si>
  <si>
    <t>NAND products</t>
  </si>
  <si>
    <t>Other products (primarily NOR)</t>
  </si>
  <si>
    <t>Technology revenue subtotal</t>
  </si>
  <si>
    <t>Technology vs segments check</t>
  </si>
  <si>
    <t>FY25/FY26 prior-quarter technology amounts are separately reported; forecast NOR is the residual of assumed DRAM and NAND to constructed unit revenue; Q4 zero is an allocation identity.</t>
  </si>
  <si>
    <t>REVENUE BY REPORTABLE SEGMENT</t>
  </si>
  <si>
    <t>Cloud Memory</t>
  </si>
  <si>
    <t xml:space="preserve">  % of total</t>
  </si>
  <si>
    <t>Core Data Center</t>
  </si>
  <si>
    <t>Mobile and Client</t>
  </si>
  <si>
    <t>Automotive and Embedded</t>
  </si>
  <si>
    <t>All other</t>
  </si>
  <si>
    <t>Total consolidated revenue</t>
  </si>
  <si>
    <t>Segment total vs reported / FY26 construction</t>
  </si>
  <si>
    <t>C:G reconciles independently to CapIQ revenue / audited FY25 revenue Inputs!L86; H compares two modeled sums and is only a construction identity.</t>
  </si>
  <si>
    <t>Data center segment subtotal</t>
  </si>
  <si>
    <t>Consumer + auto segment subtotal</t>
  </si>
  <si>
    <t>All-business-unit revenue</t>
  </si>
  <si>
    <t>Reconcile sum of segment shares</t>
  </si>
  <si>
    <t xml:space="preserve">  All other: % of total revenue</t>
  </si>
  <si>
    <t>SEGMENT REVENUE GROWTH DECOMPOSITION</t>
  </si>
  <si>
    <t>Cloud Memory — revenue growth</t>
  </si>
  <si>
    <t xml:space="preserve">  FX impact Y/Y</t>
  </si>
  <si>
    <t>Core Data Center — revenue growth</t>
  </si>
  <si>
    <t>Mobile and Client — revenue growth</t>
  </si>
  <si>
    <t>Automotive and Embedded — revenue growth</t>
  </si>
  <si>
    <t>All other — revenue growth</t>
  </si>
  <si>
    <t>ABSOLUTE SEQUENTIAL REVENUE &amp; MIX</t>
  </si>
  <si>
    <t>DRAM Q/Q revenue change ($m)</t>
  </si>
  <si>
    <t>NAND Q/Q revenue change ($m)</t>
  </si>
  <si>
    <t>Other technology Q/Q change ($m)</t>
  </si>
  <si>
    <t>Cloud Memory Q/Q revenue change</t>
  </si>
  <si>
    <t xml:space="preserve">  Cloud mix change (bps)</t>
  </si>
  <si>
    <t>Core Data Center Q/Q change</t>
  </si>
  <si>
    <t xml:space="preserve">  Core mix change (bps)</t>
  </si>
  <si>
    <t>Mobile and Client Q/Q change</t>
  </si>
  <si>
    <t xml:space="preserve">  Mobile mix change (bps)</t>
  </si>
  <si>
    <t>Automotive and Embedded Q/Q change</t>
  </si>
  <si>
    <t xml:space="preserve">  Automotive mix change (bps)</t>
  </si>
  <si>
    <t>All other Q/Q revenue change</t>
  </si>
  <si>
    <t xml:space="preserve">  All other mix change (bps)</t>
  </si>
  <si>
    <t>Total revenue change Q/Q</t>
  </si>
  <si>
    <t>Segment changes less total change</t>
  </si>
  <si>
    <t>Segment - Cloud Memory</t>
  </si>
  <si>
    <t>SHIPMENT &amp; PRICING DRIVERS</t>
  </si>
  <si>
    <t>Previous-quarter revenue</t>
  </si>
  <si>
    <t>Daily revenue rate</t>
  </si>
  <si>
    <t>Days in forecast period</t>
  </si>
  <si>
    <t>Assumed bit shipment Q/Q (%)</t>
  </si>
  <si>
    <t xml:space="preserve">  Bit shipment change (bps)</t>
  </si>
  <si>
    <t>Assumed blended ASP Q/Q (%)</t>
  </si>
  <si>
    <t xml:space="preserve">  ASP change (basis points)</t>
  </si>
  <si>
    <t>Calendar-adjusted base revenue</t>
  </si>
  <si>
    <t>Incremental bit volume revenue</t>
  </si>
  <si>
    <t>Incremental ASP revenue</t>
  </si>
  <si>
    <t>Total segment revenue</t>
  </si>
  <si>
    <t xml:space="preserve">  Revenue growth Y/Y</t>
  </si>
  <si>
    <t xml:space="preserve">  Revenue growth Q/Q</t>
  </si>
  <si>
    <t xml:space="preserve">  % of consolidated revenue</t>
  </si>
  <si>
    <t xml:space="preserve">  Organic growth Y/Y</t>
  </si>
  <si>
    <t xml:space="preserve">  M&amp;A / scope growth Y/Y</t>
  </si>
  <si>
    <t xml:space="preserve">  Total revenue growth Y/Y</t>
  </si>
  <si>
    <t>SEGMENT PROFITABILITY</t>
  </si>
  <si>
    <t>Cost of goods sold</t>
  </si>
  <si>
    <t>Gross profit</t>
  </si>
  <si>
    <t xml:space="preserve">  Gross margin</t>
  </si>
  <si>
    <t xml:space="preserve">  Gross margin Δ (bps)</t>
  </si>
  <si>
    <t>Research &amp; development</t>
  </si>
  <si>
    <t>Selling, general &amp; admin.</t>
  </si>
  <si>
    <t>Other operating expenses</t>
  </si>
  <si>
    <t>Operating profit</t>
  </si>
  <si>
    <t xml:space="preserve">  Operating margin</t>
  </si>
  <si>
    <t xml:space="preserve">  Operating margin Δ (bps)</t>
  </si>
  <si>
    <t xml:space="preserve">  Operating profit Y/Y</t>
  </si>
  <si>
    <t xml:space="preserve">  Operating profit Q/Q</t>
  </si>
  <si>
    <t>INDEXED VOLUME &amp; REALISED PRICE (MODEL ONLY)</t>
  </si>
  <si>
    <t>Historic 4Q25 COGS, expenses and profit derive from audited FY25 segment totals less SEC FY25 nine-month comparative amounts; indexed forecast bit volume is not physical units.</t>
  </si>
  <si>
    <t>Opening shipment index</t>
  </si>
  <si>
    <t>Gross positive bit change</t>
  </si>
  <si>
    <t>Negative bit change (not churn)</t>
  </si>
  <si>
    <t>Net shipment-index change</t>
  </si>
  <si>
    <t>Closing shipment index</t>
  </si>
  <si>
    <t>Average shipment index</t>
  </si>
  <si>
    <t xml:space="preserve">  Index sequential change</t>
  </si>
  <si>
    <t xml:space="preserve">  Index sequential growth</t>
  </si>
  <si>
    <t>Realised ASP price index (x)</t>
  </si>
  <si>
    <t xml:space="preserve">  ASP index sequential change (%)</t>
  </si>
  <si>
    <t>Absolute unit shipments unavailable</t>
  </si>
  <si>
    <t>4Q25 segment operating income recon</t>
  </si>
  <si>
    <t>Revenue Q/Q change ($m)</t>
  </si>
  <si>
    <t xml:space="preserve">  Revenue mix Δ (bps)</t>
  </si>
  <si>
    <t>Revenue Y/Y change ($m)</t>
  </si>
  <si>
    <t>Segment - Core Data Center</t>
  </si>
  <si>
    <t>Segment - Mobile and Client</t>
  </si>
  <si>
    <t>Segment - Automotive &amp; Embedded</t>
  </si>
  <si>
    <t>Income Statement</t>
  </si>
  <si>
    <t>GAAP CONSOLIDATED STATEMENT</t>
  </si>
  <si>
    <t>Revenue</t>
  </si>
  <si>
    <t>Restructure and impairments</t>
  </si>
  <si>
    <t>Total operating expenses</t>
  </si>
  <si>
    <t>Operating income</t>
  </si>
  <si>
    <t>Interest income</t>
  </si>
  <si>
    <t>Interest expense (negative)</t>
  </si>
  <si>
    <t>Other nonoperating income (expense)</t>
  </si>
  <si>
    <t>Income before income taxes</t>
  </si>
  <si>
    <t>Income tax expense (negative)</t>
  </si>
  <si>
    <t xml:space="preserve">  Effective tax rate</t>
  </si>
  <si>
    <t>Equity method earnings (loss)</t>
  </si>
  <si>
    <t>GAAP net income</t>
  </si>
  <si>
    <t>Weighted-average basic shares</t>
  </si>
  <si>
    <t>Weighted-average GAAP diluted shares</t>
  </si>
  <si>
    <t>GAAP EPS calculation check</t>
  </si>
  <si>
    <t>GAAP TO NORMALIZED BRIDGE</t>
  </si>
  <si>
    <t>GAAP net income (bridge)</t>
  </si>
  <si>
    <t>Add: share-based compensation</t>
  </si>
  <si>
    <t>Add: loss on debt prepayment</t>
  </si>
  <si>
    <t>Add: restructuring/impairment</t>
  </si>
  <si>
    <t>Add: patent license expense</t>
  </si>
  <si>
    <t>Add: other adjustments</t>
  </si>
  <si>
    <t>Less: adjustment tax effects</t>
  </si>
  <si>
    <t>Normalized net income</t>
  </si>
  <si>
    <t>Additional non-GAAP diluted shares</t>
  </si>
  <si>
    <t>Normalized weighted diluted shares</t>
  </si>
  <si>
    <t xml:space="preserve">  Difference: normalized - GAAP EPS</t>
  </si>
  <si>
    <t>Normalized EPS vs supplied history</t>
  </si>
  <si>
    <t>Forecast diluted EPS vs consensus</t>
  </si>
  <si>
    <t>Forecast revenue vs consensus</t>
  </si>
  <si>
    <t>Balance Sheet</t>
  </si>
  <si>
    <t>ASSETS</t>
  </si>
  <si>
    <t>Cash and equivalents</t>
  </si>
  <si>
    <t>Short-term investments</t>
  </si>
  <si>
    <t>Receivables</t>
  </si>
  <si>
    <t>Inventories</t>
  </si>
  <si>
    <t>Other current assets</t>
  </si>
  <si>
    <t>Total current assets</t>
  </si>
  <si>
    <t>Long-term marketable investments</t>
  </si>
  <si>
    <t>Property, plant and equipment</t>
  </si>
  <si>
    <t>Operating lease right-of-use assets</t>
  </si>
  <si>
    <t>Intangible assets</t>
  </si>
  <si>
    <t>Deferred tax assets</t>
  </si>
  <si>
    <t>Goodwill</t>
  </si>
  <si>
    <t>Other noncurrent assets / projection residual</t>
  </si>
  <si>
    <t>Total assets</t>
  </si>
  <si>
    <t>LIABILITIES</t>
  </si>
  <si>
    <t>Accounts payable and accruals</t>
  </si>
  <si>
    <t>Current debt</t>
  </si>
  <si>
    <t>Other current liabilities</t>
  </si>
  <si>
    <t>Total current liabilities</t>
  </si>
  <si>
    <t>Long-term debt</t>
  </si>
  <si>
    <t>Operating lease liabilities</t>
  </si>
  <si>
    <t>Noncurrent government incentives</t>
  </si>
  <si>
    <t>Other noncurrent liabilities</t>
  </si>
  <si>
    <t>Total liabilities</t>
  </si>
  <si>
    <t>EQUITY</t>
  </si>
  <si>
    <t>Common stock</t>
  </si>
  <si>
    <t>Additional paid-in capital</t>
  </si>
  <si>
    <t>Retained earnings</t>
  </si>
  <si>
    <t>Treasury stock (negative)</t>
  </si>
  <si>
    <t>Accumulated other comprehensive</t>
  </si>
  <si>
    <t>Total equity</t>
  </si>
  <si>
    <t>Total liabilities plus equity</t>
  </si>
  <si>
    <t>ASSETS - LIABILITIES - EQUITY</t>
  </si>
  <si>
    <t>Cash balance vs cash flow check</t>
  </si>
  <si>
    <t>Historical balance reported vs model</t>
  </si>
  <si>
    <t>Retained earnings increase</t>
  </si>
  <si>
    <t>Cash Flow Statement</t>
  </si>
  <si>
    <t>OPERATING CASH FLOWS</t>
  </si>
  <si>
    <t>Net income</t>
  </si>
  <si>
    <t>Depreciation / amortization</t>
  </si>
  <si>
    <t>Stock-based compensation</t>
  </si>
  <si>
    <t>Receivables movement</t>
  </si>
  <si>
    <t>Inventory movement</t>
  </si>
  <si>
    <t>Accounts payable movement</t>
  </si>
  <si>
    <t>Other current-liability movement</t>
  </si>
  <si>
    <t>Other noncurrent-liability movement</t>
  </si>
  <si>
    <t>Other operating movements / WC</t>
  </si>
  <si>
    <t>Net cash provided by operations</t>
  </si>
  <si>
    <t>CFO subtotal construction identity</t>
  </si>
  <si>
    <t>INVESTING CASH FLOWS</t>
  </si>
  <si>
    <t>Property &amp; equipment expenditures</t>
  </si>
  <si>
    <t>Investment, incentives and other</t>
  </si>
  <si>
    <t>Net cash used for investing</t>
  </si>
  <si>
    <t>FINANCING CASH FLOWS</t>
  </si>
  <si>
    <t>Share repurchase program</t>
  </si>
  <si>
    <t>Equity-award tax withholding</t>
  </si>
  <si>
    <t>Dividends paid</t>
  </si>
  <si>
    <t>Debt net proceeds / repayment</t>
  </si>
  <si>
    <t>Other financing flows</t>
  </si>
  <si>
    <t>Net cash from financing</t>
  </si>
  <si>
    <t>Effect of FX on cash</t>
  </si>
  <si>
    <t>Total cash change incl restricted</t>
  </si>
  <si>
    <t>Beginning cash incl restricted</t>
  </si>
  <si>
    <t>Ending cash incl restricted</t>
  </si>
  <si>
    <t>Restricted cash (reconciliation)</t>
  </si>
  <si>
    <t>Ending cash &amp; equivalents</t>
  </si>
  <si>
    <t>Linked ending cash identity</t>
  </si>
  <si>
    <t>Forecast BS cash is linked directly to this cash flow: H38:H39 are construction identities, not independent observations.</t>
  </si>
  <si>
    <t>Linked cash change identity</t>
  </si>
  <si>
    <t>Total cash check passes</t>
  </si>
  <si>
    <t>Receivables cash conversion check</t>
  </si>
  <si>
    <t>H41:H44 audit the written accounting relationships; independently sourced forecast cash, geography and target-quarter results do not yet exist.</t>
  </si>
  <si>
    <t>Payables cash conversion check</t>
  </si>
  <si>
    <t>PP&amp;E capital roll-forward check</t>
  </si>
  <si>
    <t>Other noncurrent assets / cash check</t>
  </si>
  <si>
    <t>Geo</t>
  </si>
  <si>
    <t>CUSTOMER HEADQUARTERS GEOGRAPHY</t>
  </si>
  <si>
    <t>U.S.</t>
  </si>
  <si>
    <t>Issuer Note 29 reports annual 2025 customer headquarters, not quarterly country revenue. Estimate preserves annual 2025 geographic shares; unavailable quarter splits are not invented.</t>
  </si>
  <si>
    <t xml:space="preserve">  % Y/Y (quarter unavailable)</t>
  </si>
  <si>
    <t xml:space="preserve">  Mix change (bps)</t>
  </si>
  <si>
    <t>Taiwan</t>
  </si>
  <si>
    <t>Mainland China (excluding Hong Kong)</t>
  </si>
  <si>
    <t>Other Asia Pacific</t>
  </si>
  <si>
    <t>Hong Kong</t>
  </si>
  <si>
    <t>Japan</t>
  </si>
  <si>
    <t>Europe</t>
  </si>
  <si>
    <t>Other</t>
  </si>
  <si>
    <t>Total disclosed geography</t>
  </si>
  <si>
    <t>FY25 reported tie / forecast mix identity</t>
  </si>
  <si>
    <t>D43 tests annual country amounts vs separately reported FY25 revenue. H43 is an identity because FY25 mix allocates forecast total; no independent FY26 country data exists.</t>
  </si>
  <si>
    <t>Historical quarterly geography not disclosed</t>
  </si>
  <si>
    <t>Share Count</t>
  </si>
  <si>
    <t>SHARE ROLL-FORWARD ($m / m shares)</t>
  </si>
  <si>
    <t>Share repurchases (cash; negative)</t>
  </si>
  <si>
    <t>Employee award withholding (cash)</t>
  </si>
  <si>
    <t>Share issuance (shares; unavailable)</t>
  </si>
  <si>
    <t>Change in weighted basic shares</t>
  </si>
  <si>
    <t>Share dilution attributable to equity awards</t>
  </si>
  <si>
    <t xml:space="preserve">  Basic shares sequential change</t>
  </si>
  <si>
    <t>Dilutive equity compensation</t>
  </si>
  <si>
    <t>Additional normalized diluted shares</t>
  </si>
  <si>
    <t>Weighted-average normalized diluted shares</t>
  </si>
  <si>
    <t>GAAP diluted vs basic share delta</t>
  </si>
  <si>
    <t>Normalized vs GAAP share delta</t>
  </si>
  <si>
    <t>Net income per basic share</t>
  </si>
  <si>
    <t>GAAP EPS denominator reconciliation</t>
  </si>
  <si>
    <t>Normalized EPS denominator reconciliation</t>
  </si>
  <si>
    <t>Guidance</t>
  </si>
  <si>
    <t>Published</t>
  </si>
  <si>
    <t>Target</t>
  </si>
  <si>
    <t>Basis</t>
  </si>
  <si>
    <t>Low</t>
  </si>
  <si>
    <t>High</t>
  </si>
  <si>
    <t>Midpoint</t>
  </si>
  <si>
    <t>Actual</t>
  </si>
  <si>
    <t>Beat / miss</t>
  </si>
  <si>
    <t>GAAP</t>
  </si>
  <si>
    <t>Gross margin</t>
  </si>
  <si>
    <t>non-GAAP</t>
  </si>
  <si>
    <t>Operating expense</t>
  </si>
  <si>
    <t>FQ4 2026 actual unavailable as of 2026-09-26 cutoff.</t>
  </si>
  <si>
    <t>Approximately 86% guidance is a point indication, not a guaranteed floor/ceiling.</t>
  </si>
  <si>
    <t>Sources</t>
  </si>
  <si>
    <t>ID</t>
  </si>
  <si>
    <t>Publisher</t>
  </si>
  <si>
    <t>URL or file</t>
  </si>
  <si>
    <t>What this feeds</t>
  </si>
  <si>
    <t>CAP01</t>
  </si>
  <si>
    <t>S&amp;P Capital IQ</t>
  </si>
  <si>
    <t>MU_history.csv</t>
  </si>
  <si>
    <t>Inputs!B9:I15; supplied revenue and EPS comparisons</t>
  </si>
  <si>
    <t>CAP02</t>
  </si>
  <si>
    <t>MU_consensus.json</t>
  </si>
  <si>
    <t>Inputs!B20:C73; Cover!C23:G27; latest available consensus</t>
  </si>
  <si>
    <t>SEC01</t>
  </si>
  <si>
    <t>Micron / SEC</t>
  </si>
  <si>
    <t>https://www.sec.gov/Archives/edgar/data/723125/000072312525000024/a2025q4ex991-pressrelease.htm</t>
  </si>
  <si>
    <t>FY2025 and Q4 2025 GAAP, segment results, EPS bridge and guidance</t>
  </si>
  <si>
    <t>SEC02</t>
  </si>
  <si>
    <t>https://www.sec.gov/Archives/edgar/data/723125/000072312525000028/mu-20250828.htm</t>
  </si>
  <si>
    <t>FY2025 10-K and 52-/53-week fiscal year basis</t>
  </si>
  <si>
    <t>SEC03</t>
  </si>
  <si>
    <t>https://www.sec.gov/Archives/edgar/data/723125/000072312525000044/a2026q1ex991-pressrelease.htm</t>
  </si>
  <si>
    <t>Fiscal Q1 results and Q2 guidance</t>
  </si>
  <si>
    <t>SEC04</t>
  </si>
  <si>
    <t>https://www.sec.gov/Archives/edgar/data/723125/000072312525000046/mu-20251127.htm</t>
  </si>
  <si>
    <t>Q1 2026 reportable segments, technology splits, CF and balance</t>
  </si>
  <si>
    <t>SEC05</t>
  </si>
  <si>
    <t>https://www.sec.gov/Archives/edgar/data/723125/000072312526000004/a2026q2ex991-pressrelease.htm</t>
  </si>
  <si>
    <t>Q2 2026 results and Q3 outlook</t>
  </si>
  <si>
    <t>SEC06</t>
  </si>
  <si>
    <t>https://www.sec.gov/Archives/edgar/data/723125/000072312526000006/mu-20260226.htm</t>
  </si>
  <si>
    <t>Q2 2026 segments, cash flow, B/S and DRAM/NAND revenues</t>
  </si>
  <si>
    <t>SEC07</t>
  </si>
  <si>
    <t>https://www.sec.gov/Archives/edgar/data/723125/000072312526000013/a2026q3ex991-pressrelease.htm</t>
  </si>
  <si>
    <t>Q3 2026 GAAP, bridge and 4Q26 company guidance</t>
  </si>
  <si>
    <t>SEC08</t>
  </si>
  <si>
    <t>https://www.sec.gov/Archives/edgar/data/723125/000072312526000015/mu-20260528.htm</t>
  </si>
  <si>
    <t>Four reportable units, revenue technologies, 53-week FY, 14-week Q4</t>
  </si>
  <si>
    <t>SEC09</t>
  </si>
  <si>
    <t>https://www.sec.gov/Archives/edgar/data/723125/000072312525000028/R36.htm</t>
  </si>
  <si>
    <t>FY2025 customer HQ geography; Geo!D10:D42</t>
  </si>
  <si>
    <t>SEC10</t>
  </si>
  <si>
    <t>https://www.sec.gov/Archives/edgar/data/723125/000072312525000028/R108.htm</t>
  </si>
  <si>
    <t>FY2025 reportable segment operating income and COGS</t>
  </si>
  <si>
    <t>IND01</t>
  </si>
  <si>
    <t>TrendForce</t>
  </si>
  <si>
    <t>https://www.trendforce.com/presscenter/news/20260907-13219.html</t>
  </si>
  <si>
    <t>Q3 CY26 DRAM price growth moderation; forecast ASP judgement</t>
  </si>
  <si>
    <t>PEER01</t>
  </si>
  <si>
    <t>SK hynix</t>
  </si>
  <si>
    <t>https://news.skhynix.com/en/q2-2026-business-results/</t>
  </si>
  <si>
    <t>Peer DRAM/NAND price, enterprise-SSD demand evidence</t>
  </si>
  <si>
    <t>NEWS01</t>
  </si>
  <si>
    <t>The Motley Fool</t>
  </si>
  <si>
    <t>https://www.fool.com/investing/2026/09/24/micron-stock-gets-a-big-wall-street-boost-ahead-of-earnings/</t>
  </si>
  <si>
    <t>Contemporaneous preview and tight memory-supply evidence</t>
  </si>
  <si>
    <t>NEWS02</t>
  </si>
  <si>
    <t>Market Review Hub / Citi</t>
  </si>
  <si>
    <t>https://marketreviewhub.com/citi-doubles-down-on-micron-stock-ahead-of-earnings/</t>
  </si>
  <si>
    <t>Citi estimate revision: $51bn revenue/$31.45 EPS; below attached $31.60 norm mean</t>
  </si>
  <si>
    <t>INPUT AUDIT &amp; PERIOD IDENTIFICATION</t>
  </si>
  <si>
    <t>MU_history.csv SHA256</t>
  </si>
  <si>
    <t>ccd35d98107c541b694c774102d13befc5f4462c6a9354e00f9c6654fa45d223</t>
  </si>
  <si>
    <t>MU_consensus.json SHA256</t>
  </si>
  <si>
    <t>dd7ba50acc461d0c4f35159e99baa611723ccde23ba911acd968fee451c3bb46</t>
  </si>
  <si>
    <t>CapIQ captured (date only)</t>
  </si>
  <si>
    <t>Research cutoff UTC</t>
  </si>
  <si>
    <t>Issuer fiscal Q4 end</t>
  </si>
  <si>
    <t>2026-09-03; supplied CapIQ label is 2026-08-31</t>
  </si>
  <si>
    <t>Geographic quarter splits</t>
  </si>
  <si>
    <t>Unavailable: 2025 10-K Note 29 discloses annual only; 2026 10-Qs checked.</t>
  </si>
  <si>
    <t>All other segment tab omitted</t>
  </si>
  <si>
    <t>2026-05-28 Form 10-Q Note 17: nonreportable $8m; shown Revenue summary!G50.</t>
  </si>
  <si>
    <t>Customer/unit ladder</t>
  </si>
  <si>
    <t>Unit customer counts/absolute shipments not disclosed in 2026-05-28 10-Q; explicit forecast bit/ASP assumptions are indexed.</t>
  </si>
  <si>
    <t>Net income guidance</t>
  </si>
  <si>
    <t>Unavailable: 2026-06-24 release guides EPS but does not guide net income.</t>
  </si>
  <si>
    <t>Forecast bias and miss risks</t>
  </si>
  <si>
    <t>TrendForce Q3 pricing moderation, weak consumer memory, Citi EPS $31.45 below attached normalized $31.60; only small forecast premium.</t>
  </si>
  <si>
    <t>Historical 4Q25 segment COGS</t>
  </si>
  <si>
    <t>FY25 10-K segment annual less Q3 FY26 10-Q FY25 nine-month comparatives: Inputs!M89:Q94, Segment tabs!C30:C38.</t>
  </si>
  <si>
    <t>Unit customer additions/churn</t>
  </si>
  <si>
    <t>Unavailable (not a reported semiconductor operating KPI); index ≠ physical shipment or customer count.</t>
  </si>
  <si>
    <t>Check provenance warning</t>
  </si>
  <si>
    <t>Actual C:G revenue ties independently to CapIQ or SEC 2025 10-K. Forecast product, geo and BS cash totals are modeled identities; never represent them as independent disclosed results.</t>
  </si>
  <si>
    <t>Inputs</t>
  </si>
  <si>
    <t>Norm EPS cons.</t>
  </si>
  <si>
    <t>Norm EPS actual</t>
  </si>
  <si>
    <t>GAAP EPS cons.</t>
  </si>
  <si>
    <t>GAAP EPS actual</t>
  </si>
  <si>
    <t>Revenue cons.</t>
  </si>
  <si>
    <t>Revenue actual</t>
  </si>
  <si>
    <t>Report date</t>
  </si>
  <si>
    <t>FORECAST ASSUMPTIONS</t>
  </si>
  <si>
    <t>Value</t>
  </si>
  <si>
    <t>Cloud: bit growth</t>
  </si>
  <si>
    <t>Cloud: ASP growth</t>
  </si>
  <si>
    <t>Core: bit growth</t>
  </si>
  <si>
    <t>Core: ASP growth</t>
  </si>
  <si>
    <t>Mobile: bit growth</t>
  </si>
  <si>
    <t>Mobile: ASP growth</t>
  </si>
  <si>
    <t>Auto: bit growth</t>
  </si>
  <si>
    <t>Auto: ASP growth</t>
  </si>
  <si>
    <t>S&amp;P Capital IQ historical surprises; issuer filing dates differ from calendar month-end CapIQ labels.</t>
  </si>
  <si>
    <t>All other revenue growth</t>
  </si>
  <si>
    <t>Consensus was captured 2026-09-24 (date only), not September 26.</t>
  </si>
  <si>
    <t>GAAP gross margin</t>
  </si>
  <si>
    <t>ticker</t>
  </si>
  <si>
    <t>R&amp;D</t>
  </si>
  <si>
    <t>company</t>
  </si>
  <si>
    <t>SG&amp;A</t>
  </si>
  <si>
    <t>exchange_ticker</t>
  </si>
  <si>
    <t>NasdaqGS:MU</t>
  </si>
  <si>
    <t>Other operating expense</t>
  </si>
  <si>
    <t>capiq_company_id</t>
  </si>
  <si>
    <t>analyst_count</t>
  </si>
  <si>
    <t>Interest expense</t>
  </si>
  <si>
    <t>fiscal_year_end</t>
  </si>
  <si>
    <t>Aug-31</t>
  </si>
  <si>
    <t>Other nonoperating income</t>
  </si>
  <si>
    <t>forward_quarter_label</t>
  </si>
  <si>
    <t>FQ4 2026 - Aug 2026</t>
  </si>
  <si>
    <t>Equity-method income</t>
  </si>
  <si>
    <t>period_end_date</t>
  </si>
  <si>
    <t>GAAP tax rate</t>
  </si>
  <si>
    <t>expected_report_date</t>
  </si>
  <si>
    <t>Non-GAAP: share compensation</t>
  </si>
  <si>
    <t>eps_normalized_mean</t>
  </si>
  <si>
    <t>Non-GAAP: debt extinguishment</t>
  </si>
  <si>
    <t>eps_normalized_median</t>
  </si>
  <si>
    <t>Non-GAAP: other</t>
  </si>
  <si>
    <t>eps_normalized_high</t>
  </si>
  <si>
    <t>Non-GAAP: tax effects</t>
  </si>
  <si>
    <t>eps_normalized_low</t>
  </si>
  <si>
    <t>GAAP weighted basic shares</t>
  </si>
  <si>
    <t>eps_normalized_std_dev</t>
  </si>
  <si>
    <t>Incremental diluted shares</t>
  </si>
  <si>
    <t>eps_normalized_n_est</t>
  </si>
  <si>
    <t>Non-GAAP additional diluted</t>
  </si>
  <si>
    <t>eps_normalized_guidance</t>
  </si>
  <si>
    <t>eps_normalized_guidance_low</t>
  </si>
  <si>
    <t>eps_normalized_guidance_high</t>
  </si>
  <si>
    <t>eps_gaap_mean</t>
  </si>
  <si>
    <t>Cash flow forecast drivers</t>
  </si>
  <si>
    <t>eps_gaap_median</t>
  </si>
  <si>
    <t>eps_gaap_high</t>
  </si>
  <si>
    <t>Other noncurrent asset increase</t>
  </si>
  <si>
    <t>eps_gaap_low</t>
  </si>
  <si>
    <t>Investing cash flow</t>
  </si>
  <si>
    <t>eps_gaap_std_dev</t>
  </si>
  <si>
    <t>Financing cash flow</t>
  </si>
  <si>
    <t>eps_gaap_n_est</t>
  </si>
  <si>
    <t>FX cash flow</t>
  </si>
  <si>
    <t>eps_gaap_guidance_low</t>
  </si>
  <si>
    <t>eps_gaap_guidance_high</t>
  </si>
  <si>
    <t>revenue_m_mean</t>
  </si>
  <si>
    <t>Liability increase excluding debt</t>
  </si>
  <si>
    <t>revenue_m_median</t>
  </si>
  <si>
    <t>EPS beat probability</t>
  </si>
  <si>
    <t>revenue_m_high</t>
  </si>
  <si>
    <t>M&amp;A or scope growth</t>
  </si>
  <si>
    <t>revenue_m_low</t>
  </si>
  <si>
    <t>FX growth</t>
  </si>
  <si>
    <t>revenue_m_std_dev</t>
  </si>
  <si>
    <t>Cloud gross margin forecast</t>
  </si>
  <si>
    <t>Issuer FY2026 has 14-week 4Q ending 2026-09-03. Supplied target month-end label is August 31.</t>
  </si>
  <si>
    <t>revenue_m_n_est</t>
  </si>
  <si>
    <t>Core gross margin forecast</t>
  </si>
  <si>
    <t>revenue_m_guidance_low</t>
  </si>
  <si>
    <t>Mobile gross margin forecast</t>
  </si>
  <si>
    <t>revenue_m_guidance_high</t>
  </si>
  <si>
    <t>Auto gross margin forecast</t>
  </si>
  <si>
    <t>ebitda_m_mean</t>
  </si>
  <si>
    <t>DRAM tech-growth excl days</t>
  </si>
  <si>
    <t>ebit_m_mean</t>
  </si>
  <si>
    <t>NAND tech-growth excl days</t>
  </si>
  <si>
    <t>net_income_excl_excep_m_mean</t>
  </si>
  <si>
    <t>Cash PP&amp;E expenditures</t>
  </si>
  <si>
    <t>net_income_gaap_m_mean</t>
  </si>
  <si>
    <t>Buyback program cash</t>
  </si>
  <si>
    <t>gross_margin_pct_mean</t>
  </si>
  <si>
    <t>Employee-share withholding</t>
  </si>
  <si>
    <t>effective_tax_rate_pct_mean</t>
  </si>
  <si>
    <t>Incremental receivables / sales</t>
  </si>
  <si>
    <t>capex_m_mean</t>
  </si>
  <si>
    <t>Inventory balance increase</t>
  </si>
  <si>
    <t>fcf_m_mean</t>
  </si>
  <si>
    <t>Forecast confidence</t>
  </si>
  <si>
    <t>medium</t>
  </si>
  <si>
    <t>cfo_m_mean</t>
  </si>
  <si>
    <t>d_and_a_m_mean</t>
  </si>
  <si>
    <t>recommendation</t>
  </si>
  <si>
    <t>Buy</t>
  </si>
  <si>
    <t>Q3 normalized bit/price index</t>
  </si>
  <si>
    <t>recommendation_score</t>
  </si>
  <si>
    <t>last_close_price</t>
  </si>
  <si>
    <t>notes</t>
  </si>
  <si>
    <t>Call scheduled 4:30 p.m. Sep 30. 52wk range 1255.00/154.65.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</si>
  <si>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</si>
  <si>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</si>
  <si>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</si>
  <si>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</si>
  <si>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</si>
  <si>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</si>
  <si>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All 54 summary fields preserved; malformed target-price columns not used in model.</t>
  </si>
  <si>
    <t>FY25 reported total assets</t>
  </si>
  <si>
    <t>Year-ago basis</t>
  </si>
  <si>
    <t>DRAM</t>
  </si>
  <si>
    <t>NAND</t>
  </si>
  <si>
    <t>Other NOR</t>
  </si>
  <si>
    <t>Cloud</t>
  </si>
  <si>
    <t>Core</t>
  </si>
  <si>
    <t>Mobile</t>
  </si>
  <si>
    <t>Auto</t>
  </si>
  <si>
    <t>Total revenue</t>
  </si>
  <si>
    <t>Cloud op FY ago</t>
  </si>
  <si>
    <t>Core op FY ago</t>
  </si>
  <si>
    <t>Mobile op FY ago</t>
  </si>
  <si>
    <t>Auto op FY ago</t>
  </si>
  <si>
    <t>1Q26 reported total assets</t>
  </si>
  <si>
    <t>1Q25A</t>
  </si>
  <si>
    <t>2Q26 reported total assets</t>
  </si>
  <si>
    <t>2Q25A</t>
  </si>
  <si>
    <t>3Q26 reported total assets</t>
  </si>
  <si>
    <t>3Q25A</t>
  </si>
  <si>
    <t>FY24A</t>
  </si>
  <si>
    <t>4Q24A</t>
  </si>
  <si>
    <t>FY25 reported total revenue (10-K)</t>
  </si>
  <si>
    <t>Year-ago comparison amounts: 2026Q1/Q2/Q3 SEC 10-Q comparative revenue tables; FY24 annual and FY24Q4 FY25 10-K / FY25 Q4 release. Quarterly technology 4Q24 is not separately available here.</t>
  </si>
  <si>
    <t>FY25 9mo comparative</t>
  </si>
  <si>
    <t>FY2025 nine-month unit COGS, R&amp;D, SG&amp;A, other expense, and operating income from 2026-05-28 SEC 10-Q comparative table. Subtract once from audited FY25 annual report.</t>
  </si>
  <si>
    <t>Selling, general &amp; admin</t>
  </si>
</sst>
</file>

<file path=xl/styles.xml><?xml version="1.0" encoding="utf-8"?>
<styleSheet xmlns="http://schemas.openxmlformats.org/spreadsheetml/2006/main">
  <numFmts count="7">
    <numFmt numFmtId="164" formatCode="yyyy-mm-dd"/>
    <numFmt numFmtId="165" formatCode="#,##0.0_);(#,##0.0);–_)"/>
    <numFmt numFmtId="166" formatCode="0.0%_);(0.0%);–_)"/>
    <numFmt numFmtId="167" formatCode="$0.00"/>
    <numFmt numFmtId="168" formatCode="General"/>
    <numFmt numFmtId="169" formatCode="0.0&quot;x&quot;"/>
    <numFmt numFmtId="170" formatCode="0.0%"/>
  </numFmts>
  <fonts count="10">
    <font>
      <sz val="11"/>
      <name val="Calibri"/>
    </font>
    <font>
      <b val="0"/>
      <i val="0"/>
      <strike val="0"/>
      <sz val="11"/>
      <color rgb="FF000000"/>
      <name val="Aptos Narrow"/>
    </font>
    <font>
      <b/>
      <i val="0"/>
      <strike val="0"/>
      <sz val="11"/>
      <color rgb="FF000000"/>
      <name val="Aptos Narrow"/>
    </font>
    <font>
      <b val="0"/>
      <i val="0"/>
      <strike val="0"/>
      <sz val="11"/>
      <color rgb="FF0000FF"/>
      <name val="Aptos Narrow"/>
    </font>
    <font>
      <b val="0"/>
      <i/>
      <strike val="0"/>
      <sz val="11"/>
      <color rgb="FF000000"/>
      <name val="Aptos Narrow"/>
    </font>
    <font>
      <b val="0"/>
      <i val="0"/>
      <strike val="0"/>
      <sz val="11"/>
      <color rgb="FF006100"/>
      <name val="Aptos Narrow"/>
    </font>
    <font>
      <b/>
      <i val="0"/>
      <strike val="0"/>
      <sz val="11"/>
      <color rgb="FF006100"/>
      <name val="Aptos Narrow"/>
    </font>
    <font>
      <b val="0"/>
      <i/>
      <strike val="0"/>
      <sz val="11"/>
      <color rgb="FF006100"/>
      <name val="Aptos Narrow"/>
    </font>
    <font>
      <b/>
      <i val="0"/>
      <strike val="0"/>
      <sz val="11"/>
      <color rgb="FF0000FF"/>
      <name val="Aptos Narrow"/>
    </font>
    <font>
      <b val="0"/>
      <i/>
      <strike val="0"/>
      <sz val="11"/>
      <color rgb="FF0000FF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EDEFF1"/>
      </patternFill>
    </fill>
    <fill>
      <patternFill patternType="solid">
        <fgColor rgb="FFEEF5FA"/>
      </patternFill>
    </fill>
    <fill>
      <patternFill patternType="solid">
        <fgColor rgb="FFE5F1FA"/>
      </patternFill>
    </fill>
  </fills>
  <borders count="6">
    <border>
      <left/>
      <right/>
      <top/>
      <bottom/>
      <diagonal/>
    </border>
    <border>
      <top style="thin">
        <color rgb="FFAAB2BA"/>
      </top>
      <bottom style="thin">
        <color rgb="FFAAB2BA"/>
      </bottom>
    </border>
    <border>
      <top style="thin">
        <color rgb="FFA4AFB6"/>
      </top>
    </border>
    <border>
      <top style="thin">
        <color rgb="FFAAB2BA"/>
      </top>
    </border>
    <border>
      <top style="thin">
        <color rgb="FFACB6BD"/>
      </top>
    </border>
    <border>
      <top style="thin">
        <color rgb="FF9BA8B0"/>
      </top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164" fontId="2" fillId="2" borderId="1" xfId="0" applyNumberFormat="1" applyFont="1" applyFill="1" applyBorder="1" applyAlignment="1" applyProtection="1">
      <alignment horizontal="general" vertical="bottom"/>
      <protection locked="1" hidden="0"/>
    </xf>
    <xf numFmtId="164" fontId="3" fillId="0" borderId="0" xfId="0" applyNumberFormat="1" applyFont="1" applyFill="1" applyAlignment="1" applyProtection="1">
      <alignment horizontal="general" vertical="bottom"/>
      <protection locked="1" hidden="0"/>
    </xf>
    <xf numFmtId="165" fontId="3" fillId="0" borderId="0" xfId="0" applyNumberFormat="1" applyFont="1" applyFill="1" applyAlignment="1" applyProtection="1">
      <alignment horizontal="general" vertical="bottom"/>
      <protection locked="1" hidden="0"/>
    </xf>
    <xf numFmtId="166" fontId="4" fillId="0" borderId="0" xfId="0" applyNumberFormat="1" applyFont="1" applyFill="1" applyAlignment="1" applyProtection="1">
      <alignment horizontal="general" vertical="bottom"/>
      <protection locked="1" hidden="0"/>
    </xf>
    <xf numFmtId="165" fontId="5" fillId="3" borderId="0" xfId="0" applyNumberFormat="1" applyFont="1" applyFill="1" applyAlignment="1" applyProtection="1">
      <alignment horizontal="general" vertical="bottom"/>
      <protection locked="1" hidden="0"/>
    </xf>
    <xf numFmtId="165" fontId="2" fillId="0" borderId="2" xfId="0" applyNumberFormat="1" applyFont="1" applyFill="1" applyBorder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/>
      <protection locked="1" hidden="0"/>
    </xf>
    <xf numFmtId="165" fontId="2" fillId="3" borderId="2" xfId="0" applyNumberFormat="1" applyFont="1" applyFill="1" applyBorder="1" applyAlignment="1" applyProtection="1">
      <alignment horizontal="general" vertical="bottom"/>
      <protection locked="1" hidden="0"/>
    </xf>
    <xf numFmtId="0" fontId="2" fillId="2" borderId="1" xfId="0" applyFont="1" applyFill="1" applyBorder="1" applyAlignment="1" applyProtection="1">
      <alignment horizontal="general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65" fontId="2" fillId="0" borderId="3" xfId="0" applyNumberFormat="1" applyFont="1" applyFill="1" applyBorder="1" applyAlignment="1" applyProtection="1">
      <alignment horizontal="general" vertical="bottom"/>
      <protection locked="1" hidden="0"/>
    </xf>
    <xf numFmtId="165" fontId="5" fillId="0" borderId="0" xfId="0" applyNumberFormat="1" applyFont="1" applyFill="1" applyAlignment="1" applyProtection="1">
      <alignment horizontal="general" vertical="bottom"/>
      <protection locked="1" hidden="0"/>
    </xf>
    <xf numFmtId="0" fontId="2" fillId="0" borderId="2" xfId="0" applyFont="1" applyFill="1" applyBorder="1" applyAlignment="1" applyProtection="1">
      <alignment horizontal="general" vertical="bottom"/>
      <protection locked="1" hidden="0"/>
    </xf>
    <xf numFmtId="165" fontId="6" fillId="3" borderId="4" xfId="0" applyNumberFormat="1" applyFont="1" applyFill="1" applyBorder="1" applyAlignment="1" applyProtection="1">
      <alignment horizontal="general" vertical="bottom"/>
      <protection locked="1" hidden="0"/>
    </xf>
    <xf numFmtId="165" fontId="4" fillId="0" borderId="0" xfId="0" applyNumberFormat="1" applyFont="1" applyFill="1" applyAlignment="1" applyProtection="1">
      <alignment horizontal="general" vertical="bottom"/>
      <protection locked="1" hidden="0"/>
    </xf>
    <xf numFmtId="166" fontId="7" fillId="0" borderId="0" xfId="0" applyNumberFormat="1" applyFont="1" applyFill="1" applyAlignment="1" applyProtection="1">
      <alignment horizontal="general" vertical="bottom"/>
      <protection locked="1" hidden="0"/>
    </xf>
    <xf numFmtId="165" fontId="2" fillId="0" borderId="4" xfId="0" applyNumberFormat="1" applyFont="1" applyFill="1" applyBorder="1" applyAlignment="1" applyProtection="1">
      <alignment horizontal="general" vertical="bottom"/>
      <protection locked="1" hidden="0"/>
    </xf>
    <xf numFmtId="165" fontId="1" fillId="3" borderId="0" xfId="0" applyNumberFormat="1" applyFont="1" applyFill="1" applyAlignment="1" applyProtection="1">
      <alignment horizontal="general" vertical="bottom"/>
      <protection locked="1" hidden="0"/>
    </xf>
    <xf numFmtId="166" fontId="7" fillId="3" borderId="0" xfId="0" applyNumberFormat="1" applyFont="1" applyFill="1" applyAlignment="1" applyProtection="1">
      <alignment horizontal="general" vertical="bottom"/>
      <protection locked="1" hidden="0"/>
    </xf>
    <xf numFmtId="166" fontId="4" fillId="3" borderId="0" xfId="0" applyNumberFormat="1" applyFont="1" applyFill="1" applyAlignment="1" applyProtection="1">
      <alignment horizontal="general" vertical="bottom"/>
      <protection locked="1" hidden="0"/>
    </xf>
    <xf numFmtId="165" fontId="8" fillId="0" borderId="2" xfId="0" applyNumberFormat="1" applyFont="1" applyFill="1" applyBorder="1" applyAlignment="1" applyProtection="1">
      <alignment horizontal="general" vertical="bottom"/>
      <protection locked="1" hidden="0"/>
    </xf>
    <xf numFmtId="0" fontId="6" fillId="0" borderId="3" xfId="0" applyFont="1" applyFill="1" applyBorder="1" applyAlignment="1" applyProtection="1">
      <alignment horizontal="general" vertical="bottom"/>
      <protection locked="1" hidden="0"/>
    </xf>
    <xf numFmtId="165" fontId="2" fillId="3" borderId="3" xfId="0" applyNumberFormat="1" applyFont="1" applyFill="1" applyBorder="1" applyAlignment="1" applyProtection="1">
      <alignment horizontal="general" vertical="bottom"/>
      <protection locked="1" hidden="0"/>
    </xf>
    <xf numFmtId="0" fontId="2" fillId="4" borderId="1" xfId="0" applyFont="1" applyFill="1" applyBorder="1" applyAlignment="1" applyProtection="1">
      <alignment horizontal="general" vertical="bottom"/>
      <protection locked="1" hidden="0"/>
    </xf>
    <xf numFmtId="167" fontId="5" fillId="0" borderId="0" xfId="0" applyNumberFormat="1" applyFont="1" applyFill="1" applyAlignment="1" applyProtection="1">
      <alignment horizontal="general" vertical="bottom"/>
      <protection locked="1" hidden="0"/>
    </xf>
    <xf numFmtId="165" fontId="4" fillId="3" borderId="0" xfId="0" applyNumberFormat="1" applyFont="1" applyFill="1" applyAlignment="1" applyProtection="1">
      <alignment horizontal="general" vertical="bottom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164" fontId="2" fillId="4" borderId="1" xfId="0" applyNumberFormat="1" applyFont="1" applyFill="1" applyBorder="1" applyAlignment="1" applyProtection="1">
      <alignment horizontal="general" vertical="bottom"/>
      <protection locked="1" hidden="0"/>
    </xf>
    <xf numFmtId="167" fontId="1" fillId="0" borderId="0" xfId="0" applyNumberFormat="1" applyFont="1" applyFill="1" applyAlignment="1" applyProtection="1">
      <alignment horizontal="general" vertical="bottom"/>
      <protection locked="1" hidden="0"/>
    </xf>
    <xf numFmtId="0" fontId="2" fillId="2" borderId="0" xfId="0" applyFont="1" applyFill="1" applyAlignment="1" applyProtection="1">
      <alignment horizontal="general" vertical="bottom"/>
      <protection locked="1" hidden="0"/>
    </xf>
    <xf numFmtId="167" fontId="3" fillId="0" borderId="0" xfId="0" applyNumberFormat="1" applyFont="1" applyFill="1" applyAlignment="1" applyProtection="1">
      <alignment horizontal="general" vertical="bottom"/>
      <protection locked="1" hidden="0"/>
    </xf>
    <xf numFmtId="0" fontId="2" fillId="0" borderId="3" xfId="0" applyFont="1" applyFill="1" applyBorder="1" applyAlignment="1" applyProtection="1">
      <alignment horizontal="general" vertical="bottom"/>
      <protection locked="1" hidden="0"/>
    </xf>
    <xf numFmtId="0" fontId="2" fillId="3" borderId="3" xfId="0" applyFont="1" applyFill="1" applyBorder="1" applyAlignment="1" applyProtection="1">
      <alignment horizontal="general" vertical="bottom"/>
      <protection locked="1" hidden="0"/>
    </xf>
    <xf numFmtId="166" fontId="9" fillId="0" borderId="0" xfId="0" applyNumberFormat="1" applyFont="1" applyFill="1" applyAlignment="1" applyProtection="1">
      <alignment horizontal="general" vertical="bottom"/>
      <protection locked="1" hidden="0"/>
    </xf>
    <xf numFmtId="165" fontId="8" fillId="0" borderId="4" xfId="0" applyNumberFormat="1" applyFont="1" applyFill="1" applyBorder="1" applyAlignment="1" applyProtection="1">
      <alignment horizontal="general" vertical="bottom"/>
      <protection locked="1" hidden="0"/>
    </xf>
    <xf numFmtId="168" fontId="6" fillId="0" borderId="3" xfId="0" applyNumberFormat="1" applyFont="1" applyFill="1" applyBorder="1" applyAlignment="1" applyProtection="1">
      <alignment horizontal="general" vertical="bottom"/>
      <protection locked="1" hidden="0"/>
    </xf>
    <xf numFmtId="165" fontId="2" fillId="3" borderId="4" xfId="0" applyNumberFormat="1" applyFont="1" applyFill="1" applyBorder="1" applyAlignment="1" applyProtection="1">
      <alignment horizontal="general" vertical="bottom"/>
      <protection locked="1" hidden="0"/>
    </xf>
    <xf numFmtId="0" fontId="2" fillId="0" borderId="5" xfId="0" applyFont="1" applyFill="1" applyBorder="1" applyAlignment="1" applyProtection="1">
      <alignment horizontal="general" vertical="bottom"/>
      <protection locked="1" hidden="0"/>
    </xf>
    <xf numFmtId="166" fontId="9" fillId="3" borderId="0" xfId="0" applyNumberFormat="1" applyFont="1" applyFill="1" applyAlignment="1" applyProtection="1">
      <alignment horizontal="general" vertical="bottom"/>
      <protection locked="1" hidden="0"/>
    </xf>
    <xf numFmtId="165" fontId="2" fillId="0" borderId="5" xfId="0" applyNumberFormat="1" applyFont="1" applyFill="1" applyBorder="1" applyAlignment="1" applyProtection="1">
      <alignment horizontal="general" vertical="bottom"/>
      <protection locked="1" hidden="0"/>
    </xf>
    <xf numFmtId="165" fontId="2" fillId="3" borderId="5" xfId="0" applyNumberFormat="1" applyFont="1" applyFill="1" applyBorder="1" applyAlignment="1" applyProtection="1">
      <alignment horizontal="general" vertical="bottom"/>
      <protection locked="1" hidden="0"/>
    </xf>
    <xf numFmtId="166" fontId="5" fillId="0" borderId="0" xfId="0" applyNumberFormat="1" applyFont="1" applyFill="1" applyAlignment="1" applyProtection="1">
      <alignment horizontal="general" vertical="bottom"/>
      <protection locked="1" hidden="0"/>
    </xf>
    <xf numFmtId="166" fontId="1" fillId="0" borderId="0" xfId="0" applyNumberFormat="1" applyFont="1" applyFill="1" applyAlignment="1" applyProtection="1">
      <alignment horizontal="general" vertical="bottom"/>
      <protection locked="1" hidden="0"/>
    </xf>
    <xf numFmtId="169" fontId="5" fillId="3" borderId="0" xfId="0" applyNumberFormat="1" applyFont="1" applyFill="1" applyAlignment="1" applyProtection="1">
      <alignment horizontal="general" vertical="bottom"/>
      <protection locked="1" hidden="0"/>
    </xf>
    <xf numFmtId="0" fontId="2" fillId="0" borderId="4" xfId="0" applyFont="1" applyFill="1" applyBorder="1" applyAlignment="1" applyProtection="1">
      <alignment horizontal="general" vertical="bottom"/>
      <protection locked="1" hidden="0"/>
    </xf>
    <xf numFmtId="169" fontId="5" fillId="0" borderId="0" xfId="0" applyNumberFormat="1" applyFont="1" applyFill="1" applyAlignment="1" applyProtection="1">
      <alignment horizontal="general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0" fontId="2" fillId="3" borderId="1" xfId="0" applyFont="1" applyFill="1" applyBorder="1" applyAlignment="1" applyProtection="1">
      <alignment horizontal="general" vertical="bottom"/>
      <protection locked="1" hidden="0"/>
    </xf>
    <xf numFmtId="170" fontId="3" fillId="0" borderId="0" xfId="0" applyNumberFormat="1" applyFont="1" applyFill="1" applyAlignment="1" applyProtection="1">
      <alignment horizontal="general" vertical="bottom"/>
      <protection locked="1" hidden="0"/>
    </xf>
    <xf numFmtId="167" fontId="2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2" fillId="3" borderId="1" xfId="0" applyNumberFormat="1" applyFont="1" applyFill="1" applyBorder="1" applyAlignment="1" applyProtection="1">
      <alignment horizontal="general" vertical="bottom"/>
      <protection locked="1" hidden="0"/>
    </xf>
    <xf numFmtId="167" fontId="4" fillId="0" borderId="0" xfId="0" applyNumberFormat="1" applyFont="1" applyFill="1" applyAlignment="1" applyProtection="1">
      <alignment horizontal="general" vertical="bottom"/>
      <protection locked="1" hidden="0"/>
    </xf>
    <xf numFmtId="167" fontId="5" fillId="3" borderId="0" xfId="0" applyNumberFormat="1" applyFont="1" applyFill="1" applyAlignment="1" applyProtection="1">
      <alignment horizontal="general" vertical="bottom"/>
      <protection locked="1" hidden="0"/>
    </xf>
    <xf numFmtId="166" fontId="3" fillId="0" borderId="0" xfId="0" applyNumberFormat="1" applyFont="1" applyFill="1" applyAlignment="1" applyProtection="1">
      <alignment horizontal="general" vertical="bottom"/>
      <protection locked="1" hidden="0"/>
    </xf>
    <xf numFmtId="165" fontId="6" fillId="3" borderId="3" xfId="0" applyNumberFormat="1" applyFont="1" applyFill="1" applyBorder="1" applyAlignment="1" applyProtection="1">
      <alignment horizontal="general" vertical="bottom"/>
      <protection locked="1" hidden="0"/>
    </xf>
    <xf numFmtId="165" fontId="6" fillId="0" borderId="3" xfId="0" applyNumberFormat="1" applyFont="1" applyFill="1" applyBorder="1" applyAlignment="1" applyProtection="1">
      <alignment horizontal="general" vertical="bottom"/>
      <protection locked="1" hidden="0"/>
    </xf>
    <xf numFmtId="167" fontId="1" fillId="3" borderId="0" xfId="0" applyNumberFormat="1" applyFont="1" applyFill="1" applyAlignment="1" applyProtection="1">
      <alignment horizontal="general" vertical="bottom"/>
      <protection locked="1" hidden="0"/>
    </xf>
    <xf numFmtId="165" fontId="6" fillId="3" borderId="2" xfId="0" applyNumberFormat="1" applyFont="1" applyFill="1" applyBorder="1" applyAlignment="1" applyProtection="1">
      <alignment horizontal="general" vertical="bottom"/>
      <protection locked="1" hidden="0"/>
    </xf>
    <xf numFmtId="165" fontId="6" fillId="0" borderId="2" xfId="0" applyNumberFormat="1" applyFont="1" applyFill="1" applyBorder="1" applyAlignment="1" applyProtection="1">
      <alignment horizontal="general" vertical="bottom"/>
      <protection locked="1" hidden="0"/>
    </xf>
    <xf numFmtId="167" fontId="2" fillId="3" borderId="2" xfId="0" applyNumberFormat="1" applyFont="1" applyFill="1" applyBorder="1" applyAlignment="1" applyProtection="1">
      <alignment horizontal="general" vertical="bottom"/>
      <protection locked="1" hidden="0"/>
    </xf>
    <xf numFmtId="167" fontId="4" fillId="3" borderId="0" xfId="0" applyNumberFormat="1" applyFont="1" applyFill="1" applyAlignment="1" applyProtection="1">
      <alignment horizontal="general" vertical="bottom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theme" Target="theme/theme1.xml"/><Relationship Id="rId1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209550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85"/>
  <sheetViews>
    <sheetView showGridLines="0" workbookViewId="0">
      <pane xSplit="2" ySplit="7" topLeftCell="C8" activePane="bottomRight" state="frozen"/>
    </sheetView>
  </sheetViews>
  <sheetFormatPr defaultRowHeight="15"/>
  <cols>
    <col min="1" max="1" width="10" customWidth="1"/>
    <col min="2" max="2" width="34" customWidth="1"/>
    <col min="3" max="8" width="14" customWidth="1"/>
    <col min="9" max="9" width="3" customWidth="1"/>
    <col min="10" max="10" width="37" customWidth="1"/>
    <col min="11" max="11" width="33" customWidth="1"/>
    <col min="12" max="12" width="20" customWidth="1"/>
  </cols>
  <sheetData>
    <row r="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49" t="s">
        <v>9</v>
      </c>
      <c r="I5" s="1"/>
      <c r="J5" s="1"/>
      <c r="K5" s="1"/>
      <c r="L5" s="1"/>
      <c r="M5" s="1"/>
      <c r="N5" s="1"/>
    </row>
    <row r="6">
      <c r="B6" s="10" t="s">
        <v>10</v>
      </c>
      <c r="C6" s="2">
        <v>45897</v>
      </c>
      <c r="D6" s="2">
        <v>45897</v>
      </c>
      <c r="E6" s="2">
        <v>45988</v>
      </c>
      <c r="F6" s="2">
        <v>46079</v>
      </c>
      <c r="G6" s="2">
        <v>46170</v>
      </c>
      <c r="H6" s="52">
        <v>46268</v>
      </c>
      <c r="I6" s="1"/>
      <c r="J6" s="1"/>
      <c r="K6" s="1"/>
      <c r="L6" s="1"/>
      <c r="M6" s="1"/>
      <c r="N6" s="1"/>
    </row>
    <row r="7">
      <c r="B7" s="10" t="s">
        <v>11</v>
      </c>
      <c r="C7" s="10">
        <v>91</v>
      </c>
      <c r="D7" s="10">
        <v>364</v>
      </c>
      <c r="E7" s="10">
        <v>91</v>
      </c>
      <c r="F7" s="10">
        <v>91</v>
      </c>
      <c r="G7" s="10">
        <v>91</v>
      </c>
      <c r="H7" s="49">
        <v>98</v>
      </c>
      <c r="I7" s="1"/>
      <c r="J7" s="1"/>
      <c r="K7" s="1"/>
      <c r="L7" s="1"/>
      <c r="M7" s="1"/>
      <c r="N7" s="1"/>
    </row>
    <row r="8">
      <c r="B8" s="1" t="s">
        <v>12</v>
      </c>
      <c r="C8" s="1"/>
      <c r="D8" s="1"/>
      <c r="E8" s="1"/>
      <c r="F8" s="1"/>
      <c r="G8" s="1"/>
      <c r="H8" s="11"/>
      <c r="I8" s="1"/>
      <c r="J8" s="1"/>
      <c r="K8" s="1"/>
      <c r="L8" s="1"/>
      <c r="M8" s="1"/>
      <c r="N8" s="1"/>
    </row>
    <row r="9">
      <c r="B9" s="1"/>
      <c r="C9" s="1"/>
      <c r="D9" s="1"/>
      <c r="E9" s="1"/>
      <c r="F9" s="1"/>
      <c r="G9" s="1"/>
      <c r="H9" s="11"/>
      <c r="I9" s="1"/>
      <c r="J9" s="1"/>
      <c r="K9" s="1"/>
      <c r="L9" s="1"/>
      <c r="M9" s="1"/>
      <c r="N9" s="1"/>
    </row>
    <row r="10">
      <c r="B10" s="1" t="s">
        <v>13</v>
      </c>
      <c r="C10" s="1" t="s">
        <v>0</v>
      </c>
      <c r="D10" s="1"/>
      <c r="E10" s="1"/>
      <c r="F10" s="1"/>
      <c r="G10" s="1"/>
      <c r="H10" s="11"/>
      <c r="I10" s="1"/>
      <c r="J10" s="1"/>
      <c r="K10" s="1"/>
      <c r="L10" s="1"/>
      <c r="M10" s="1"/>
      <c r="N10" s="1"/>
    </row>
    <row r="11">
      <c r="B11" s="1" t="s">
        <v>14</v>
      </c>
      <c r="C11" s="1" t="s">
        <v>15</v>
      </c>
      <c r="D11" s="1"/>
      <c r="E11" s="1"/>
      <c r="F11" s="1"/>
      <c r="G11" s="1"/>
      <c r="H11" s="11"/>
      <c r="I11" s="1"/>
      <c r="J11" s="1"/>
      <c r="K11" s="1"/>
      <c r="L11" s="1"/>
      <c r="M11" s="1"/>
      <c r="N11" s="1"/>
    </row>
    <row r="12">
      <c r="B12" s="1" t="s">
        <v>16</v>
      </c>
      <c r="C12" s="1" t="s">
        <v>17</v>
      </c>
      <c r="D12" s="1"/>
      <c r="E12" s="1"/>
      <c r="F12" s="1"/>
      <c r="G12" s="1"/>
      <c r="H12" s="11"/>
      <c r="I12" s="1"/>
      <c r="J12" s="1"/>
      <c r="K12" s="1"/>
      <c r="L12" s="1"/>
      <c r="M12" s="1"/>
      <c r="N12" s="1"/>
    </row>
    <row r="13">
      <c r="B13" s="1" t="s">
        <v>18</v>
      </c>
      <c r="C13" s="1" t="s">
        <v>19</v>
      </c>
      <c r="D13" s="1"/>
      <c r="E13" s="1"/>
      <c r="F13" s="1"/>
      <c r="G13" s="1"/>
      <c r="H13" s="11"/>
      <c r="I13" s="1"/>
      <c r="J13" s="1"/>
      <c r="K13" s="1"/>
      <c r="L13" s="1"/>
      <c r="M13" s="1"/>
      <c r="N13" s="1"/>
    </row>
    <row r="14">
      <c r="B14" s="1" t="s">
        <v>20</v>
      </c>
      <c r="C14" s="1" t="s">
        <v>21</v>
      </c>
      <c r="D14" s="1"/>
      <c r="E14" s="1"/>
      <c r="F14" s="1"/>
      <c r="G14" s="1"/>
      <c r="H14" s="11"/>
      <c r="I14" s="1"/>
      <c r="J14" s="1"/>
      <c r="K14" s="1"/>
      <c r="L14" s="1"/>
      <c r="M14" s="1"/>
      <c r="N14" s="1"/>
    </row>
    <row r="15">
      <c r="B15" s="1" t="s">
        <v>22</v>
      </c>
      <c r="C15" s="1" t="s">
        <v>23</v>
      </c>
      <c r="D15" s="1"/>
      <c r="E15" s="1"/>
      <c r="F15" s="1"/>
      <c r="G15" s="1"/>
      <c r="H15" s="11"/>
      <c r="I15" s="1"/>
      <c r="J15" s="1"/>
      <c r="K15" s="1"/>
      <c r="L15" s="1"/>
      <c r="M15" s="1"/>
      <c r="N15" s="1"/>
    </row>
    <row r="16">
      <c r="B16" s="1" t="s">
        <v>24</v>
      </c>
      <c r="C16" s="1" t="s">
        <v>25</v>
      </c>
      <c r="D16" s="1"/>
      <c r="E16" s="1"/>
      <c r="F16" s="1"/>
      <c r="G16" s="1"/>
      <c r="H16" s="11"/>
      <c r="I16" s="1"/>
      <c r="J16" s="1"/>
      <c r="K16" s="1"/>
      <c r="L16" s="1"/>
      <c r="M16" s="1"/>
      <c r="N16" s="1"/>
    </row>
    <row r="17">
      <c r="B17" s="1" t="s">
        <v>26</v>
      </c>
      <c r="C17" s="48">
        <v>46295</v>
      </c>
      <c r="D17" s="1"/>
      <c r="E17" s="1"/>
      <c r="F17" s="1"/>
      <c r="G17" s="1"/>
      <c r="H17" s="11"/>
      <c r="I17" s="1"/>
      <c r="J17" s="1"/>
      <c r="K17" s="1"/>
      <c r="L17" s="1"/>
      <c r="M17" s="1"/>
      <c r="N17" s="1"/>
    </row>
    <row r="18">
      <c r="B18" s="1" t="s">
        <v>27</v>
      </c>
      <c r="C18" s="1" t="s">
        <v>28</v>
      </c>
      <c r="D18" s="1"/>
      <c r="E18" s="1"/>
      <c r="F18" s="1"/>
      <c r="G18" s="1"/>
      <c r="H18" s="11"/>
      <c r="I18" s="1"/>
      <c r="J18" s="1"/>
      <c r="K18" s="1"/>
      <c r="L18" s="1"/>
      <c r="M18" s="1"/>
      <c r="N18" s="1"/>
    </row>
    <row r="19">
      <c r="B19" s="1" t="s">
        <v>29</v>
      </c>
      <c r="C19" s="1" t="s">
        <v>30</v>
      </c>
      <c r="D19" s="1"/>
      <c r="E19" s="1"/>
      <c r="F19" s="1"/>
      <c r="G19" s="1"/>
      <c r="H19" s="11"/>
      <c r="I19" s="1"/>
      <c r="J19" s="1"/>
      <c r="K19" s="1"/>
      <c r="L19" s="1"/>
      <c r="M19" s="1"/>
      <c r="N19" s="1"/>
    </row>
    <row r="20">
      <c r="B20" s="1" t="s">
        <v>31</v>
      </c>
      <c r="C20" s="1" t="s">
        <v>32</v>
      </c>
      <c r="D20" s="1"/>
      <c r="E20" s="1"/>
      <c r="F20" s="1"/>
      <c r="G20" s="1"/>
      <c r="H20" s="11"/>
      <c r="I20" s="1"/>
      <c r="J20" s="1"/>
      <c r="K20" s="1"/>
      <c r="L20" s="1"/>
      <c r="M20" s="1"/>
      <c r="N20" s="1"/>
    </row>
    <row r="21">
      <c r="B21" s="10" t="s">
        <v>33</v>
      </c>
      <c r="C21" s="10"/>
      <c r="D21" s="10"/>
      <c r="E21" s="10"/>
      <c r="F21" s="10"/>
      <c r="G21" s="10"/>
      <c r="H21" s="11"/>
      <c r="I21" s="1"/>
      <c r="J21" s="1" t="s">
        <v>34</v>
      </c>
      <c r="K21" s="1"/>
      <c r="L21" s="1"/>
      <c r="M21" s="1"/>
      <c r="N21" s="1"/>
    </row>
    <row r="22">
      <c r="B22" s="10" t="s">
        <v>35</v>
      </c>
      <c r="C22" s="10" t="s">
        <v>36</v>
      </c>
      <c r="D22" s="10" t="s">
        <v>37</v>
      </c>
      <c r="E22" s="10" t="s">
        <v>38</v>
      </c>
      <c r="F22" s="10" t="s">
        <v>39</v>
      </c>
      <c r="G22" s="10" t="s">
        <v>40</v>
      </c>
      <c r="H22" s="11"/>
      <c r="I22" s="1"/>
      <c r="J22" s="1" t="s">
        <v>41</v>
      </c>
      <c r="K22" s="1"/>
      <c r="L22" s="1"/>
      <c r="M22" s="1"/>
      <c r="N22" s="1"/>
    </row>
    <row r="23">
      <c r="B23" s="8" t="s">
        <v>42</v>
      </c>
      <c r="C23" s="13">
        <f>'Income Statement'!H10</f>
        <v>51480.78288846154</v>
      </c>
      <c r="D23" s="13">
        <f>Inputs!C46</f>
        <v>51250.26</v>
      </c>
      <c r="E23" s="8">
        <f>C23-D23</f>
        <v>230.52288846153533</v>
      </c>
      <c r="F23" s="13">
        <f>Guidance!H31</f>
        <v>50000</v>
      </c>
      <c r="G23" s="8">
        <f>C23-F23</f>
        <v>1480.7828884615374</v>
      </c>
      <c r="H23" s="11"/>
      <c r="I23" s="1"/>
      <c r="J23" s="1"/>
      <c r="K23" s="1"/>
      <c r="L23" s="1"/>
      <c r="M23" s="1"/>
      <c r="N23" s="1"/>
    </row>
    <row r="24">
      <c r="B24" s="8" t="s">
        <v>43</v>
      </c>
      <c r="C24" s="13">
        <f>'Income Statement'!H45</f>
        <v>36493.71095692057</v>
      </c>
      <c r="D24" s="13">
        <f>Inputs!C56</f>
        <v>35951.27</v>
      </c>
      <c r="E24" s="8">
        <f>C24-D24</f>
        <v>542.4409569205745</v>
      </c>
      <c r="F24" s="8" t="s">
        <v>44</v>
      </c>
      <c r="G24" s="8"/>
      <c r="H24" s="11"/>
      <c r="I24" s="1"/>
      <c r="J24" s="1"/>
      <c r="K24" s="1"/>
      <c r="L24" s="1"/>
      <c r="M24" s="1"/>
      <c r="N24" s="1"/>
    </row>
    <row r="25">
      <c r="B25" s="8" t="s">
        <v>45</v>
      </c>
      <c r="C25" s="26">
        <f>'Income Statement'!H48</f>
        <v>31.65109363132747</v>
      </c>
      <c r="D25" s="26">
        <f>Inputs!C29</f>
        <v>31.6</v>
      </c>
      <c r="E25" s="30">
        <f>C25-D25</f>
        <v>0.05109363132746836</v>
      </c>
      <c r="F25" s="26">
        <f>Guidance!H37</f>
        <v>31</v>
      </c>
      <c r="G25" s="30">
        <f>C25-F25</f>
        <v>0.6510936313274698</v>
      </c>
      <c r="H25" s="11"/>
      <c r="I25" s="1"/>
      <c r="J25" s="1"/>
      <c r="K25" s="1"/>
      <c r="L25" s="1"/>
      <c r="M25" s="1"/>
      <c r="N25" s="1"/>
    </row>
    <row r="26">
      <c r="B26" s="8" t="s">
        <v>46</v>
      </c>
      <c r="C26" s="13">
        <f>'Income Statement'!H32</f>
        <v>36193.71095692057</v>
      </c>
      <c r="D26" s="13">
        <f>Inputs!C57</f>
        <v>36026.28</v>
      </c>
      <c r="E26" s="8">
        <f>C26-D26</f>
        <v>167.4309569205725</v>
      </c>
      <c r="F26" s="8" t="s">
        <v>44</v>
      </c>
      <c r="G26" s="8"/>
      <c r="H26" s="11"/>
      <c r="I26" s="1"/>
      <c r="J26" s="1"/>
      <c r="K26" s="1"/>
      <c r="L26" s="1"/>
      <c r="M26" s="1"/>
      <c r="N26" s="1"/>
    </row>
    <row r="27">
      <c r="B27" s="8" t="s">
        <v>47</v>
      </c>
      <c r="C27" s="26">
        <f>'Income Statement'!H33</f>
        <v>31.500183600453063</v>
      </c>
      <c r="D27" s="26">
        <f>Inputs!C38</f>
        <v>31.58</v>
      </c>
      <c r="E27" s="30">
        <f>C27-D27</f>
        <v>-0.0798163995469352</v>
      </c>
      <c r="F27" s="26">
        <f>Guidance!H36</f>
        <v>30.73</v>
      </c>
      <c r="G27" s="30">
        <f>C27-F27</f>
        <v>0.7701836004530627</v>
      </c>
      <c r="H27" s="11"/>
      <c r="I27" s="1"/>
      <c r="J27" s="1"/>
      <c r="K27" s="1"/>
      <c r="L27" s="1"/>
      <c r="M27" s="1"/>
      <c r="N27" s="1"/>
    </row>
    <row r="28">
      <c r="B28" s="33" t="s">
        <v>48</v>
      </c>
      <c r="C28" s="37" t="str">
        <f>IF(AND(ABS('Revenue summary'!C60)&lt;0.01,ABS('Revenue summary'!D60)&lt;0.01,ABS('Revenue summary'!E60)&lt;0.01,ABS('Revenue summary'!F60)&lt;0.01,ABS('Revenue summary'!G60)&lt;0.01,ABS('Revenue summary'!C32)&lt;0.01,ABS('Revenue summary'!D32)&lt;0.01,ABS('Revenue summary'!E32)&lt;0.01,ABS('Revenue summary'!F32)&lt;0.01,ABS('Revenue summary'!G32)&lt;0.01,ABS(Geo!D43)&lt;0.01,ABS('Balance Sheet'!H42)&lt;0.01,ABS('Income Statement'!H36)&lt;0.01,ABS(C29)&lt;0.01,ABS(C30)&lt;0.01),"PASS","FAIL")</f>
        <v>PASS</v>
      </c>
      <c r="D28" s="33"/>
      <c r="E28" s="33"/>
      <c r="F28" s="33"/>
      <c r="G28" s="33"/>
      <c r="H28" s="11"/>
      <c r="I28" s="1"/>
      <c r="J28" s="1"/>
      <c r="K28" s="1"/>
      <c r="L28" s="1"/>
      <c r="M28" s="1"/>
      <c r="N28" s="1"/>
    </row>
    <row r="29">
      <c r="B29" s="1" t="s">
        <v>49</v>
      </c>
      <c r="C29" s="28">
        <f>C23-'Income Statement'!H10</f>
        <v>0</v>
      </c>
      <c r="D29" s="1"/>
      <c r="E29" s="1"/>
      <c r="F29" s="1"/>
      <c r="G29" s="1"/>
      <c r="H29" s="11"/>
      <c r="I29" s="1"/>
      <c r="J29" s="1"/>
      <c r="K29" s="1"/>
      <c r="L29" s="1"/>
      <c r="M29" s="1"/>
      <c r="N29" s="1"/>
    </row>
    <row r="30">
      <c r="B30" s="1" t="s">
        <v>50</v>
      </c>
      <c r="C30" s="26">
        <f>C25-'Income Statement'!H48</f>
        <v>0</v>
      </c>
      <c r="D30" s="1"/>
      <c r="E30" s="1"/>
      <c r="F30" s="1"/>
      <c r="G30" s="1"/>
      <c r="H30" s="11"/>
      <c r="I30" s="1"/>
      <c r="J30" s="1"/>
      <c r="K30" s="1"/>
      <c r="L30" s="1"/>
      <c r="M30" s="1"/>
      <c r="N30" s="1"/>
    </row>
    <row r="31">
      <c r="B31" s="1" t="s">
        <v>51</v>
      </c>
      <c r="C31" s="43">
        <f>Inputs!L47</f>
        <v>0.57</v>
      </c>
      <c r="D31" s="1"/>
      <c r="E31" s="1"/>
      <c r="F31" s="1"/>
      <c r="G31" s="1"/>
      <c r="H31" s="11"/>
      <c r="I31" s="1"/>
      <c r="J31" s="1"/>
      <c r="K31" s="1"/>
      <c r="L31" s="1"/>
      <c r="M31" s="1"/>
      <c r="N31" s="1"/>
    </row>
    <row r="32">
      <c r="B32" s="1" t="s">
        <v>52</v>
      </c>
      <c r="C32" s="28" t="str">
        <f>Inputs!L61</f>
        <v>medium</v>
      </c>
      <c r="D32" s="1"/>
      <c r="E32" s="1"/>
      <c r="F32" s="1"/>
      <c r="G32" s="1"/>
      <c r="H32" s="11"/>
      <c r="I32" s="1"/>
      <c r="J32" s="1"/>
      <c r="K32" s="1"/>
      <c r="L32" s="1"/>
      <c r="M32" s="1"/>
      <c r="N32" s="1"/>
    </row>
    <row r="3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L117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10" customWidth="1"/>
    <col min="2" max="2" width="34" customWidth="1"/>
    <col min="3" max="8" width="14" customWidth="1"/>
    <col min="9" max="9" width="3" customWidth="1"/>
    <col min="10" max="10" width="37" customWidth="1"/>
    <col min="11" max="11" width="33" customWidth="1"/>
    <col min="12" max="12" width="20" customWidth="1"/>
  </cols>
  <sheetData>
    <row r="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B3" s="1" t="s">
        <v>53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5" t="s">
        <v>9</v>
      </c>
      <c r="I5" s="1"/>
      <c r="J5" s="1"/>
      <c r="K5" s="1"/>
      <c r="L5" s="1"/>
    </row>
    <row r="6">
      <c r="B6" s="10" t="s">
        <v>10</v>
      </c>
      <c r="C6" s="2">
        <v>45897</v>
      </c>
      <c r="D6" s="2">
        <v>45897</v>
      </c>
      <c r="E6" s="2">
        <v>45988</v>
      </c>
      <c r="F6" s="2">
        <v>46079</v>
      </c>
      <c r="G6" s="2">
        <v>46170</v>
      </c>
      <c r="H6" s="29">
        <v>46268</v>
      </c>
      <c r="I6" s="1"/>
      <c r="J6" s="1"/>
      <c r="K6" s="1"/>
      <c r="L6" s="1"/>
    </row>
    <row r="7">
      <c r="B7" s="10" t="s">
        <v>11</v>
      </c>
      <c r="C7" s="10">
        <v>91</v>
      </c>
      <c r="D7" s="10">
        <v>364</v>
      </c>
      <c r="E7" s="10">
        <v>91</v>
      </c>
      <c r="F7" s="10">
        <v>91</v>
      </c>
      <c r="G7" s="10">
        <v>91</v>
      </c>
      <c r="H7" s="25">
        <v>98</v>
      </c>
      <c r="I7" s="1"/>
      <c r="J7" s="1"/>
      <c r="K7" s="1"/>
      <c r="L7" s="1"/>
    </row>
    <row r="8">
      <c r="B8" s="1"/>
      <c r="C8" s="1"/>
      <c r="D8" s="1"/>
      <c r="E8" s="1"/>
      <c r="F8" s="1"/>
      <c r="G8" s="1"/>
      <c r="H8" s="11"/>
      <c r="I8" s="1"/>
      <c r="J8" s="1"/>
      <c r="K8" s="1"/>
      <c r="L8" s="1"/>
    </row>
    <row r="9">
      <c r="B9" s="1" t="s">
        <v>54</v>
      </c>
      <c r="C9" s="8"/>
      <c r="D9" s="8"/>
      <c r="E9" s="8"/>
      <c r="F9" s="8"/>
      <c r="G9" s="8"/>
      <c r="H9" s="19"/>
      <c r="I9" s="1"/>
      <c r="J9" s="1" t="s">
        <v>34</v>
      </c>
      <c r="K9" s="1"/>
      <c r="L9" s="1"/>
    </row>
    <row r="10">
      <c r="B10" s="1" t="s">
        <v>55</v>
      </c>
      <c r="C10" s="4">
        <v>8984</v>
      </c>
      <c r="D10" s="4">
        <v>28578</v>
      </c>
      <c r="E10" s="4">
        <v>10812</v>
      </c>
      <c r="F10" s="4">
        <v>18768</v>
      </c>
      <c r="G10" s="4">
        <v>31328</v>
      </c>
      <c r="H10" s="6">
        <f>G10*(1+Inputs!L54)*H7/G7</f>
        <v>38798.52307692307</v>
      </c>
      <c r="I10" s="1"/>
      <c r="J10" s="1"/>
      <c r="K10" s="1"/>
      <c r="L10" s="1"/>
    </row>
    <row r="11">
      <c r="B11" s="1" t="s">
        <v>56</v>
      </c>
      <c r="C11" s="5"/>
      <c r="D11" s="17">
        <f>IFERROR(D10/Inputs!N84-1,0)</f>
        <v>0.6234732716014315</v>
      </c>
      <c r="E11" s="17">
        <f>IFERROR(E10/Inputs!N81-1,0)</f>
        <v>0.6893750000000001</v>
      </c>
      <c r="F11" s="17">
        <f>IFERROR(F10/Inputs!N82-1,0)</f>
        <v>2.0651641352278296</v>
      </c>
      <c r="G11" s="17">
        <f>IFERROR(G10/Inputs!N83-1,0)</f>
        <v>3.430490736812332</v>
      </c>
      <c r="H11" s="21">
        <f>H10/C10-1</f>
        <v>3.3186245633262548</v>
      </c>
      <c r="I11" s="1"/>
      <c r="J11" s="1"/>
      <c r="K11" s="1"/>
      <c r="L11" s="1"/>
    </row>
    <row r="12">
      <c r="B12" s="1" t="s">
        <v>57</v>
      </c>
      <c r="C12" s="5"/>
      <c r="D12" s="5"/>
      <c r="E12" s="5">
        <f>IFERROR(E10/C10-1,0)</f>
        <v>0.20347284060552084</v>
      </c>
      <c r="F12" s="5">
        <f>IFERROR(F10/E10-1,0)</f>
        <v>0.7358490566037736</v>
      </c>
      <c r="G12" s="5">
        <f>IFERROR(G10/F10-1,0)</f>
        <v>0.6692242114236999</v>
      </c>
      <c r="H12" s="21">
        <f>H10/G10-1</f>
        <v>0.23846153846153828</v>
      </c>
      <c r="I12" s="1"/>
      <c r="J12" s="1"/>
      <c r="K12" s="1"/>
      <c r="L12" s="1"/>
    </row>
    <row r="13">
      <c r="B13" s="1" t="s">
        <v>58</v>
      </c>
      <c r="C13" s="5"/>
      <c r="D13" s="5">
        <f>(1+D16)/((1+D14)*(1+D15))-1</f>
        <v>0.6234732716014315</v>
      </c>
      <c r="E13" s="5">
        <f>(1+E16)/((1+E14)*(1+E15))-1</f>
        <v>0.6893750000000001</v>
      </c>
      <c r="F13" s="5">
        <f>(1+F16)/((1+F14)*(1+F15))-1</f>
        <v>2.0651641352278296</v>
      </c>
      <c r="G13" s="5">
        <f>(1+G16)/((1+G14)*(1+G15))-1</f>
        <v>3.430490736812332</v>
      </c>
      <c r="H13" s="21">
        <f>(1+H16)/((1+H14)*(1+H15))-1</f>
        <v>3.3186245633262548</v>
      </c>
      <c r="I13" s="1"/>
      <c r="J13" s="1"/>
      <c r="K13" s="1"/>
      <c r="L13" s="1"/>
    </row>
    <row r="14">
      <c r="B14" s="1" t="s">
        <v>59</v>
      </c>
      <c r="C14" s="5"/>
      <c r="D14" s="17">
        <f>Inputs!L48</f>
        <v>0</v>
      </c>
      <c r="E14" s="17">
        <f>Inputs!L48</f>
        <v>0</v>
      </c>
      <c r="F14" s="17">
        <f>Inputs!L48</f>
        <v>0</v>
      </c>
      <c r="G14" s="17">
        <f>Inputs!L48</f>
        <v>0</v>
      </c>
      <c r="H14" s="40"/>
      <c r="I14" s="1"/>
      <c r="J14" s="1"/>
      <c r="K14" s="1"/>
      <c r="L14" s="1"/>
    </row>
    <row r="15">
      <c r="B15" s="1" t="s">
        <v>60</v>
      </c>
      <c r="C15" s="5"/>
      <c r="D15" s="17">
        <f>Inputs!L49</f>
        <v>0</v>
      </c>
      <c r="E15" s="17">
        <f>Inputs!L49</f>
        <v>0</v>
      </c>
      <c r="F15" s="17">
        <f>Inputs!L49</f>
        <v>0</v>
      </c>
      <c r="G15" s="17">
        <f>Inputs!L49</f>
        <v>0</v>
      </c>
      <c r="H15" s="40"/>
      <c r="I15" s="1"/>
      <c r="J15" s="1"/>
      <c r="K15" s="1"/>
      <c r="L15" s="1"/>
    </row>
    <row r="16">
      <c r="B16" s="1" t="s">
        <v>61</v>
      </c>
      <c r="C16" s="5"/>
      <c r="D16" s="5">
        <f>D11</f>
        <v>0.6234732716014315</v>
      </c>
      <c r="E16" s="5">
        <f>E11</f>
        <v>0.6893750000000001</v>
      </c>
      <c r="F16" s="5">
        <f>F11</f>
        <v>2.0651641352278296</v>
      </c>
      <c r="G16" s="5">
        <f>G11</f>
        <v>3.430490736812332</v>
      </c>
      <c r="H16" s="21">
        <f>H10/C10-1</f>
        <v>3.3186245633262548</v>
      </c>
      <c r="I16" s="1"/>
      <c r="J16" s="1"/>
      <c r="K16" s="1"/>
      <c r="L16" s="1"/>
    </row>
    <row r="17">
      <c r="B17" s="1" t="s">
        <v>62</v>
      </c>
      <c r="C17" s="4">
        <v>2252</v>
      </c>
      <c r="D17" s="4">
        <v>8503</v>
      </c>
      <c r="E17" s="4">
        <v>2743</v>
      </c>
      <c r="F17" s="4">
        <v>4997</v>
      </c>
      <c r="G17" s="4">
        <v>9943</v>
      </c>
      <c r="H17" s="6">
        <f>G17*(1+Inputs!L55)*H7/G7</f>
        <v>12528.179999999998</v>
      </c>
      <c r="I17" s="1"/>
      <c r="J17" s="1"/>
      <c r="K17" s="1"/>
      <c r="L17" s="1"/>
    </row>
    <row r="18">
      <c r="B18" s="1" t="s">
        <v>56</v>
      </c>
      <c r="C18" s="5"/>
      <c r="D18" s="17">
        <f>IFERROR(D17/Inputs!O84-1,0)</f>
        <v>0.1765601217656012</v>
      </c>
      <c r="E18" s="17">
        <f>IFERROR(E17/Inputs!O81-1,0)</f>
        <v>0.22400713966979025</v>
      </c>
      <c r="F18" s="17">
        <f>IFERROR(F17/Inputs!O82-1,0)</f>
        <v>1.6938005390835578</v>
      </c>
      <c r="G18" s="17">
        <f>IFERROR(G17/Inputs!O83-1,0)</f>
        <v>3.613921113689095</v>
      </c>
      <c r="H18" s="21">
        <f>H17/C17-1</f>
        <v>4.5631349911190044</v>
      </c>
      <c r="I18" s="1"/>
      <c r="J18" s="1"/>
      <c r="K18" s="1"/>
      <c r="L18" s="1"/>
    </row>
    <row r="19">
      <c r="B19" s="1" t="s">
        <v>57</v>
      </c>
      <c r="C19" s="5"/>
      <c r="D19" s="5"/>
      <c r="E19" s="5">
        <f>IFERROR(E17/C17-1,0)</f>
        <v>0.21802841918294846</v>
      </c>
      <c r="F19" s="5">
        <f>IFERROR(F17/E17-1,0)</f>
        <v>0.8217280349981773</v>
      </c>
      <c r="G19" s="5">
        <f>IFERROR(G17/F17-1,0)</f>
        <v>0.9897938763257954</v>
      </c>
      <c r="H19" s="21">
        <f>H17/G17-1</f>
        <v>0.2599999999999998</v>
      </c>
      <c r="I19" s="1"/>
      <c r="J19" s="1"/>
      <c r="K19" s="1"/>
      <c r="L19" s="1"/>
    </row>
    <row r="20">
      <c r="B20" s="1" t="s">
        <v>58</v>
      </c>
      <c r="C20" s="5"/>
      <c r="D20" s="5">
        <f>(1+D23)/((1+D21)*(1+D22))-1</f>
        <v>0.1765601217656012</v>
      </c>
      <c r="E20" s="5">
        <f>(1+E23)/((1+E21)*(1+E22))-1</f>
        <v>0.22400713966979025</v>
      </c>
      <c r="F20" s="5">
        <f>(1+F23)/((1+F21)*(1+F22))-1</f>
        <v>1.6938005390835578</v>
      </c>
      <c r="G20" s="5">
        <f>(1+G23)/((1+G21)*(1+G22))-1</f>
        <v>3.613921113689095</v>
      </c>
      <c r="H20" s="21">
        <f>(1+H23)/((1+H21)*(1+H22))-1</f>
        <v>4.5631349911190044</v>
      </c>
      <c r="I20" s="1"/>
      <c r="J20" s="1"/>
      <c r="K20" s="1"/>
      <c r="L20" s="1"/>
    </row>
    <row r="21">
      <c r="B21" s="1" t="s">
        <v>59</v>
      </c>
      <c r="C21" s="5"/>
      <c r="D21" s="17">
        <f>Inputs!L48</f>
        <v>0</v>
      </c>
      <c r="E21" s="17">
        <f>Inputs!L48</f>
        <v>0</v>
      </c>
      <c r="F21" s="17">
        <f>Inputs!L48</f>
        <v>0</v>
      </c>
      <c r="G21" s="17">
        <f>Inputs!L48</f>
        <v>0</v>
      </c>
      <c r="H21" s="40"/>
      <c r="I21" s="1"/>
      <c r="J21" s="1"/>
      <c r="K21" s="1"/>
      <c r="L21" s="1"/>
    </row>
    <row r="22">
      <c r="B22" s="1" t="s">
        <v>60</v>
      </c>
      <c r="C22" s="5"/>
      <c r="D22" s="17">
        <f>Inputs!L49</f>
        <v>0</v>
      </c>
      <c r="E22" s="17">
        <f>Inputs!L49</f>
        <v>0</v>
      </c>
      <c r="F22" s="17">
        <f>Inputs!L49</f>
        <v>0</v>
      </c>
      <c r="G22" s="17">
        <f>Inputs!L49</f>
        <v>0</v>
      </c>
      <c r="H22" s="40"/>
      <c r="I22" s="1"/>
      <c r="J22" s="1"/>
      <c r="K22" s="1"/>
      <c r="L22" s="1"/>
    </row>
    <row r="23">
      <c r="B23" s="1" t="s">
        <v>61</v>
      </c>
      <c r="C23" s="5"/>
      <c r="D23" s="5">
        <f>D18</f>
        <v>0.1765601217656012</v>
      </c>
      <c r="E23" s="5">
        <f>E18</f>
        <v>0.22400713966979025</v>
      </c>
      <c r="F23" s="5">
        <f>F18</f>
        <v>1.6938005390835578</v>
      </c>
      <c r="G23" s="5">
        <f>G18</f>
        <v>3.613921113689095</v>
      </c>
      <c r="H23" s="21">
        <f>H17/C17-1</f>
        <v>4.5631349911190044</v>
      </c>
      <c r="I23" s="1"/>
      <c r="J23" s="1"/>
      <c r="K23" s="1"/>
      <c r="L23" s="1"/>
    </row>
    <row r="24">
      <c r="B24" s="1" t="s">
        <v>63</v>
      </c>
      <c r="C24" s="4">
        <v>79</v>
      </c>
      <c r="D24" s="4">
        <v>297</v>
      </c>
      <c r="E24" s="4">
        <v>88</v>
      </c>
      <c r="F24" s="4">
        <v>95</v>
      </c>
      <c r="G24" s="4">
        <v>185</v>
      </c>
      <c r="H24" s="19">
        <f>H53-SUM(H10,H17)</f>
        <v>154.07981153846777</v>
      </c>
      <c r="I24" s="1"/>
      <c r="J24" s="1"/>
      <c r="K24" s="1"/>
      <c r="L24" s="1"/>
    </row>
    <row r="25">
      <c r="B25" s="1" t="s">
        <v>56</v>
      </c>
      <c r="C25" s="5"/>
      <c r="D25" s="17">
        <f>IFERROR(D24/Inputs!P84-1,0)</f>
        <v>0.05693950177935947</v>
      </c>
      <c r="E25" s="17">
        <f>IFERROR(E24/Inputs!P81-1,0)</f>
        <v>0.2941176470588236</v>
      </c>
      <c r="F25" s="17">
        <f>IFERROR(F24/Inputs!P82-1,0)</f>
        <v>0.2666666666666666</v>
      </c>
      <c r="G25" s="17">
        <f>IFERROR(G24/Inputs!P83-1,0)</f>
        <v>1.4666666666666668</v>
      </c>
      <c r="H25" s="21">
        <f>H24/C24-1</f>
        <v>0.9503773612464275</v>
      </c>
      <c r="I25" s="1"/>
      <c r="J25" s="1"/>
      <c r="K25" s="1"/>
      <c r="L25" s="1"/>
    </row>
    <row r="26">
      <c r="B26" s="1" t="s">
        <v>57</v>
      </c>
      <c r="C26" s="5"/>
      <c r="D26" s="5"/>
      <c r="E26" s="5">
        <f>IFERROR(E24/C24-1,0)</f>
        <v>0.11392405063291133</v>
      </c>
      <c r="F26" s="5">
        <f>IFERROR(F24/E24-1,0)</f>
        <v>0.07954545454545459</v>
      </c>
      <c r="G26" s="5">
        <f>IFERROR(G24/F24-1,0)</f>
        <v>0.9473684210526316</v>
      </c>
      <c r="H26" s="21">
        <f>H24/G24-1</f>
        <v>-0.16713615384612024</v>
      </c>
      <c r="I26" s="1"/>
      <c r="J26" s="1"/>
      <c r="K26" s="1"/>
      <c r="L26" s="1"/>
    </row>
    <row r="27">
      <c r="B27" s="1" t="s">
        <v>58</v>
      </c>
      <c r="C27" s="5"/>
      <c r="D27" s="5">
        <f>(1+D30)/((1+D28)*(1+D29))-1</f>
        <v>0.05693950177935947</v>
      </c>
      <c r="E27" s="5">
        <f>(1+E30)/((1+E28)*(1+E29))-1</f>
        <v>0.2941176470588236</v>
      </c>
      <c r="F27" s="5">
        <f>(1+F30)/((1+F28)*(1+F29))-1</f>
        <v>0.2666666666666666</v>
      </c>
      <c r="G27" s="5">
        <f>(1+G30)/((1+G28)*(1+G29))-1</f>
        <v>1.4666666666666668</v>
      </c>
      <c r="H27" s="21">
        <f>(1+H30)/((1+H28)*(1+H29))-1</f>
        <v>0.9503773612464275</v>
      </c>
      <c r="I27" s="1"/>
      <c r="J27" s="1"/>
      <c r="K27" s="1"/>
      <c r="L27" s="1"/>
    </row>
    <row r="28">
      <c r="B28" s="1" t="s">
        <v>59</v>
      </c>
      <c r="C28" s="5"/>
      <c r="D28" s="17">
        <f>Inputs!L48</f>
        <v>0</v>
      </c>
      <c r="E28" s="17">
        <f>Inputs!L48</f>
        <v>0</v>
      </c>
      <c r="F28" s="17">
        <f>Inputs!L48</f>
        <v>0</v>
      </c>
      <c r="G28" s="17">
        <f>Inputs!L48</f>
        <v>0</v>
      </c>
      <c r="H28" s="40"/>
      <c r="I28" s="1"/>
      <c r="J28" s="1"/>
      <c r="K28" s="1"/>
      <c r="L28" s="1"/>
    </row>
    <row r="29">
      <c r="B29" s="1" t="s">
        <v>60</v>
      </c>
      <c r="C29" s="5"/>
      <c r="D29" s="17">
        <f>Inputs!L49</f>
        <v>0</v>
      </c>
      <c r="E29" s="17">
        <f>Inputs!L49</f>
        <v>0</v>
      </c>
      <c r="F29" s="17">
        <f>Inputs!L49</f>
        <v>0</v>
      </c>
      <c r="G29" s="17">
        <f>Inputs!L49</f>
        <v>0</v>
      </c>
      <c r="H29" s="40"/>
      <c r="I29" s="1"/>
      <c r="J29" s="1"/>
      <c r="K29" s="1"/>
      <c r="L29" s="1"/>
    </row>
    <row r="30">
      <c r="B30" s="1" t="s">
        <v>61</v>
      </c>
      <c r="C30" s="5"/>
      <c r="D30" s="5">
        <f>D25</f>
        <v>0.05693950177935947</v>
      </c>
      <c r="E30" s="5">
        <f>E25</f>
        <v>0.2941176470588236</v>
      </c>
      <c r="F30" s="5">
        <f>F25</f>
        <v>0.2666666666666666</v>
      </c>
      <c r="G30" s="5">
        <f>G25</f>
        <v>1.4666666666666668</v>
      </c>
      <c r="H30" s="21">
        <f>H24/C24-1</f>
        <v>0.9503773612464275</v>
      </c>
      <c r="I30" s="1"/>
      <c r="J30" s="1"/>
      <c r="K30" s="1"/>
      <c r="L30" s="1"/>
    </row>
    <row r="31">
      <c r="B31" s="39" t="s">
        <v>64</v>
      </c>
      <c r="C31" s="41">
        <f>SUM(C10,C17,C24)</f>
        <v>11315</v>
      </c>
      <c r="D31" s="41">
        <f>SUM(D10,D17,D24)</f>
        <v>37378</v>
      </c>
      <c r="E31" s="41">
        <f>SUM(E10,E17,E24)</f>
        <v>13643</v>
      </c>
      <c r="F31" s="41">
        <f>SUM(F10,F17,F24)</f>
        <v>23860</v>
      </c>
      <c r="G31" s="41">
        <f>SUM(G10,G17,G24)</f>
        <v>41456</v>
      </c>
      <c r="H31" s="42">
        <f>SUM(H10,H17,H24)</f>
        <v>51480.78288846154</v>
      </c>
      <c r="I31" s="1"/>
      <c r="J31" s="1"/>
      <c r="K31" s="1"/>
      <c r="L31" s="1"/>
    </row>
    <row r="32">
      <c r="B32" s="1" t="s">
        <v>65</v>
      </c>
      <c r="C32" s="8">
        <f>C31-C53</f>
        <v>0</v>
      </c>
      <c r="D32" s="8">
        <f>D31-D53</f>
        <v>0</v>
      </c>
      <c r="E32" s="8">
        <f>E31-E53</f>
        <v>0</v>
      </c>
      <c r="F32" s="8">
        <f>F31-F53</f>
        <v>0</v>
      </c>
      <c r="G32" s="8">
        <f>G31-G53</f>
        <v>0</v>
      </c>
      <c r="H32" s="19">
        <f>H31-H53</f>
        <v>0</v>
      </c>
      <c r="I32" s="1"/>
      <c r="J32" s="1" t="s">
        <v>66</v>
      </c>
      <c r="K32" s="1"/>
      <c r="L32" s="1"/>
    </row>
    <row r="33">
      <c r="B33" s="1" t="s">
        <v>67</v>
      </c>
      <c r="C33" s="8"/>
      <c r="D33" s="8"/>
      <c r="E33" s="8"/>
      <c r="F33" s="8"/>
      <c r="G33" s="8"/>
      <c r="H33" s="19"/>
      <c r="I33" s="1"/>
      <c r="J33" s="1"/>
      <c r="K33" s="1"/>
      <c r="L33" s="1"/>
    </row>
    <row r="34">
      <c r="B34" s="1" t="s">
        <v>68</v>
      </c>
      <c r="C34" s="13">
        <f>'Segment - Cloud Memory'!C20</f>
        <v>4543</v>
      </c>
      <c r="D34" s="13">
        <f>'Segment - Cloud Memory'!D20</f>
        <v>13524</v>
      </c>
      <c r="E34" s="13">
        <f>'Segment - Cloud Memory'!E20</f>
        <v>5284</v>
      </c>
      <c r="F34" s="13">
        <f>'Segment - Cloud Memory'!F20</f>
        <v>7749</v>
      </c>
      <c r="G34" s="13">
        <f>'Segment - Cloud Memory'!G20</f>
        <v>13769</v>
      </c>
      <c r="H34" s="6">
        <f>'Segment - Cloud Memory'!H20</f>
        <v>17293.11200076923</v>
      </c>
      <c r="I34" s="1"/>
      <c r="J34" s="1"/>
      <c r="K34" s="1"/>
      <c r="L34" s="1"/>
    </row>
    <row r="35">
      <c r="B35" s="1" t="s">
        <v>56</v>
      </c>
      <c r="C35" s="17">
        <f>IFERROR(C34/Inputs!Q85-1,0)</f>
        <v>2.135265700483092</v>
      </c>
      <c r="D35" s="17">
        <f>IFERROR(D34/Inputs!Q84-1,0)</f>
        <v>2.5664556962025316</v>
      </c>
      <c r="E35" s="17">
        <f>IFERROR(E34/Inputs!Q81-1,0)</f>
        <v>0.9954682779456194</v>
      </c>
      <c r="F35" s="17">
        <f>IFERROR(F34/Inputs!Q82-1,0)</f>
        <v>1.6294536817102139</v>
      </c>
      <c r="G35" s="17">
        <f>IFERROR(G34/Inputs!Q83-1,0)</f>
        <v>3.066450088600118</v>
      </c>
      <c r="H35" s="21">
        <f>H34/C34-1</f>
        <v>2.806540171862036</v>
      </c>
      <c r="I35" s="1"/>
      <c r="J35" s="1"/>
      <c r="K35" s="1"/>
      <c r="L35" s="1"/>
    </row>
    <row r="36">
      <c r="B36" s="1" t="s">
        <v>57</v>
      </c>
      <c r="C36" s="5"/>
      <c r="D36" s="5"/>
      <c r="E36" s="5">
        <f>IFERROR(E34/C34-1,0)</f>
        <v>0.16310807836231556</v>
      </c>
      <c r="F36" s="5">
        <f>IFERROR(F34/E34-1,0)</f>
        <v>0.4665026495079485</v>
      </c>
      <c r="G36" s="5">
        <f>IFERROR(G34/F34-1,0)</f>
        <v>0.7768744354110209</v>
      </c>
      <c r="H36" s="21">
        <f>H34/G34-1</f>
        <v>0.2559453846153845</v>
      </c>
      <c r="I36" s="1"/>
      <c r="J36" s="1"/>
      <c r="K36" s="1"/>
      <c r="L36" s="1"/>
    </row>
    <row r="37">
      <c r="B37" s="1" t="s">
        <v>69</v>
      </c>
      <c r="C37" s="5">
        <f>IFERROR(C34/C53,0)</f>
        <v>0.4015024304021211</v>
      </c>
      <c r="D37" s="5">
        <f>IFERROR(D34/D53,0)</f>
        <v>0.3618171116699663</v>
      </c>
      <c r="E37" s="5">
        <f>IFERROR(E34/E53,0)</f>
        <v>0.38730484497544526</v>
      </c>
      <c r="F37" s="5">
        <f>IFERROR(F34/F53,0)</f>
        <v>0.3247694886839899</v>
      </c>
      <c r="G37" s="5">
        <f>IFERROR(G34/G53,0)</f>
        <v>0.3321352759552296</v>
      </c>
      <c r="H37" s="21">
        <f>H34/H53</f>
        <v>0.33591392808140763</v>
      </c>
      <c r="I37" s="1"/>
      <c r="J37" s="1"/>
      <c r="K37" s="1"/>
      <c r="L37" s="1"/>
    </row>
    <row r="38">
      <c r="B38" s="1" t="s">
        <v>70</v>
      </c>
      <c r="C38" s="13">
        <f>'Segment - Core Data Center'!C20</f>
        <v>1577</v>
      </c>
      <c r="D38" s="13">
        <f>'Segment - Core Data Center'!D20</f>
        <v>7229</v>
      </c>
      <c r="E38" s="13">
        <f>'Segment - Core Data Center'!E20</f>
        <v>2379</v>
      </c>
      <c r="F38" s="13">
        <f>'Segment - Core Data Center'!F20</f>
        <v>5687</v>
      </c>
      <c r="G38" s="13">
        <f>'Segment - Core Data Center'!G20</f>
        <v>11524</v>
      </c>
      <c r="H38" s="6">
        <f>'Segment - Core Data Center'!H20</f>
        <v>14430.69852</v>
      </c>
      <c r="I38" s="1"/>
      <c r="J38" s="1"/>
      <c r="K38" s="1"/>
      <c r="L38" s="1"/>
    </row>
    <row r="39">
      <c r="B39" s="1" t="s">
        <v>56</v>
      </c>
      <c r="C39" s="17">
        <f>IFERROR(C38/Inputs!R85-1,0)</f>
        <v>-0.22998046875</v>
      </c>
      <c r="D39" s="17">
        <f>IFERROR(D38/Inputs!R84-1,0)</f>
        <v>0.4504414125200642</v>
      </c>
      <c r="E39" s="17">
        <f>IFERROR(E38/Inputs!R81-1,0)</f>
        <v>0.03795811518324599</v>
      </c>
      <c r="F39" s="17">
        <f>IFERROR(F38/Inputs!R82-1,0)</f>
        <v>2.107650273224044</v>
      </c>
      <c r="G39" s="17">
        <f>IFERROR(G38/Inputs!R83-1,0)</f>
        <v>6.53202614379085</v>
      </c>
      <c r="H39" s="21">
        <f>H38/C38-1</f>
        <v>8.15072829422955</v>
      </c>
      <c r="I39" s="1"/>
      <c r="J39" s="1"/>
      <c r="K39" s="1"/>
      <c r="L39" s="1"/>
    </row>
    <row r="40">
      <c r="B40" s="1" t="s">
        <v>57</v>
      </c>
      <c r="C40" s="5"/>
      <c r="D40" s="5"/>
      <c r="E40" s="5">
        <f>IFERROR(E38/C38-1,0)</f>
        <v>0.50856055802156</v>
      </c>
      <c r="F40" s="5">
        <f>IFERROR(F38/E38-1,0)</f>
        <v>1.3905002101723412</v>
      </c>
      <c r="G40" s="5">
        <f>IFERROR(G38/F38-1,0)</f>
        <v>1.0263759451380343</v>
      </c>
      <c r="H40" s="21">
        <f>H38/G38-1</f>
        <v>0.25222999999999995</v>
      </c>
      <c r="I40" s="1"/>
      <c r="J40" s="1"/>
      <c r="K40" s="1"/>
      <c r="L40" s="1"/>
    </row>
    <row r="41">
      <c r="B41" s="1" t="s">
        <v>69</v>
      </c>
      <c r="C41" s="5">
        <f>IFERROR(C38/C53,0)</f>
        <v>0.13937251436146708</v>
      </c>
      <c r="D41" s="5">
        <f>IFERROR(D38/D53,0)</f>
        <v>0.1934025362512708</v>
      </c>
      <c r="E41" s="5">
        <f>IFERROR(E38/E53,0)</f>
        <v>0.1743751374331159</v>
      </c>
      <c r="F41" s="5">
        <f>IFERROR(F38/F53,0)</f>
        <v>0.23834870075440068</v>
      </c>
      <c r="G41" s="5">
        <f>IFERROR(G38/G53,0)</f>
        <v>0.27798147433423387</v>
      </c>
      <c r="H41" s="21">
        <f>H38/H53</f>
        <v>0.2803123361831075</v>
      </c>
      <c r="I41" s="1"/>
      <c r="J41" s="1"/>
      <c r="K41" s="1"/>
      <c r="L41" s="1"/>
    </row>
    <row r="42">
      <c r="B42" s="1" t="s">
        <v>71</v>
      </c>
      <c r="C42" s="13">
        <f>'Segment - Mobile and Client'!C20</f>
        <v>3760</v>
      </c>
      <c r="D42" s="13">
        <f>'Segment - Mobile and Client'!D20</f>
        <v>11859</v>
      </c>
      <c r="E42" s="13">
        <f>'Segment - Mobile and Client'!E20</f>
        <v>4255</v>
      </c>
      <c r="F42" s="13">
        <f>'Segment - Mobile and Client'!F20</f>
        <v>7711</v>
      </c>
      <c r="G42" s="13">
        <f>'Segment - Mobile and Client'!G20</f>
        <v>11521</v>
      </c>
      <c r="H42" s="6">
        <f>'Segment - Mobile and Client'!H20</f>
        <v>14051.93328</v>
      </c>
      <c r="I42" s="1"/>
      <c r="J42" s="1"/>
      <c r="K42" s="1"/>
      <c r="L42" s="1"/>
    </row>
    <row r="43">
      <c r="B43" s="1" t="s">
        <v>56</v>
      </c>
      <c r="C43" s="17">
        <f>IFERROR(C42/Inputs!S85-1,0)</f>
        <v>0.24544551175886054</v>
      </c>
      <c r="D43" s="17">
        <f>IFERROR(D42/Inputs!S84-1,0)</f>
        <v>0.016456672666495198</v>
      </c>
      <c r="E43" s="17">
        <f>IFERROR(E42/Inputs!S81-1,0)</f>
        <v>0.6315184049079754</v>
      </c>
      <c r="F43" s="17">
        <f>IFERROR(F42/Inputs!S82-1,0)</f>
        <v>2.4485688729874777</v>
      </c>
      <c r="G43" s="17">
        <f>IFERROR(G42/Inputs!S83-1,0)</f>
        <v>2.5394777265745008</v>
      </c>
      <c r="H43" s="21">
        <f>H42/C42-1</f>
        <v>2.73721629787234</v>
      </c>
      <c r="I43" s="1"/>
      <c r="J43" s="1"/>
      <c r="K43" s="1"/>
      <c r="L43" s="1"/>
    </row>
    <row r="44">
      <c r="B44" s="1" t="s">
        <v>57</v>
      </c>
      <c r="C44" s="5"/>
      <c r="D44" s="5"/>
      <c r="E44" s="5">
        <f>IFERROR(E42/C42-1,0)</f>
        <v>0.13164893617021267</v>
      </c>
      <c r="F44" s="5">
        <f>IFERROR(F42/E42-1,0)</f>
        <v>0.8122209165687426</v>
      </c>
      <c r="G44" s="5">
        <f>IFERROR(G42/F42-1,0)</f>
        <v>0.4940993386071846</v>
      </c>
      <c r="H44" s="21">
        <f>H42/G42-1</f>
        <v>0.21967999999999988</v>
      </c>
      <c r="I44" s="1"/>
      <c r="J44" s="1"/>
      <c r="K44" s="1"/>
      <c r="L44" s="1"/>
    </row>
    <row r="45">
      <c r="B45" s="1" t="s">
        <v>69</v>
      </c>
      <c r="C45" s="5">
        <f>IFERROR(C42/C53,0)</f>
        <v>0.3323022536456032</v>
      </c>
      <c r="D45" s="5">
        <f>IFERROR(D42/D53,0)</f>
        <v>0.3172721921986195</v>
      </c>
      <c r="E45" s="5">
        <f>IFERROR(E42/E53,0)</f>
        <v>0.31188155097852377</v>
      </c>
      <c r="F45" s="5">
        <f>IFERROR(F42/F53,0)</f>
        <v>0.32317686504610227</v>
      </c>
      <c r="G45" s="5">
        <f>IFERROR(G42/G53,0)</f>
        <v>0.277909108452335</v>
      </c>
      <c r="H45" s="21">
        <f>H42/H53</f>
        <v>0.272954925927311</v>
      </c>
      <c r="I45" s="1"/>
      <c r="J45" s="1"/>
      <c r="K45" s="1"/>
      <c r="L45" s="1"/>
    </row>
    <row r="46">
      <c r="B46" s="1" t="s">
        <v>72</v>
      </c>
      <c r="C46" s="13">
        <f>'Segment - Automotive &amp; Embedded'!C20</f>
        <v>1434</v>
      </c>
      <c r="D46" s="13">
        <f>'Segment - Automotive &amp; Embedded'!D20</f>
        <v>4753</v>
      </c>
      <c r="E46" s="13">
        <f>'Segment - Automotive &amp; Embedded'!E20</f>
        <v>1720</v>
      </c>
      <c r="F46" s="13">
        <f>'Segment - Automotive &amp; Embedded'!F20</f>
        <v>2708</v>
      </c>
      <c r="G46" s="13">
        <f>'Segment - Automotive &amp; Embedded'!G20</f>
        <v>4634</v>
      </c>
      <c r="H46" s="6">
        <f>'Segment - Automotive &amp; Embedded'!H20</f>
        <v>5695.439087692307</v>
      </c>
      <c r="I46" s="1"/>
      <c r="J46" s="1"/>
      <c r="K46" s="1"/>
      <c r="L46" s="1"/>
    </row>
    <row r="47">
      <c r="B47" s="1" t="s">
        <v>56</v>
      </c>
      <c r="C47" s="17">
        <f>IFERROR(C46/Inputs!T85-1,0)</f>
        <v>0.1658536585365853</v>
      </c>
      <c r="D47" s="17">
        <f>IFERROR(D46/Inputs!T84-1,0)</f>
        <v>0.02634420211617372</v>
      </c>
      <c r="E47" s="17">
        <f>IFERROR(E46/Inputs!T81-1,0)</f>
        <v>0.4853195164075994</v>
      </c>
      <c r="F47" s="17">
        <f>IFERROR(F46/Inputs!T82-1,0)</f>
        <v>1.618955512572534</v>
      </c>
      <c r="G47" s="17">
        <f>IFERROR(G46/Inputs!T83-1,0)</f>
        <v>3.111801242236025</v>
      </c>
      <c r="H47" s="21">
        <f>H46/C46-1</f>
        <v>2.971714844973715</v>
      </c>
      <c r="I47" s="1"/>
      <c r="J47" s="1"/>
      <c r="K47" s="1"/>
      <c r="L47" s="1"/>
    </row>
    <row r="48">
      <c r="B48" s="1" t="s">
        <v>57</v>
      </c>
      <c r="C48" s="5"/>
      <c r="D48" s="5"/>
      <c r="E48" s="5">
        <f>IFERROR(E46/C46-1,0)</f>
        <v>0.19944211994421202</v>
      </c>
      <c r="F48" s="5">
        <f>IFERROR(F46/E46-1,0)</f>
        <v>0.5744186046511628</v>
      </c>
      <c r="G48" s="5">
        <f>IFERROR(G46/F46-1,0)</f>
        <v>0.7112259970457901</v>
      </c>
      <c r="H48" s="21">
        <f>H46/G46-1</f>
        <v>0.22905461538461536</v>
      </c>
      <c r="I48" s="1"/>
      <c r="J48" s="1"/>
      <c r="K48" s="1"/>
      <c r="L48" s="1"/>
    </row>
    <row r="49">
      <c r="B49" s="1" t="s">
        <v>69</v>
      </c>
      <c r="C49" s="5">
        <f>IFERROR(C46/C53,0)</f>
        <v>0.12673442333186036</v>
      </c>
      <c r="D49" s="5">
        <f>IFERROR(D46/D53,0)</f>
        <v>0.12716036171009684</v>
      </c>
      <c r="E49" s="5">
        <f>IFERROR(E46/E53,0)</f>
        <v>0.1260719783038921</v>
      </c>
      <c r="F49" s="5">
        <f>IFERROR(F46/F53,0)</f>
        <v>0.1134953897736798</v>
      </c>
      <c r="G49" s="5">
        <f>IFERROR(G46/G53,0)</f>
        <v>0.11178116557313779</v>
      </c>
      <c r="H49" s="21">
        <f>H46/H53</f>
        <v>0.11063233245757097</v>
      </c>
      <c r="I49" s="1"/>
      <c r="J49" s="1"/>
      <c r="K49" s="1"/>
      <c r="L49" s="1"/>
    </row>
    <row r="50">
      <c r="B50" s="1" t="s">
        <v>73</v>
      </c>
      <c r="C50" s="4">
        <v>1</v>
      </c>
      <c r="D50" s="4">
        <v>13</v>
      </c>
      <c r="E50" s="4">
        <v>5</v>
      </c>
      <c r="F50" s="4">
        <v>5</v>
      </c>
      <c r="G50" s="4">
        <v>8</v>
      </c>
      <c r="H50" s="6">
        <f>G50*(1+Inputs!L18)</f>
        <v>9.6</v>
      </c>
      <c r="I50" s="1"/>
      <c r="J50" s="1"/>
      <c r="K50" s="1"/>
      <c r="L50" s="1"/>
    </row>
    <row r="51">
      <c r="B51" s="1" t="s">
        <v>56</v>
      </c>
      <c r="C51" s="17">
        <f>IFERROR(C50/Inputs!U85-1,0)</f>
        <v>-0.75</v>
      </c>
      <c r="D51" s="17">
        <f>IFERROR(D50/Inputs!U84-1,0)</f>
        <v>-0.6486486486486487</v>
      </c>
      <c r="E51" s="17">
        <f>IFERROR(E50/Inputs!U81-1,0)</f>
        <v>0.6666666666666667</v>
      </c>
      <c r="F51" s="17">
        <f>IFERROR(F50/Inputs!U82-1,0)</f>
        <v>-0.16666666666666663</v>
      </c>
      <c r="G51" s="17">
        <f>IFERROR(G50/Inputs!U83-1,0)</f>
        <v>1.6666666666666665</v>
      </c>
      <c r="H51" s="21">
        <f>H50/C50-1</f>
        <v>8.6</v>
      </c>
      <c r="I51" s="1"/>
      <c r="J51" s="1"/>
      <c r="K51" s="1"/>
      <c r="L51" s="1"/>
    </row>
    <row r="52">
      <c r="B52" s="1" t="s">
        <v>57</v>
      </c>
      <c r="C52" s="5"/>
      <c r="D52" s="5"/>
      <c r="E52" s="5">
        <f>IFERROR(E50/C50-1,0)</f>
        <v>4</v>
      </c>
      <c r="F52" s="5">
        <f>IFERROR(F50/E50-1,0)</f>
        <v>0</v>
      </c>
      <c r="G52" s="5">
        <f>IFERROR(G50/F50-1,0)</f>
        <v>0.6000000000000001</v>
      </c>
      <c r="H52" s="21">
        <f>H50/G50-1</f>
        <v>0.19999999999999996</v>
      </c>
      <c r="I52" s="1"/>
      <c r="J52" s="1"/>
      <c r="K52" s="1"/>
      <c r="L52" s="1"/>
    </row>
    <row r="53">
      <c r="B53" s="39" t="s">
        <v>74</v>
      </c>
      <c r="C53" s="41">
        <f>SUM(C34,C38,C42,C46,C50)</f>
        <v>11315</v>
      </c>
      <c r="D53" s="41">
        <f>SUM(D34,D38,D42,D46,D50)</f>
        <v>37378</v>
      </c>
      <c r="E53" s="41">
        <f>SUM(E34,E38,E42,E46,E50)</f>
        <v>13643</v>
      </c>
      <c r="F53" s="41">
        <f>SUM(F34,F38,F42,F46,F50)</f>
        <v>23860</v>
      </c>
      <c r="G53" s="41">
        <f>SUM(G34,G38,G42,G46,G50)</f>
        <v>41456</v>
      </c>
      <c r="H53" s="42">
        <f>SUM(H34,H38,H42,H46,H50)</f>
        <v>51480.78288846154</v>
      </c>
      <c r="I53" s="1"/>
      <c r="J53" s="1"/>
      <c r="K53" s="1"/>
      <c r="L53" s="1"/>
    </row>
    <row r="54">
      <c r="B54" s="1" t="s">
        <v>56</v>
      </c>
      <c r="C54" s="17">
        <f>IFERROR(C53/Inputs!V85-1,0)</f>
        <v>0.45999999999999996</v>
      </c>
      <c r="D54" s="17">
        <f>IFERROR(D53/Inputs!V84-1,0)</f>
        <v>0.4885110111106685</v>
      </c>
      <c r="E54" s="17">
        <f>IFERROR(E53/Inputs!V81-1,0)</f>
        <v>0.5665403605465611</v>
      </c>
      <c r="F54" s="17">
        <f>IFERROR(F53/Inputs!V82-1,0)</f>
        <v>1.9628709797590962</v>
      </c>
      <c r="G54" s="17">
        <f>IFERROR(G53/Inputs!V83-1,0)</f>
        <v>3.457155144608107</v>
      </c>
      <c r="H54" s="21">
        <f>H53/C53-1</f>
        <v>3.549781960977599</v>
      </c>
      <c r="I54" s="1"/>
      <c r="J54" s="1"/>
      <c r="K54" s="1"/>
      <c r="L54" s="1"/>
    </row>
    <row r="55">
      <c r="B55" s="1" t="s">
        <v>57</v>
      </c>
      <c r="C55" s="5"/>
      <c r="D55" s="5"/>
      <c r="E55" s="5">
        <f>IFERROR(E53/C53-1,0)</f>
        <v>0.20574458683163943</v>
      </c>
      <c r="F55" s="5">
        <f>IFERROR(F53/E53-1,0)</f>
        <v>0.74888221065748</v>
      </c>
      <c r="G55" s="5">
        <f>IFERROR(G53/F53-1,0)</f>
        <v>0.737468566638726</v>
      </c>
      <c r="H55" s="21">
        <f>H53/G53-1</f>
        <v>0.2418174181894428</v>
      </c>
      <c r="I55" s="1"/>
      <c r="J55" s="1"/>
      <c r="K55" s="1"/>
      <c r="L55" s="1"/>
    </row>
    <row r="56">
      <c r="B56" s="1" t="s">
        <v>58</v>
      </c>
      <c r="C56" s="5">
        <f>(1+C59)/((1+C57)*(1+C58))-1</f>
        <v>0.45999999999999996</v>
      </c>
      <c r="D56" s="5">
        <f>(1+D59)/((1+D57)*(1+D58))-1</f>
        <v>0.4885110111106685</v>
      </c>
      <c r="E56" s="5">
        <f>(1+E59)/((1+E57)*(1+E58))-1</f>
        <v>0.5665403605465611</v>
      </c>
      <c r="F56" s="5">
        <f>(1+F59)/((1+F57)*(1+F58))-1</f>
        <v>1.9628709797590962</v>
      </c>
      <c r="G56" s="5">
        <f>(1+G59)/((1+G57)*(1+G58))-1</f>
        <v>3.457155144608107</v>
      </c>
      <c r="H56" s="21">
        <f>(1+H59)/((1+H57)*(1+H58))-1</f>
        <v>3.549781960977599</v>
      </c>
      <c r="I56" s="1"/>
      <c r="J56" s="1"/>
      <c r="K56" s="1"/>
      <c r="L56" s="1"/>
    </row>
    <row r="57">
      <c r="B57" s="1" t="s">
        <v>59</v>
      </c>
      <c r="C57" s="17">
        <f>Inputs!L48</f>
        <v>0</v>
      </c>
      <c r="D57" s="17">
        <f>Inputs!L48</f>
        <v>0</v>
      </c>
      <c r="E57" s="17">
        <f>Inputs!L48</f>
        <v>0</v>
      </c>
      <c r="F57" s="17">
        <f>Inputs!L48</f>
        <v>0</v>
      </c>
      <c r="G57" s="17">
        <f>Inputs!L48</f>
        <v>0</v>
      </c>
      <c r="H57" s="40"/>
      <c r="I57" s="1"/>
      <c r="J57" s="1"/>
      <c r="K57" s="1"/>
      <c r="L57" s="1"/>
    </row>
    <row r="58">
      <c r="B58" s="1" t="s">
        <v>60</v>
      </c>
      <c r="C58" s="17">
        <f>Inputs!L49</f>
        <v>0</v>
      </c>
      <c r="D58" s="17">
        <f>Inputs!L49</f>
        <v>0</v>
      </c>
      <c r="E58" s="17">
        <f>Inputs!L49</f>
        <v>0</v>
      </c>
      <c r="F58" s="17">
        <f>Inputs!L49</f>
        <v>0</v>
      </c>
      <c r="G58" s="17">
        <f>Inputs!L49</f>
        <v>0</v>
      </c>
      <c r="H58" s="40"/>
      <c r="I58" s="1"/>
      <c r="J58" s="1"/>
      <c r="K58" s="1"/>
      <c r="L58" s="1"/>
    </row>
    <row r="59">
      <c r="B59" s="1" t="s">
        <v>61</v>
      </c>
      <c r="C59" s="5">
        <f>C54</f>
        <v>0.45999999999999996</v>
      </c>
      <c r="D59" s="5">
        <f>D54</f>
        <v>0.4885110111106685</v>
      </c>
      <c r="E59" s="5">
        <f>E54</f>
        <v>0.5665403605465611</v>
      </c>
      <c r="F59" s="5">
        <f>F54</f>
        <v>1.9628709797590962</v>
      </c>
      <c r="G59" s="5">
        <f>G54</f>
        <v>3.457155144608107</v>
      </c>
      <c r="H59" s="21">
        <f>H53/C53-1</f>
        <v>3.549781960977599</v>
      </c>
      <c r="I59" s="1"/>
      <c r="J59" s="1"/>
      <c r="K59" s="1"/>
      <c r="L59" s="1"/>
    </row>
    <row r="60">
      <c r="B60" s="1" t="s">
        <v>75</v>
      </c>
      <c r="C60" s="13">
        <f>C53-Inputs!H12</f>
        <v>0</v>
      </c>
      <c r="D60" s="13">
        <f>D53-Inputs!L86</f>
        <v>0</v>
      </c>
      <c r="E60" s="13">
        <f>E53-Inputs!H13</f>
        <v>0</v>
      </c>
      <c r="F60" s="13">
        <f>F53-Inputs!H14</f>
        <v>0</v>
      </c>
      <c r="G60" s="13">
        <f>G53-Inputs!H15</f>
        <v>0</v>
      </c>
      <c r="H60" s="19">
        <f>H53-H65</f>
        <v>0</v>
      </c>
      <c r="I60" s="1"/>
      <c r="J60" s="1" t="s">
        <v>76</v>
      </c>
      <c r="K60" s="1"/>
      <c r="L60" s="1"/>
    </row>
    <row r="61">
      <c r="B61" s="39" t="s">
        <v>77</v>
      </c>
      <c r="C61" s="41">
        <f>SUM(C34,C38)</f>
        <v>6120</v>
      </c>
      <c r="D61" s="41">
        <f>SUM(D34,D38)</f>
        <v>20753</v>
      </c>
      <c r="E61" s="41">
        <f>SUM(E34,E38)</f>
        <v>7663</v>
      </c>
      <c r="F61" s="41">
        <f>SUM(F34,F38)</f>
        <v>13436</v>
      </c>
      <c r="G61" s="41">
        <f>SUM(G34,G38)</f>
        <v>25293</v>
      </c>
      <c r="H61" s="42">
        <f>SUM(H34,H38)</f>
        <v>31723.810520769228</v>
      </c>
      <c r="I61" s="1"/>
      <c r="J61" s="1"/>
      <c r="K61" s="1"/>
      <c r="L61" s="1"/>
    </row>
    <row r="62">
      <c r="B62" s="1" t="s">
        <v>69</v>
      </c>
      <c r="C62" s="5">
        <f>C61/C53</f>
        <v>0.5408749447635881</v>
      </c>
      <c r="D62" s="5">
        <f>D61/D53</f>
        <v>0.5552196479212371</v>
      </c>
      <c r="E62" s="5">
        <f>E61/E53</f>
        <v>0.5616799824085612</v>
      </c>
      <c r="F62" s="5">
        <f>F61/F53</f>
        <v>0.5631181894383906</v>
      </c>
      <c r="G62" s="5">
        <f>G61/G53</f>
        <v>0.6101167502894635</v>
      </c>
      <c r="H62" s="21">
        <f>H61/H53</f>
        <v>0.6162262642645151</v>
      </c>
      <c r="I62" s="1"/>
      <c r="J62" s="1"/>
      <c r="K62" s="1"/>
      <c r="L62" s="1"/>
    </row>
    <row r="63">
      <c r="B63" s="39" t="s">
        <v>78</v>
      </c>
      <c r="C63" s="41">
        <f>SUM(C42,C46)</f>
        <v>5194</v>
      </c>
      <c r="D63" s="41">
        <f>SUM(D42,D46)</f>
        <v>16612</v>
      </c>
      <c r="E63" s="41">
        <f>SUM(E42,E46)</f>
        <v>5975</v>
      </c>
      <c r="F63" s="41">
        <f>SUM(F42,F46)</f>
        <v>10419</v>
      </c>
      <c r="G63" s="41">
        <f>SUM(G42,G46)</f>
        <v>16155</v>
      </c>
      <c r="H63" s="42">
        <f>SUM(H42,H46)</f>
        <v>19747.372367692307</v>
      </c>
      <c r="I63" s="1"/>
      <c r="J63" s="1"/>
      <c r="K63" s="1"/>
      <c r="L63" s="1"/>
    </row>
    <row r="64">
      <c r="B64" s="1" t="s">
        <v>69</v>
      </c>
      <c r="C64" s="5">
        <f>C63/C53</f>
        <v>0.45903667697746353</v>
      </c>
      <c r="D64" s="5">
        <f>D63/D53</f>
        <v>0.44443255390871633</v>
      </c>
      <c r="E64" s="5">
        <f>E63/E53</f>
        <v>0.4379535292824159</v>
      </c>
      <c r="F64" s="5">
        <f>F63/F53</f>
        <v>0.43667225481978206</v>
      </c>
      <c r="G64" s="5">
        <f>G63/G53</f>
        <v>0.3896902740254728</v>
      </c>
      <c r="H64" s="21">
        <f>H63/H53</f>
        <v>0.383587258384882</v>
      </c>
      <c r="I64" s="1"/>
      <c r="J64" s="1"/>
      <c r="K64" s="1"/>
      <c r="L64" s="1"/>
    </row>
    <row r="65">
      <c r="B65" s="39" t="s">
        <v>79</v>
      </c>
      <c r="C65" s="41">
        <f>SUM(C34,C38,C42,C46,C50)</f>
        <v>11315</v>
      </c>
      <c r="D65" s="41">
        <f>SUM(D34,D38,D42,D46,D50)</f>
        <v>37378</v>
      </c>
      <c r="E65" s="41">
        <f>SUM(E34,E38,E42,E46,E50)</f>
        <v>13643</v>
      </c>
      <c r="F65" s="41">
        <f>SUM(F34,F38,F42,F46,F50)</f>
        <v>23860</v>
      </c>
      <c r="G65" s="41">
        <f>SUM(G34,G38,G42,G46,G50)</f>
        <v>41456</v>
      </c>
      <c r="H65" s="42">
        <f>SUM(H34,H38,H42,H46,H50)</f>
        <v>51480.78288846154</v>
      </c>
      <c r="I65" s="1"/>
      <c r="J65" s="1"/>
      <c r="K65" s="1"/>
      <c r="L65" s="1"/>
    </row>
    <row r="66">
      <c r="B66" s="1" t="s">
        <v>80</v>
      </c>
      <c r="C66" s="8">
        <f>SUM(C37,C41,C45,C49,C50/C53)-1</f>
        <v>0</v>
      </c>
      <c r="D66" s="8">
        <f>SUM(D37,D41,D45,D49,D50/D53)-1</f>
        <v>0</v>
      </c>
      <c r="E66" s="8">
        <f>SUM(E37,E41,E45,E49,E50/E53)-1</f>
        <v>0</v>
      </c>
      <c r="F66" s="8">
        <f>SUM(F37,F41,F45,F49,F50/F53)-1</f>
        <v>0</v>
      </c>
      <c r="G66" s="8">
        <f>SUM(G37,G41,G45,G49,G50/G53)-1</f>
        <v>0</v>
      </c>
      <c r="H66" s="19">
        <f>SUM(H37,H41,H45,H49,H50/H53)-1</f>
        <v>0</v>
      </c>
      <c r="I66" s="1"/>
      <c r="J66" s="1"/>
      <c r="K66" s="1"/>
      <c r="L66" s="1"/>
    </row>
    <row r="67">
      <c r="B67" s="1" t="s">
        <v>81</v>
      </c>
      <c r="C67" s="5">
        <f>C50/C53</f>
        <v>0.00008837825894829872</v>
      </c>
      <c r="D67" s="5">
        <f>D50/D53</f>
        <v>0.00034779817004655146</v>
      </c>
      <c r="E67" s="5">
        <f>E50/E53</f>
        <v>0.00036648830902294216</v>
      </c>
      <c r="F67" s="5">
        <f>F50/F53</f>
        <v>0.00020955574182732607</v>
      </c>
      <c r="G67" s="5">
        <f>G50/G53</f>
        <v>0.00019297568506368199</v>
      </c>
      <c r="H67" s="5">
        <f>H50/H53</f>
        <v>0.00018647735060283363</v>
      </c>
      <c r="I67" s="1"/>
      <c r="J67" s="1"/>
      <c r="K67" s="1"/>
      <c r="L67" s="1"/>
    </row>
    <row r="68">
      <c r="B68" s="1" t="s">
        <v>82</v>
      </c>
      <c r="C68" s="1"/>
      <c r="D68" s="1"/>
      <c r="E68" s="1"/>
      <c r="F68" s="1"/>
      <c r="G68" s="1"/>
      <c r="H68" s="11"/>
      <c r="I68" s="1"/>
      <c r="J68" s="1"/>
      <c r="K68" s="1"/>
      <c r="L68" s="1"/>
    </row>
    <row r="69">
      <c r="B69" s="1" t="s">
        <v>83</v>
      </c>
      <c r="C69" s="5">
        <f>C35</f>
        <v>2.135265700483092</v>
      </c>
      <c r="D69" s="5">
        <f>D35</f>
        <v>2.5664556962025316</v>
      </c>
      <c r="E69" s="5">
        <f>E35</f>
        <v>0.9954682779456194</v>
      </c>
      <c r="F69" s="5">
        <f>F35</f>
        <v>1.6294536817102139</v>
      </c>
      <c r="G69" s="5">
        <f>G35</f>
        <v>3.066450088600118</v>
      </c>
      <c r="H69" s="21">
        <f>H34/C34-1</f>
        <v>2.806540171862036</v>
      </c>
      <c r="I69" s="1"/>
      <c r="J69" s="1"/>
      <c r="K69" s="1"/>
      <c r="L69" s="1"/>
    </row>
    <row r="70">
      <c r="B70" s="1" t="s">
        <v>58</v>
      </c>
      <c r="C70" s="5">
        <f>(1+C69)/((1+C71)*(1+C72))-1</f>
        <v>2.135265700483092</v>
      </c>
      <c r="D70" s="5">
        <f>(1+D69)/((1+D71)*(1+D72))-1</f>
        <v>2.5664556962025316</v>
      </c>
      <c r="E70" s="5">
        <f>(1+E69)/((1+E71)*(1+E72))-1</f>
        <v>0.9954682779456194</v>
      </c>
      <c r="F70" s="5">
        <f>(1+F69)/((1+F71)*(1+F72))-1</f>
        <v>1.6294536817102139</v>
      </c>
      <c r="G70" s="5">
        <f>(1+G69)/((1+G71)*(1+G72))-1</f>
        <v>3.066450088600118</v>
      </c>
      <c r="H70" s="21">
        <f>(1+H69)/((1+H71)*(1+H72))-1</f>
        <v>2.806540171862036</v>
      </c>
      <c r="I70" s="1"/>
      <c r="J70" s="1"/>
      <c r="K70" s="1"/>
      <c r="L70" s="1"/>
    </row>
    <row r="71">
      <c r="B71" s="1" t="s">
        <v>59</v>
      </c>
      <c r="C71" s="17">
        <f>Inputs!L48</f>
        <v>0</v>
      </c>
      <c r="D71" s="17">
        <f>Inputs!L48</f>
        <v>0</v>
      </c>
      <c r="E71" s="17">
        <f>Inputs!L48</f>
        <v>0</v>
      </c>
      <c r="F71" s="17">
        <f>Inputs!L48</f>
        <v>0</v>
      </c>
      <c r="G71" s="17">
        <f>Inputs!L48</f>
        <v>0</v>
      </c>
      <c r="H71" s="40"/>
      <c r="I71" s="1"/>
      <c r="J71" s="1"/>
      <c r="K71" s="1"/>
      <c r="L71" s="1"/>
    </row>
    <row r="72">
      <c r="B72" s="1" t="s">
        <v>84</v>
      </c>
      <c r="C72" s="17">
        <f>Inputs!L49</f>
        <v>0</v>
      </c>
      <c r="D72" s="17">
        <f>Inputs!L49</f>
        <v>0</v>
      </c>
      <c r="E72" s="17">
        <f>Inputs!L49</f>
        <v>0</v>
      </c>
      <c r="F72" s="17">
        <f>Inputs!L49</f>
        <v>0</v>
      </c>
      <c r="G72" s="17">
        <f>Inputs!L49</f>
        <v>0</v>
      </c>
      <c r="H72" s="40"/>
      <c r="I72" s="1"/>
      <c r="J72" s="1"/>
      <c r="K72" s="1"/>
      <c r="L72" s="1"/>
    </row>
    <row r="73">
      <c r="B73" s="1" t="s">
        <v>61</v>
      </c>
      <c r="C73" s="5">
        <f>C69</f>
        <v>2.135265700483092</v>
      </c>
      <c r="D73" s="5">
        <f>D69</f>
        <v>2.5664556962025316</v>
      </c>
      <c r="E73" s="5">
        <f>E69</f>
        <v>0.9954682779456194</v>
      </c>
      <c r="F73" s="5">
        <f>F69</f>
        <v>1.6294536817102139</v>
      </c>
      <c r="G73" s="5">
        <f>G69</f>
        <v>3.066450088600118</v>
      </c>
      <c r="H73" s="21">
        <f>H69</f>
        <v>2.806540171862036</v>
      </c>
      <c r="I73" s="1"/>
      <c r="J73" s="1"/>
      <c r="K73" s="1"/>
      <c r="L73" s="1"/>
    </row>
    <row r="74">
      <c r="B74" s="1"/>
      <c r="C74" s="1"/>
      <c r="D74" s="1"/>
      <c r="E74" s="1"/>
      <c r="F74" s="1"/>
      <c r="G74" s="1"/>
      <c r="H74" s="11"/>
      <c r="I74" s="1"/>
      <c r="J74" s="1"/>
      <c r="K74" s="1"/>
      <c r="L74" s="1"/>
    </row>
    <row r="75">
      <c r="B75" s="1" t="s">
        <v>85</v>
      </c>
      <c r="C75" s="5">
        <f>C39</f>
        <v>-0.22998046875</v>
      </c>
      <c r="D75" s="5">
        <f>D39</f>
        <v>0.4504414125200642</v>
      </c>
      <c r="E75" s="5">
        <f>E39</f>
        <v>0.03795811518324599</v>
      </c>
      <c r="F75" s="5">
        <f>F39</f>
        <v>2.107650273224044</v>
      </c>
      <c r="G75" s="5">
        <f>G39</f>
        <v>6.53202614379085</v>
      </c>
      <c r="H75" s="21">
        <f>H38/C38-1</f>
        <v>8.15072829422955</v>
      </c>
      <c r="I75" s="1"/>
      <c r="J75" s="1"/>
      <c r="K75" s="1"/>
      <c r="L75" s="1"/>
    </row>
    <row r="76">
      <c r="B76" s="1" t="s">
        <v>58</v>
      </c>
      <c r="C76" s="5">
        <f>(1+C75)/((1+C77)*(1+C78))-1</f>
        <v>-0.22998046875</v>
      </c>
      <c r="D76" s="5">
        <f>(1+D75)/((1+D77)*(1+D78))-1</f>
        <v>0.4504414125200642</v>
      </c>
      <c r="E76" s="5">
        <f>(1+E75)/((1+E77)*(1+E78))-1</f>
        <v>0.03795811518324599</v>
      </c>
      <c r="F76" s="5">
        <f>(1+F75)/((1+F77)*(1+F78))-1</f>
        <v>2.107650273224044</v>
      </c>
      <c r="G76" s="5">
        <f>(1+G75)/((1+G77)*(1+G78))-1</f>
        <v>6.53202614379085</v>
      </c>
      <c r="H76" s="21">
        <f>(1+H75)/((1+H77)*(1+H78))-1</f>
        <v>8.15072829422955</v>
      </c>
      <c r="I76" s="1"/>
      <c r="J76" s="1"/>
      <c r="K76" s="1"/>
      <c r="L76" s="1"/>
    </row>
    <row r="77">
      <c r="B77" s="1" t="s">
        <v>59</v>
      </c>
      <c r="C77" s="17">
        <f>Inputs!L48</f>
        <v>0</v>
      </c>
      <c r="D77" s="17">
        <f>Inputs!L48</f>
        <v>0</v>
      </c>
      <c r="E77" s="17">
        <f>Inputs!L48</f>
        <v>0</v>
      </c>
      <c r="F77" s="17">
        <f>Inputs!L48</f>
        <v>0</v>
      </c>
      <c r="G77" s="17">
        <f>Inputs!L48</f>
        <v>0</v>
      </c>
      <c r="H77" s="40"/>
      <c r="I77" s="1"/>
      <c r="J77" s="1"/>
      <c r="K77" s="1"/>
      <c r="L77" s="1"/>
    </row>
    <row r="78">
      <c r="B78" s="1" t="s">
        <v>84</v>
      </c>
      <c r="C78" s="17">
        <f>Inputs!L49</f>
        <v>0</v>
      </c>
      <c r="D78" s="17">
        <f>Inputs!L49</f>
        <v>0</v>
      </c>
      <c r="E78" s="17">
        <f>Inputs!L49</f>
        <v>0</v>
      </c>
      <c r="F78" s="17">
        <f>Inputs!L49</f>
        <v>0</v>
      </c>
      <c r="G78" s="17">
        <f>Inputs!L49</f>
        <v>0</v>
      </c>
      <c r="H78" s="40"/>
      <c r="I78" s="1"/>
      <c r="J78" s="1"/>
      <c r="K78" s="1"/>
      <c r="L78" s="1"/>
    </row>
    <row r="79">
      <c r="B79" s="1" t="s">
        <v>61</v>
      </c>
      <c r="C79" s="5">
        <f>C75</f>
        <v>-0.22998046875</v>
      </c>
      <c r="D79" s="5">
        <f>D75</f>
        <v>0.4504414125200642</v>
      </c>
      <c r="E79" s="5">
        <f>E75</f>
        <v>0.03795811518324599</v>
      </c>
      <c r="F79" s="5">
        <f>F75</f>
        <v>2.107650273224044</v>
      </c>
      <c r="G79" s="5">
        <f>G75</f>
        <v>6.53202614379085</v>
      </c>
      <c r="H79" s="21">
        <f>H75</f>
        <v>8.15072829422955</v>
      </c>
      <c r="I79" s="1"/>
      <c r="J79" s="1"/>
      <c r="K79" s="1"/>
      <c r="L79" s="1"/>
    </row>
    <row r="80">
      <c r="B80" s="1"/>
      <c r="C80" s="1"/>
      <c r="D80" s="1"/>
      <c r="E80" s="1"/>
      <c r="F80" s="1"/>
      <c r="G80" s="1"/>
      <c r="H80" s="11"/>
      <c r="I80" s="1"/>
      <c r="J80" s="1"/>
      <c r="K80" s="1"/>
      <c r="L80" s="1"/>
    </row>
    <row r="81">
      <c r="B81" s="1" t="s">
        <v>86</v>
      </c>
      <c r="C81" s="5">
        <f>C43</f>
        <v>0.24544551175886054</v>
      </c>
      <c r="D81" s="5">
        <f>D43</f>
        <v>0.016456672666495198</v>
      </c>
      <c r="E81" s="5">
        <f>E43</f>
        <v>0.6315184049079754</v>
      </c>
      <c r="F81" s="5">
        <f>F43</f>
        <v>2.4485688729874777</v>
      </c>
      <c r="G81" s="5">
        <f>G43</f>
        <v>2.5394777265745008</v>
      </c>
      <c r="H81" s="21">
        <f>H42/C42-1</f>
        <v>2.73721629787234</v>
      </c>
      <c r="I81" s="1"/>
      <c r="J81" s="1"/>
      <c r="K81" s="1"/>
      <c r="L81" s="1"/>
    </row>
    <row r="82">
      <c r="B82" s="1" t="s">
        <v>58</v>
      </c>
      <c r="C82" s="5">
        <f>(1+C81)/((1+C83)*(1+C84))-1</f>
        <v>0.24544551175886054</v>
      </c>
      <c r="D82" s="5">
        <f>(1+D81)/((1+D83)*(1+D84))-1</f>
        <v>0.016456672666495198</v>
      </c>
      <c r="E82" s="5">
        <f>(1+E81)/((1+E83)*(1+E84))-1</f>
        <v>0.6315184049079754</v>
      </c>
      <c r="F82" s="5">
        <f>(1+F81)/((1+F83)*(1+F84))-1</f>
        <v>2.4485688729874777</v>
      </c>
      <c r="G82" s="5">
        <f>(1+G81)/((1+G83)*(1+G84))-1</f>
        <v>2.5394777265745008</v>
      </c>
      <c r="H82" s="21">
        <f>(1+H81)/((1+H83)*(1+H84))-1</f>
        <v>2.73721629787234</v>
      </c>
      <c r="I82" s="1"/>
      <c r="J82" s="1"/>
      <c r="K82" s="1"/>
      <c r="L82" s="1"/>
    </row>
    <row r="83">
      <c r="B83" s="1" t="s">
        <v>59</v>
      </c>
      <c r="C83" s="17">
        <f>Inputs!L48</f>
        <v>0</v>
      </c>
      <c r="D83" s="17">
        <f>Inputs!L48</f>
        <v>0</v>
      </c>
      <c r="E83" s="17">
        <f>Inputs!L48</f>
        <v>0</v>
      </c>
      <c r="F83" s="17">
        <f>Inputs!L48</f>
        <v>0</v>
      </c>
      <c r="G83" s="17">
        <f>Inputs!L48</f>
        <v>0</v>
      </c>
      <c r="H83" s="40"/>
      <c r="I83" s="1"/>
      <c r="J83" s="1"/>
      <c r="K83" s="1"/>
      <c r="L83" s="1"/>
    </row>
    <row r="84">
      <c r="B84" s="1" t="s">
        <v>84</v>
      </c>
      <c r="C84" s="17">
        <f>Inputs!L49</f>
        <v>0</v>
      </c>
      <c r="D84" s="17">
        <f>Inputs!L49</f>
        <v>0</v>
      </c>
      <c r="E84" s="17">
        <f>Inputs!L49</f>
        <v>0</v>
      </c>
      <c r="F84" s="17">
        <f>Inputs!L49</f>
        <v>0</v>
      </c>
      <c r="G84" s="17">
        <f>Inputs!L49</f>
        <v>0</v>
      </c>
      <c r="H84" s="40"/>
      <c r="I84" s="1"/>
      <c r="J84" s="1"/>
      <c r="K84" s="1"/>
      <c r="L84" s="1"/>
    </row>
    <row r="85">
      <c r="B85" s="1" t="s">
        <v>61</v>
      </c>
      <c r="C85" s="5">
        <f>C81</f>
        <v>0.24544551175886054</v>
      </c>
      <c r="D85" s="5">
        <f>D81</f>
        <v>0.016456672666495198</v>
      </c>
      <c r="E85" s="5">
        <f>E81</f>
        <v>0.6315184049079754</v>
      </c>
      <c r="F85" s="5">
        <f>F81</f>
        <v>2.4485688729874777</v>
      </c>
      <c r="G85" s="5">
        <f>G81</f>
        <v>2.5394777265745008</v>
      </c>
      <c r="H85" s="21">
        <f>H81</f>
        <v>2.73721629787234</v>
      </c>
      <c r="I85" s="1"/>
      <c r="J85" s="1"/>
      <c r="K85" s="1"/>
      <c r="L85" s="1"/>
    </row>
    <row r="86">
      <c r="B86" s="1"/>
      <c r="C86" s="1"/>
      <c r="D86" s="1"/>
      <c r="E86" s="1"/>
      <c r="F86" s="1"/>
      <c r="G86" s="1"/>
      <c r="H86" s="11"/>
      <c r="I86" s="1"/>
      <c r="J86" s="1"/>
      <c r="K86" s="1"/>
      <c r="L86" s="1"/>
    </row>
    <row r="87">
      <c r="B87" s="1" t="s">
        <v>87</v>
      </c>
      <c r="C87" s="5">
        <f>C47</f>
        <v>0.1658536585365853</v>
      </c>
      <c r="D87" s="5">
        <f>D47</f>
        <v>0.02634420211617372</v>
      </c>
      <c r="E87" s="5">
        <f>E47</f>
        <v>0.4853195164075994</v>
      </c>
      <c r="F87" s="5">
        <f>F47</f>
        <v>1.618955512572534</v>
      </c>
      <c r="G87" s="5">
        <f>G47</f>
        <v>3.111801242236025</v>
      </c>
      <c r="H87" s="21">
        <f>H46/C46-1</f>
        <v>2.971714844973715</v>
      </c>
      <c r="I87" s="1"/>
      <c r="J87" s="1"/>
      <c r="K87" s="1"/>
      <c r="L87" s="1"/>
    </row>
    <row r="88">
      <c r="B88" s="1" t="s">
        <v>58</v>
      </c>
      <c r="C88" s="5">
        <f>(1+C87)/((1+C89)*(1+C90))-1</f>
        <v>0.1658536585365853</v>
      </c>
      <c r="D88" s="5">
        <f>(1+D87)/((1+D89)*(1+D90))-1</f>
        <v>0.02634420211617372</v>
      </c>
      <c r="E88" s="5">
        <f>(1+E87)/((1+E89)*(1+E90))-1</f>
        <v>0.4853195164075994</v>
      </c>
      <c r="F88" s="5">
        <f>(1+F87)/((1+F89)*(1+F90))-1</f>
        <v>1.618955512572534</v>
      </c>
      <c r="G88" s="5">
        <f>(1+G87)/((1+G89)*(1+G90))-1</f>
        <v>3.111801242236025</v>
      </c>
      <c r="H88" s="21">
        <f>(1+H87)/((1+H89)*(1+H90))-1</f>
        <v>2.971714844973715</v>
      </c>
      <c r="I88" s="1"/>
      <c r="J88" s="1"/>
      <c r="K88" s="1"/>
      <c r="L88" s="1"/>
    </row>
    <row r="89">
      <c r="B89" s="1" t="s">
        <v>59</v>
      </c>
      <c r="C89" s="17">
        <f>Inputs!L48</f>
        <v>0</v>
      </c>
      <c r="D89" s="17">
        <f>Inputs!L48</f>
        <v>0</v>
      </c>
      <c r="E89" s="17">
        <f>Inputs!L48</f>
        <v>0</v>
      </c>
      <c r="F89" s="17">
        <f>Inputs!L48</f>
        <v>0</v>
      </c>
      <c r="G89" s="17">
        <f>Inputs!L48</f>
        <v>0</v>
      </c>
      <c r="H89" s="40"/>
      <c r="I89" s="1"/>
      <c r="J89" s="1"/>
      <c r="K89" s="1"/>
      <c r="L89" s="1"/>
    </row>
    <row r="90">
      <c r="B90" s="1" t="s">
        <v>84</v>
      </c>
      <c r="C90" s="17">
        <f>Inputs!L49</f>
        <v>0</v>
      </c>
      <c r="D90" s="17">
        <f>Inputs!L49</f>
        <v>0</v>
      </c>
      <c r="E90" s="17">
        <f>Inputs!L49</f>
        <v>0</v>
      </c>
      <c r="F90" s="17">
        <f>Inputs!L49</f>
        <v>0</v>
      </c>
      <c r="G90" s="17">
        <f>Inputs!L49</f>
        <v>0</v>
      </c>
      <c r="H90" s="40"/>
      <c r="I90" s="1"/>
      <c r="J90" s="1"/>
      <c r="K90" s="1"/>
      <c r="L90" s="1"/>
    </row>
    <row r="91">
      <c r="B91" s="1" t="s">
        <v>61</v>
      </c>
      <c r="C91" s="5">
        <f>C87</f>
        <v>0.1658536585365853</v>
      </c>
      <c r="D91" s="5">
        <f>D87</f>
        <v>0.02634420211617372</v>
      </c>
      <c r="E91" s="5">
        <f>E87</f>
        <v>0.4853195164075994</v>
      </c>
      <c r="F91" s="5">
        <f>F87</f>
        <v>1.618955512572534</v>
      </c>
      <c r="G91" s="5">
        <f>G87</f>
        <v>3.111801242236025</v>
      </c>
      <c r="H91" s="21">
        <f>H87</f>
        <v>2.971714844973715</v>
      </c>
      <c r="I91" s="1"/>
      <c r="J91" s="1"/>
      <c r="K91" s="1"/>
      <c r="L91" s="1"/>
    </row>
    <row r="92">
      <c r="B92" s="1"/>
      <c r="C92" s="1"/>
      <c r="D92" s="1"/>
      <c r="E92" s="1"/>
      <c r="F92" s="1"/>
      <c r="G92" s="1"/>
      <c r="H92" s="11"/>
      <c r="I92" s="1"/>
      <c r="J92" s="1"/>
      <c r="K92" s="1"/>
      <c r="L92" s="1"/>
    </row>
    <row r="93">
      <c r="B93" s="1" t="s">
        <v>88</v>
      </c>
      <c r="C93" s="5">
        <f>C51</f>
        <v>-0.75</v>
      </c>
      <c r="D93" s="5">
        <f>D51</f>
        <v>-0.6486486486486487</v>
      </c>
      <c r="E93" s="5">
        <f>E51</f>
        <v>0.6666666666666667</v>
      </c>
      <c r="F93" s="5">
        <f>F51</f>
        <v>-0.16666666666666663</v>
      </c>
      <c r="G93" s="5">
        <f>G51</f>
        <v>1.6666666666666665</v>
      </c>
      <c r="H93" s="21">
        <f>H50/C50-1</f>
        <v>8.6</v>
      </c>
      <c r="I93" s="1"/>
      <c r="J93" s="1"/>
      <c r="K93" s="1"/>
      <c r="L93" s="1"/>
    </row>
    <row r="94">
      <c r="B94" s="1" t="s">
        <v>58</v>
      </c>
      <c r="C94" s="5">
        <f>(1+C93)/((1+C95)*(1+C96))-1</f>
        <v>-0.75</v>
      </c>
      <c r="D94" s="5">
        <f>(1+D93)/((1+D95)*(1+D96))-1</f>
        <v>-0.6486486486486487</v>
      </c>
      <c r="E94" s="5">
        <f>(1+E93)/((1+E95)*(1+E96))-1</f>
        <v>0.6666666666666667</v>
      </c>
      <c r="F94" s="5">
        <f>(1+F93)/((1+F95)*(1+F96))-1</f>
        <v>-0.16666666666666663</v>
      </c>
      <c r="G94" s="5">
        <f>(1+G93)/((1+G95)*(1+G96))-1</f>
        <v>1.6666666666666665</v>
      </c>
      <c r="H94" s="21">
        <f>(1+H93)/((1+H95)*(1+H96))-1</f>
        <v>8.6</v>
      </c>
      <c r="I94" s="1"/>
      <c r="J94" s="1"/>
      <c r="K94" s="1"/>
      <c r="L94" s="1"/>
    </row>
    <row r="95">
      <c r="B95" s="1" t="s">
        <v>59</v>
      </c>
      <c r="C95" s="17">
        <f>Inputs!L48</f>
        <v>0</v>
      </c>
      <c r="D95" s="17">
        <f>Inputs!L48</f>
        <v>0</v>
      </c>
      <c r="E95" s="17">
        <f>Inputs!L48</f>
        <v>0</v>
      </c>
      <c r="F95" s="17">
        <f>Inputs!L48</f>
        <v>0</v>
      </c>
      <c r="G95" s="17">
        <f>Inputs!L48</f>
        <v>0</v>
      </c>
      <c r="H95" s="40"/>
      <c r="I95" s="1"/>
      <c r="J95" s="1"/>
      <c r="K95" s="1"/>
      <c r="L95" s="1"/>
    </row>
    <row r="96">
      <c r="B96" s="1" t="s">
        <v>84</v>
      </c>
      <c r="C96" s="17">
        <f>Inputs!L49</f>
        <v>0</v>
      </c>
      <c r="D96" s="17">
        <f>Inputs!L49</f>
        <v>0</v>
      </c>
      <c r="E96" s="17">
        <f>Inputs!L49</f>
        <v>0</v>
      </c>
      <c r="F96" s="17">
        <f>Inputs!L49</f>
        <v>0</v>
      </c>
      <c r="G96" s="17">
        <f>Inputs!L49</f>
        <v>0</v>
      </c>
      <c r="H96" s="40"/>
      <c r="I96" s="1"/>
      <c r="J96" s="1"/>
      <c r="K96" s="1"/>
      <c r="L96" s="1"/>
    </row>
    <row r="97">
      <c r="B97" s="1" t="s">
        <v>61</v>
      </c>
      <c r="C97" s="5">
        <f>C93</f>
        <v>-0.75</v>
      </c>
      <c r="D97" s="5">
        <f>D93</f>
        <v>-0.6486486486486487</v>
      </c>
      <c r="E97" s="5">
        <f>E93</f>
        <v>0.6666666666666667</v>
      </c>
      <c r="F97" s="5">
        <f>F93</f>
        <v>-0.16666666666666663</v>
      </c>
      <c r="G97" s="5">
        <f>G93</f>
        <v>1.6666666666666665</v>
      </c>
      <c r="H97" s="21">
        <f>H93</f>
        <v>8.6</v>
      </c>
      <c r="I97" s="1"/>
      <c r="J97" s="1"/>
      <c r="K97" s="1"/>
      <c r="L97" s="1"/>
    </row>
    <row r="98">
      <c r="B98" s="1"/>
      <c r="C98" s="1"/>
      <c r="D98" s="1"/>
      <c r="E98" s="1"/>
      <c r="F98" s="1"/>
      <c r="G98" s="1"/>
      <c r="H98" s="11"/>
      <c r="I98" s="1"/>
      <c r="J98" s="1"/>
      <c r="K98" s="1"/>
      <c r="L98" s="1"/>
    </row>
    <row r="99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>
      <c r="B100" s="1" t="s">
        <v>89</v>
      </c>
      <c r="C100" s="8"/>
      <c r="D100" s="8"/>
      <c r="E100" s="8"/>
      <c r="F100" s="8"/>
      <c r="G100" s="8"/>
      <c r="H100" s="19"/>
      <c r="I100" s="1"/>
      <c r="J100" s="1"/>
      <c r="K100" s="1"/>
      <c r="L100" s="1"/>
    </row>
    <row r="101">
      <c r="B101" s="1" t="s">
        <v>90</v>
      </c>
      <c r="C101" s="8"/>
      <c r="D101" s="8"/>
      <c r="E101" s="8">
        <f>E10-C10</f>
        <v>1828</v>
      </c>
      <c r="F101" s="8">
        <f>F10-E10</f>
        <v>7956</v>
      </c>
      <c r="G101" s="8">
        <f>G10-F10</f>
        <v>12560</v>
      </c>
      <c r="H101" s="19">
        <f>H10-G10</f>
        <v>7470.523076923069</v>
      </c>
      <c r="I101" s="1"/>
      <c r="J101" s="1"/>
      <c r="K101" s="1"/>
      <c r="L101" s="1"/>
    </row>
    <row r="102">
      <c r="B102" s="1" t="s">
        <v>91</v>
      </c>
      <c r="C102" s="8"/>
      <c r="D102" s="8"/>
      <c r="E102" s="8">
        <f>E17-C17</f>
        <v>491</v>
      </c>
      <c r="F102" s="8">
        <f>F17-E17</f>
        <v>2254</v>
      </c>
      <c r="G102" s="8">
        <f>G17-F17</f>
        <v>4946</v>
      </c>
      <c r="H102" s="19">
        <f>H17-G17</f>
        <v>2585.1799999999985</v>
      </c>
      <c r="I102" s="1"/>
      <c r="J102" s="1"/>
      <c r="K102" s="1"/>
      <c r="L102" s="1"/>
    </row>
    <row r="103">
      <c r="B103" s="1" t="s">
        <v>92</v>
      </c>
      <c r="C103" s="8"/>
      <c r="D103" s="8"/>
      <c r="E103" s="8">
        <f>E24-C24</f>
        <v>9</v>
      </c>
      <c r="F103" s="8">
        <f>F24-E24</f>
        <v>7</v>
      </c>
      <c r="G103" s="8">
        <f>G24-F24</f>
        <v>90</v>
      </c>
      <c r="H103" s="19">
        <f>H24-G24</f>
        <v>-30.920188461532234</v>
      </c>
      <c r="I103" s="1"/>
      <c r="J103" s="1"/>
      <c r="K103" s="1"/>
      <c r="L103" s="1"/>
    </row>
    <row r="104">
      <c r="B104" s="1" t="s">
        <v>93</v>
      </c>
      <c r="C104" s="8"/>
      <c r="D104" s="8"/>
      <c r="E104" s="8">
        <f>E34-C34</f>
        <v>741</v>
      </c>
      <c r="F104" s="8">
        <f>F34-E34</f>
        <v>2465</v>
      </c>
      <c r="G104" s="8">
        <f>G34-F34</f>
        <v>6020</v>
      </c>
      <c r="H104" s="19">
        <f>H34-G34</f>
        <v>3524.11200076923</v>
      </c>
      <c r="I104" s="1"/>
      <c r="J104" s="1"/>
      <c r="K104" s="1"/>
      <c r="L104" s="1"/>
    </row>
    <row r="105">
      <c r="B105" s="1" t="s">
        <v>94</v>
      </c>
      <c r="C105" s="8"/>
      <c r="D105" s="8"/>
      <c r="E105" s="8">
        <f>(E37-C37)*10000</f>
        <v>-141.97585426675818</v>
      </c>
      <c r="F105" s="8">
        <f>(F37-E37)*10000</f>
        <v>-625.3535629145534</v>
      </c>
      <c r="G105" s="8">
        <f>(G37-F37)*10000</f>
        <v>73.6578727123971</v>
      </c>
      <c r="H105" s="19">
        <f>(H37-G37)*10000</f>
        <v>37.78652126178006</v>
      </c>
      <c r="I105" s="1"/>
      <c r="J105" s="1"/>
      <c r="K105" s="1"/>
      <c r="L105" s="1"/>
    </row>
    <row r="106">
      <c r="B106" s="1" t="s">
        <v>95</v>
      </c>
      <c r="C106" s="8"/>
      <c r="D106" s="8"/>
      <c r="E106" s="8">
        <f>E38-C38</f>
        <v>802</v>
      </c>
      <c r="F106" s="8">
        <f>F38-E38</f>
        <v>3308</v>
      </c>
      <c r="G106" s="8">
        <f>G38-F38</f>
        <v>5837</v>
      </c>
      <c r="H106" s="19">
        <f>H38-G38</f>
        <v>2906.69852</v>
      </c>
      <c r="I106" s="1"/>
      <c r="J106" s="1"/>
      <c r="K106" s="1"/>
      <c r="L106" s="1"/>
    </row>
    <row r="107">
      <c r="B107" s="1" t="s">
        <v>96</v>
      </c>
      <c r="C107" s="8"/>
      <c r="D107" s="8"/>
      <c r="E107" s="8">
        <f>(E41-C41)*10000</f>
        <v>350.0262307164881</v>
      </c>
      <c r="F107" s="8">
        <f>(F41-E41)*10000</f>
        <v>639.7356332128479</v>
      </c>
      <c r="G107" s="8">
        <f>(G41-F41)*10000</f>
        <v>396.3277357983319</v>
      </c>
      <c r="H107" s="19">
        <f>(H41-G41)*10000</f>
        <v>23.308618488736556</v>
      </c>
      <c r="I107" s="1"/>
      <c r="J107" s="1"/>
      <c r="K107" s="1"/>
      <c r="L107" s="1"/>
    </row>
    <row r="108">
      <c r="B108" s="1" t="s">
        <v>97</v>
      </c>
      <c r="C108" s="8"/>
      <c r="D108" s="8"/>
      <c r="E108" s="8">
        <f>E42-C42</f>
        <v>495</v>
      </c>
      <c r="F108" s="8">
        <f>F42-E42</f>
        <v>3456</v>
      </c>
      <c r="G108" s="8">
        <f>G42-F42</f>
        <v>3810</v>
      </c>
      <c r="H108" s="19">
        <f>H42-G42</f>
        <v>2530.9332799999993</v>
      </c>
      <c r="I108" s="1"/>
      <c r="J108" s="1"/>
      <c r="K108" s="1"/>
      <c r="L108" s="1"/>
    </row>
    <row r="109">
      <c r="B109" s="1" t="s">
        <v>98</v>
      </c>
      <c r="C109" s="8"/>
      <c r="D109" s="8"/>
      <c r="E109" s="8">
        <f>(E45-C45)*10000</f>
        <v>-204.20702667079405</v>
      </c>
      <c r="F109" s="8">
        <f>(F45-E45)*10000</f>
        <v>112.953140675785</v>
      </c>
      <c r="G109" s="8">
        <f>(G45-F45)*10000</f>
        <v>-452.6775659376725</v>
      </c>
      <c r="H109" s="19">
        <f>(H45-G45)*10000</f>
        <v>-49.54182525023998</v>
      </c>
      <c r="I109" s="1"/>
      <c r="J109" s="1"/>
      <c r="K109" s="1"/>
      <c r="L109" s="1"/>
    </row>
    <row r="110">
      <c r="B110" s="1" t="s">
        <v>99</v>
      </c>
      <c r="C110" s="8"/>
      <c r="D110" s="8"/>
      <c r="E110" s="8">
        <f>E46-C46</f>
        <v>286</v>
      </c>
      <c r="F110" s="8">
        <f>F46-E46</f>
        <v>988</v>
      </c>
      <c r="G110" s="8">
        <f>G46-F46</f>
        <v>1926</v>
      </c>
      <c r="H110" s="19">
        <f>H46-G46</f>
        <v>1061.439087692307</v>
      </c>
      <c r="I110" s="1"/>
      <c r="J110" s="1"/>
      <c r="K110" s="1"/>
      <c r="L110" s="1"/>
    </row>
    <row r="111">
      <c r="B111" s="1" t="s">
        <v>100</v>
      </c>
      <c r="C111" s="8"/>
      <c r="D111" s="8"/>
      <c r="E111" s="8">
        <f>(E49-C49)*10000</f>
        <v>-6.624450279682503</v>
      </c>
      <c r="F111" s="8">
        <f>(F49-E49)*10000</f>
        <v>-125.76588530212304</v>
      </c>
      <c r="G111" s="8">
        <f>(G49-F49)*10000</f>
        <v>-17.142242005420137</v>
      </c>
      <c r="H111" s="19">
        <f>(H49-G49)*10000</f>
        <v>-11.488331155668218</v>
      </c>
      <c r="I111" s="1"/>
      <c r="J111" s="1"/>
      <c r="K111" s="1"/>
      <c r="L111" s="1"/>
    </row>
    <row r="112">
      <c r="B112" s="1" t="s">
        <v>101</v>
      </c>
      <c r="C112" s="8"/>
      <c r="D112" s="8"/>
      <c r="E112" s="8">
        <f>E50-C50</f>
        <v>4</v>
      </c>
      <c r="F112" s="8">
        <f>F50-E50</f>
        <v>0</v>
      </c>
      <c r="G112" s="8">
        <f>G50-F50</f>
        <v>3</v>
      </c>
      <c r="H112" s="19">
        <f>H50-G50</f>
        <v>1.5999999999999996</v>
      </c>
      <c r="I112" s="1"/>
      <c r="J112" s="1"/>
      <c r="K112" s="1"/>
      <c r="L112" s="1"/>
    </row>
    <row r="113">
      <c r="B113" s="1" t="s">
        <v>102</v>
      </c>
      <c r="C113" s="8"/>
      <c r="D113" s="8"/>
      <c r="E113" s="8">
        <f>(E67-C67)*10000</f>
        <v>2.7811005007464344</v>
      </c>
      <c r="F113" s="8">
        <f>(F67-E67)*10000</f>
        <v>-1.5693256719561608</v>
      </c>
      <c r="G113" s="8">
        <f>(G67-F67)*10000</f>
        <v>-0.16580056763644085</v>
      </c>
      <c r="H113" s="19">
        <f>(H67-G67)*10000</f>
        <v>-0.06498334460848358</v>
      </c>
      <c r="I113" s="1"/>
      <c r="J113" s="1"/>
      <c r="K113" s="1"/>
      <c r="L113" s="1"/>
    </row>
    <row r="114">
      <c r="B114" s="33" t="s">
        <v>103</v>
      </c>
      <c r="C114" s="12"/>
      <c r="D114" s="12"/>
      <c r="E114" s="12">
        <f>E53-C53</f>
        <v>2328</v>
      </c>
      <c r="F114" s="12">
        <f>F53-E53</f>
        <v>10217</v>
      </c>
      <c r="G114" s="12">
        <f>G53-F53</f>
        <v>17596</v>
      </c>
      <c r="H114" s="24">
        <f>H53-G53</f>
        <v>10024.782888461537</v>
      </c>
      <c r="I114" s="1"/>
      <c r="J114" s="1"/>
      <c r="K114" s="1"/>
      <c r="L114" s="1"/>
    </row>
    <row r="115">
      <c r="B115" s="33" t="s">
        <v>104</v>
      </c>
      <c r="C115" s="12"/>
      <c r="D115" s="12"/>
      <c r="E115" s="12">
        <f>SUM(E104,E106,E108,E110,E112)-E114</f>
        <v>0</v>
      </c>
      <c r="F115" s="12">
        <f>SUM(F104,F106,F108,F110,F112)-F114</f>
        <v>0</v>
      </c>
      <c r="G115" s="12">
        <f>SUM(G104,G106,G108,G110,G112)-G114</f>
        <v>0</v>
      </c>
      <c r="H115" s="24">
        <f>SUM(H104,H106,H108,H110,H112)-H114</f>
        <v>0</v>
      </c>
      <c r="I115" s="1"/>
      <c r="J115" s="1"/>
      <c r="K115" s="1"/>
      <c r="L115" s="1"/>
    </row>
    <row r="116">
      <c r="B116" s="1"/>
      <c r="C116" s="8"/>
      <c r="D116" s="8"/>
      <c r="E116" s="8"/>
      <c r="F116" s="8"/>
      <c r="G116" s="8"/>
      <c r="H116" s="19"/>
      <c r="I116" s="1"/>
      <c r="J116" s="1"/>
      <c r="K116" s="1"/>
      <c r="L116" s="1"/>
    </row>
    <row r="117">
      <c r="B117" s="1"/>
      <c r="C117" s="8"/>
      <c r="D117" s="8"/>
      <c r="E117" s="8"/>
      <c r="F117" s="8"/>
      <c r="G117" s="8"/>
      <c r="H117" s="19"/>
      <c r="I117" s="1"/>
      <c r="J117" s="1"/>
      <c r="K117" s="1"/>
      <c r="L117" s="1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B2:L85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10" customWidth="1"/>
    <col min="2" max="2" width="34" customWidth="1"/>
    <col min="3" max="8" width="14" customWidth="1"/>
    <col min="9" max="9" width="3" customWidth="1"/>
    <col min="10" max="10" width="37" customWidth="1"/>
    <col min="11" max="11" width="33" customWidth="1"/>
    <col min="12" max="12" width="20" customWidth="1"/>
  </cols>
  <sheetData>
    <row r="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B3" s="1" t="s">
        <v>105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5" t="s">
        <v>9</v>
      </c>
      <c r="I5" s="1"/>
      <c r="J5" s="1"/>
      <c r="K5" s="1"/>
      <c r="L5" s="1"/>
    </row>
    <row r="6">
      <c r="B6" s="10" t="s">
        <v>10</v>
      </c>
      <c r="C6" s="2">
        <v>45897</v>
      </c>
      <c r="D6" s="2">
        <v>45897</v>
      </c>
      <c r="E6" s="2">
        <v>45988</v>
      </c>
      <c r="F6" s="2">
        <v>46079</v>
      </c>
      <c r="G6" s="2">
        <v>46170</v>
      </c>
      <c r="H6" s="29">
        <v>46268</v>
      </c>
      <c r="I6" s="1"/>
      <c r="J6" s="1"/>
      <c r="K6" s="1"/>
      <c r="L6" s="1"/>
    </row>
    <row r="7">
      <c r="B7" s="10" t="s">
        <v>11</v>
      </c>
      <c r="C7" s="10">
        <v>91</v>
      </c>
      <c r="D7" s="10">
        <v>364</v>
      </c>
      <c r="E7" s="10">
        <v>91</v>
      </c>
      <c r="F7" s="10">
        <v>91</v>
      </c>
      <c r="G7" s="10">
        <v>91</v>
      </c>
      <c r="H7" s="25">
        <v>98</v>
      </c>
      <c r="I7" s="1"/>
      <c r="J7" s="1"/>
      <c r="K7" s="1"/>
      <c r="L7" s="1"/>
    </row>
    <row r="8">
      <c r="B8" s="1"/>
      <c r="C8" s="1"/>
      <c r="D8" s="1"/>
      <c r="E8" s="1"/>
      <c r="F8" s="1"/>
      <c r="G8" s="1"/>
      <c r="H8" s="11"/>
      <c r="I8" s="1"/>
      <c r="J8" s="1"/>
      <c r="K8" s="1"/>
      <c r="L8" s="1"/>
    </row>
    <row r="9">
      <c r="B9" s="1" t="s">
        <v>106</v>
      </c>
      <c r="C9" s="8"/>
      <c r="D9" s="8"/>
      <c r="E9" s="8"/>
      <c r="F9" s="8"/>
      <c r="G9" s="8"/>
      <c r="H9" s="19"/>
      <c r="I9" s="1"/>
      <c r="J9" s="1" t="s">
        <v>34</v>
      </c>
      <c r="K9" s="1"/>
      <c r="L9" s="1"/>
    </row>
    <row r="10">
      <c r="B10" s="1" t="s">
        <v>107</v>
      </c>
      <c r="C10" s="8"/>
      <c r="D10" s="8"/>
      <c r="E10" s="8">
        <f>C20</f>
        <v>4543</v>
      </c>
      <c r="F10" s="8">
        <f>E20</f>
        <v>5284</v>
      </c>
      <c r="G10" s="8">
        <f>F20</f>
        <v>7749</v>
      </c>
      <c r="H10" s="19">
        <f>G20</f>
        <v>13769</v>
      </c>
      <c r="I10" s="1"/>
      <c r="J10" s="1"/>
      <c r="K10" s="1"/>
      <c r="L10" s="1"/>
    </row>
    <row r="11">
      <c r="B11" s="1" t="s">
        <v>108</v>
      </c>
      <c r="C11" s="8"/>
      <c r="D11" s="8"/>
      <c r="E11" s="8"/>
      <c r="F11" s="8"/>
      <c r="G11" s="8"/>
      <c r="H11" s="19">
        <f>H10/G7</f>
        <v>151.30769230769232</v>
      </c>
      <c r="I11" s="1"/>
      <c r="J11" s="1"/>
      <c r="K11" s="1"/>
      <c r="L11" s="1"/>
    </row>
    <row r="12">
      <c r="B12" s="1" t="s">
        <v>109</v>
      </c>
      <c r="C12" s="8"/>
      <c r="D12" s="8"/>
      <c r="E12" s="8"/>
      <c r="F12" s="8"/>
      <c r="G12" s="8"/>
      <c r="H12" s="19">
        <f>H7</f>
        <v>98</v>
      </c>
      <c r="I12" s="1"/>
      <c r="J12" s="1"/>
      <c r="K12" s="1"/>
      <c r="L12" s="1"/>
    </row>
    <row r="13">
      <c r="B13" s="1" t="s">
        <v>110</v>
      </c>
      <c r="C13" s="5"/>
      <c r="D13" s="5"/>
      <c r="E13" s="5"/>
      <c r="F13" s="5"/>
      <c r="G13" s="5"/>
      <c r="H13" s="20">
        <f>Inputs!L10</f>
        <v>0.015</v>
      </c>
      <c r="I13" s="1"/>
      <c r="J13" s="1"/>
      <c r="K13" s="1"/>
      <c r="L13" s="1"/>
    </row>
    <row r="14">
      <c r="B14" s="1" t="s">
        <v>111</v>
      </c>
      <c r="C14" s="8"/>
      <c r="D14" s="8"/>
      <c r="E14" s="8"/>
      <c r="F14" s="8"/>
      <c r="G14" s="8"/>
      <c r="H14" s="19">
        <f>H13*10000</f>
        <v>150</v>
      </c>
      <c r="I14" s="1"/>
      <c r="J14" s="1"/>
      <c r="K14" s="1"/>
      <c r="L14" s="1"/>
    </row>
    <row r="15">
      <c r="B15" s="1" t="s">
        <v>112</v>
      </c>
      <c r="C15" s="5"/>
      <c r="D15" s="5"/>
      <c r="E15" s="5"/>
      <c r="F15" s="5"/>
      <c r="G15" s="5"/>
      <c r="H15" s="20">
        <f>Inputs!L11</f>
        <v>0.149</v>
      </c>
      <c r="I15" s="1"/>
      <c r="J15" s="1"/>
      <c r="K15" s="1"/>
      <c r="L15" s="1"/>
    </row>
    <row r="16">
      <c r="B16" s="1" t="s">
        <v>113</v>
      </c>
      <c r="C16" s="8"/>
      <c r="D16" s="8"/>
      <c r="E16" s="8"/>
      <c r="F16" s="8"/>
      <c r="G16" s="8"/>
      <c r="H16" s="19">
        <f>H15*10000</f>
        <v>1490</v>
      </c>
      <c r="I16" s="1"/>
      <c r="J16" s="1"/>
      <c r="K16" s="1"/>
      <c r="L16" s="1"/>
    </row>
    <row r="17">
      <c r="B17" s="1" t="s">
        <v>114</v>
      </c>
      <c r="C17" s="8"/>
      <c r="D17" s="8"/>
      <c r="E17" s="8"/>
      <c r="F17" s="8"/>
      <c r="G17" s="8"/>
      <c r="H17" s="19">
        <f>H11*H12</f>
        <v>14828.153846153848</v>
      </c>
      <c r="I17" s="1"/>
      <c r="J17" s="1"/>
      <c r="K17" s="1"/>
      <c r="L17" s="1"/>
    </row>
    <row r="18">
      <c r="B18" s="1" t="s">
        <v>115</v>
      </c>
      <c r="C18" s="8"/>
      <c r="D18" s="8"/>
      <c r="E18" s="8"/>
      <c r="F18" s="8"/>
      <c r="G18" s="8"/>
      <c r="H18" s="19">
        <f>H17*(H47/H43-1)</f>
        <v>222.42230769230628</v>
      </c>
      <c r="I18" s="1"/>
      <c r="J18" s="1"/>
      <c r="K18" s="1"/>
      <c r="L18" s="1"/>
    </row>
    <row r="19">
      <c r="B19" s="1" t="s">
        <v>116</v>
      </c>
      <c r="C19" s="8"/>
      <c r="D19" s="8"/>
      <c r="E19" s="8"/>
      <c r="F19" s="8"/>
      <c r="G19" s="8"/>
      <c r="H19" s="19">
        <f>(H17+H18)*(H51-1)</f>
        <v>2242.5358469230773</v>
      </c>
      <c r="I19" s="1"/>
      <c r="J19" s="1"/>
      <c r="K19" s="1"/>
      <c r="L19" s="1"/>
    </row>
    <row r="20">
      <c r="B20" s="1" t="s">
        <v>117</v>
      </c>
      <c r="C20" s="22">
        <v>4543</v>
      </c>
      <c r="D20" s="22">
        <v>13524</v>
      </c>
      <c r="E20" s="22">
        <v>5284</v>
      </c>
      <c r="F20" s="22">
        <v>7749</v>
      </c>
      <c r="G20" s="22">
        <v>13769</v>
      </c>
      <c r="H20" s="9">
        <f>SUM(H17:H19)</f>
        <v>17293.11200076923</v>
      </c>
      <c r="I20" s="1"/>
      <c r="J20" s="1"/>
      <c r="K20" s="1"/>
      <c r="L20" s="1"/>
    </row>
    <row r="21">
      <c r="B21" s="1" t="s">
        <v>118</v>
      </c>
      <c r="C21" s="17">
        <f>IFERROR(C20/Inputs!Q85-1,0)</f>
        <v>2.135265700483092</v>
      </c>
      <c r="D21" s="17">
        <f>IFERROR(D20/Inputs!Q84-1,0)</f>
        <v>2.5664556962025316</v>
      </c>
      <c r="E21" s="17">
        <f>IFERROR(E20/Inputs!Q81-1,0)</f>
        <v>0.9954682779456194</v>
      </c>
      <c r="F21" s="17">
        <f>IFERROR(F20/Inputs!Q82-1,0)</f>
        <v>1.6294536817102139</v>
      </c>
      <c r="G21" s="17">
        <f>IFERROR(G20/Inputs!Q83-1,0)</f>
        <v>3.066450088600118</v>
      </c>
      <c r="H21" s="21">
        <f>H20/C20-1</f>
        <v>2.806540171862036</v>
      </c>
      <c r="I21" s="1"/>
      <c r="J21" s="1"/>
      <c r="K21" s="1"/>
      <c r="L21" s="1"/>
    </row>
    <row r="22">
      <c r="B22" s="1" t="s">
        <v>119</v>
      </c>
      <c r="C22" s="5"/>
      <c r="D22" s="5"/>
      <c r="E22" s="5">
        <f>IFERROR(E20/C20-1,0)</f>
        <v>0.16310807836231556</v>
      </c>
      <c r="F22" s="5">
        <f>IFERROR(F20/E20-1,0)</f>
        <v>0.4665026495079485</v>
      </c>
      <c r="G22" s="5">
        <f>IFERROR(G20/F20-1,0)</f>
        <v>0.7768744354110209</v>
      </c>
      <c r="H22" s="21">
        <f>H20/G20-1</f>
        <v>0.2559453846153845</v>
      </c>
      <c r="I22" s="1"/>
      <c r="J22" s="1"/>
      <c r="K22" s="1"/>
      <c r="L22" s="1"/>
    </row>
    <row r="23">
      <c r="B23" s="1" t="s">
        <v>120</v>
      </c>
      <c r="C23" s="17">
        <f>IFERROR(C20/'Revenue summary'!C53,0)</f>
        <v>0.4015024304021211</v>
      </c>
      <c r="D23" s="17">
        <f>IFERROR(D20/'Revenue summary'!D53,0)</f>
        <v>0.3618171116699663</v>
      </c>
      <c r="E23" s="17">
        <f>IFERROR(E20/'Revenue summary'!E53,0)</f>
        <v>0.38730484497544526</v>
      </c>
      <c r="F23" s="17">
        <f>IFERROR(F20/'Revenue summary'!F53,0)</f>
        <v>0.3247694886839899</v>
      </c>
      <c r="G23" s="17">
        <f>IFERROR(G20/'Revenue summary'!G53,0)</f>
        <v>0.3321352759552296</v>
      </c>
      <c r="H23" s="20">
        <f>IFERROR(H20/'Revenue summary'!H53,0)</f>
        <v>0.33591392808140763</v>
      </c>
      <c r="I23" s="1"/>
      <c r="J23" s="1"/>
      <c r="K23" s="1"/>
      <c r="L23" s="1"/>
    </row>
    <row r="24">
      <c r="B24" s="1" t="s">
        <v>121</v>
      </c>
      <c r="C24" s="5">
        <f>(1+C27)/((1+C25)*(1+C26))-1</f>
        <v>2.135265700483092</v>
      </c>
      <c r="D24" s="5">
        <f>(1+D27)/((1+D25)*(1+D26))-1</f>
        <v>2.5664556962025316</v>
      </c>
      <c r="E24" s="5">
        <f>(1+E27)/((1+E25)*(1+E26))-1</f>
        <v>0.9954682779456194</v>
      </c>
      <c r="F24" s="5">
        <f>(1+F27)/((1+F25)*(1+F26))-1</f>
        <v>1.6294536817102139</v>
      </c>
      <c r="G24" s="5">
        <f>(1+G27)/((1+G25)*(1+G26))-1</f>
        <v>3.066450088600118</v>
      </c>
      <c r="H24" s="21">
        <f>(1+H21)/((1+H25)*(1+H26))-1</f>
        <v>2.806540171862036</v>
      </c>
      <c r="I24" s="1"/>
      <c r="J24" s="1"/>
      <c r="K24" s="1"/>
      <c r="L24" s="1"/>
    </row>
    <row r="25">
      <c r="B25" s="1" t="s">
        <v>122</v>
      </c>
      <c r="C25" s="17">
        <f>Inputs!L48</f>
        <v>0</v>
      </c>
      <c r="D25" s="17">
        <f>Inputs!L48</f>
        <v>0</v>
      </c>
      <c r="E25" s="17">
        <f>Inputs!L48</f>
        <v>0</v>
      </c>
      <c r="F25" s="17">
        <f>Inputs!L48</f>
        <v>0</v>
      </c>
      <c r="G25" s="17">
        <f>Inputs!L48</f>
        <v>0</v>
      </c>
      <c r="H25" s="20">
        <f>Inputs!L48</f>
        <v>0</v>
      </c>
      <c r="I25" s="1"/>
      <c r="J25" s="1"/>
      <c r="K25" s="1"/>
      <c r="L25" s="1"/>
    </row>
    <row r="26">
      <c r="B26" s="1" t="s">
        <v>84</v>
      </c>
      <c r="C26" s="17">
        <f>Inputs!L49</f>
        <v>0</v>
      </c>
      <c r="D26" s="17">
        <f>Inputs!L49</f>
        <v>0</v>
      </c>
      <c r="E26" s="17">
        <f>Inputs!L49</f>
        <v>0</v>
      </c>
      <c r="F26" s="17">
        <f>Inputs!L49</f>
        <v>0</v>
      </c>
      <c r="G26" s="17">
        <f>Inputs!L49</f>
        <v>0</v>
      </c>
      <c r="H26" s="20">
        <f>Inputs!L49</f>
        <v>0</v>
      </c>
      <c r="I26" s="1"/>
      <c r="J26" s="1"/>
      <c r="K26" s="1"/>
      <c r="L26" s="1"/>
    </row>
    <row r="27">
      <c r="B27" s="1" t="s">
        <v>123</v>
      </c>
      <c r="C27" s="5">
        <f>C21</f>
        <v>2.135265700483092</v>
      </c>
      <c r="D27" s="5">
        <f>D21</f>
        <v>2.5664556962025316</v>
      </c>
      <c r="E27" s="5">
        <f>E21</f>
        <v>0.9954682779456194</v>
      </c>
      <c r="F27" s="5">
        <f>F21</f>
        <v>1.6294536817102139</v>
      </c>
      <c r="G27" s="5">
        <f>G21</f>
        <v>3.066450088600118</v>
      </c>
      <c r="H27" s="21">
        <f>H21</f>
        <v>2.806540171862036</v>
      </c>
      <c r="I27" s="1"/>
      <c r="J27" s="1"/>
      <c r="K27" s="1"/>
      <c r="L27" s="1"/>
    </row>
    <row r="28">
      <c r="B28" s="1"/>
      <c r="C28" s="16"/>
      <c r="D28" s="16"/>
      <c r="E28" s="16"/>
      <c r="F28" s="16"/>
      <c r="G28" s="16"/>
      <c r="H28" s="27"/>
      <c r="I28" s="1"/>
      <c r="J28" s="1"/>
      <c r="K28" s="1"/>
      <c r="L28" s="1"/>
    </row>
    <row r="29">
      <c r="B29" s="1" t="s">
        <v>124</v>
      </c>
      <c r="C29" s="8"/>
      <c r="D29" s="8"/>
      <c r="E29" s="8"/>
      <c r="F29" s="8"/>
      <c r="G29" s="8"/>
      <c r="H29" s="19"/>
      <c r="I29" s="1"/>
      <c r="J29" s="1"/>
      <c r="K29" s="1"/>
      <c r="L29" s="1"/>
    </row>
    <row r="30">
      <c r="B30" s="1" t="s">
        <v>125</v>
      </c>
      <c r="C30" s="13">
        <f>D30-Inputs!N90</f>
        <v>1842</v>
      </c>
      <c r="D30" s="4">
        <v>5867</v>
      </c>
      <c r="E30" s="4">
        <v>1817</v>
      </c>
      <c r="F30" s="4">
        <v>2002</v>
      </c>
      <c r="G30" s="4">
        <v>2278</v>
      </c>
      <c r="H30" s="6">
        <f>H20*(1-Inputs!L50)</f>
        <v>2559.3805761138465</v>
      </c>
      <c r="I30" s="1"/>
      <c r="J30" s="1"/>
      <c r="K30" s="1"/>
      <c r="L30" s="1"/>
    </row>
    <row r="31">
      <c r="B31" s="1" t="s">
        <v>126</v>
      </c>
      <c r="C31" s="12">
        <f>C20-C30</f>
        <v>2701</v>
      </c>
      <c r="D31" s="12">
        <f>D20-D30</f>
        <v>7657</v>
      </c>
      <c r="E31" s="12">
        <f>E20-E30</f>
        <v>3467</v>
      </c>
      <c r="F31" s="12">
        <f>F20-F30</f>
        <v>5747</v>
      </c>
      <c r="G31" s="12">
        <f>G20-G30</f>
        <v>11491</v>
      </c>
      <c r="H31" s="24">
        <f>H20-H30</f>
        <v>14733.731424655383</v>
      </c>
      <c r="I31" s="1"/>
      <c r="J31" s="1"/>
      <c r="K31" s="1"/>
      <c r="L31" s="1"/>
    </row>
    <row r="32">
      <c r="B32" s="1" t="s">
        <v>127</v>
      </c>
      <c r="C32" s="5">
        <f>C31/C20</f>
        <v>0.5945410521681708</v>
      </c>
      <c r="D32" s="5">
        <f>IFERROR(D31/D20,0)</f>
        <v>0.566178645371192</v>
      </c>
      <c r="E32" s="5">
        <f>IFERROR(E31/E20,0)</f>
        <v>0.6561317183951552</v>
      </c>
      <c r="F32" s="5">
        <f>IFERROR(F31/F20,0)</f>
        <v>0.7416440831074977</v>
      </c>
      <c r="G32" s="5">
        <f>IFERROR(G31/G20,0)</f>
        <v>0.8345558864115041</v>
      </c>
      <c r="H32" s="21">
        <f>H31/H20</f>
        <v>0.852</v>
      </c>
      <c r="I32" s="1"/>
      <c r="J32" s="1"/>
      <c r="K32" s="1"/>
      <c r="L32" s="1"/>
    </row>
    <row r="33">
      <c r="B33" s="1" t="s">
        <v>128</v>
      </c>
      <c r="C33" s="8"/>
      <c r="D33" s="8"/>
      <c r="E33" s="8">
        <f>(E32-C32)*10000</f>
        <v>615.9066622698439</v>
      </c>
      <c r="F33" s="8">
        <f>(F32-E32)*10000</f>
        <v>855.1236471234258</v>
      </c>
      <c r="G33" s="8">
        <f>(G32-F32)*10000</f>
        <v>929.1180330400639</v>
      </c>
      <c r="H33" s="19">
        <f>(H32-G32)*10000</f>
        <v>174.44113588495847</v>
      </c>
      <c r="I33" s="1"/>
      <c r="J33" s="1"/>
      <c r="K33" s="1"/>
      <c r="L33" s="1"/>
    </row>
    <row r="34">
      <c r="B34" s="1" t="s">
        <v>129</v>
      </c>
      <c r="C34" s="13">
        <f>D34-Inputs!N91</f>
        <v>464</v>
      </c>
      <c r="D34" s="4">
        <v>1315</v>
      </c>
      <c r="E34" s="4">
        <v>500</v>
      </c>
      <c r="F34" s="4">
        <v>536</v>
      </c>
      <c r="G34" s="4">
        <v>592</v>
      </c>
      <c r="H34" s="19">
        <f>G34*H7/G7</f>
        <v>637.5384615384615</v>
      </c>
      <c r="I34" s="1"/>
      <c r="J34" s="1"/>
      <c r="K34" s="1"/>
      <c r="L34" s="1"/>
    </row>
    <row r="35">
      <c r="B35" s="1" t="s">
        <v>130</v>
      </c>
      <c r="C35" s="13">
        <f>D35-Inputs!N92</f>
        <v>67</v>
      </c>
      <c r="D35" s="4">
        <v>213</v>
      </c>
      <c r="E35" s="4">
        <v>83</v>
      </c>
      <c r="F35" s="4">
        <v>83</v>
      </c>
      <c r="G35" s="4">
        <v>108</v>
      </c>
      <c r="H35" s="19">
        <f>G35*H7/G7</f>
        <v>116.3076923076923</v>
      </c>
      <c r="I35" s="1"/>
      <c r="J35" s="1"/>
      <c r="K35" s="1"/>
      <c r="L35" s="1"/>
    </row>
    <row r="36">
      <c r="B36" s="1" t="s">
        <v>131</v>
      </c>
      <c r="C36" s="13">
        <f>D36-Inputs!N93</f>
        <v>0</v>
      </c>
      <c r="D36" s="4">
        <v>0</v>
      </c>
      <c r="E36" s="4">
        <v>0</v>
      </c>
      <c r="F36" s="4">
        <v>1</v>
      </c>
      <c r="G36" s="4">
        <v>-2</v>
      </c>
      <c r="H36" s="19">
        <f>G36</f>
        <v>-2</v>
      </c>
      <c r="I36" s="1"/>
      <c r="J36" s="1"/>
      <c r="K36" s="1"/>
      <c r="L36" s="1"/>
    </row>
    <row r="37">
      <c r="B37" s="1" t="s">
        <v>132</v>
      </c>
      <c r="C37" s="7">
        <f>C31-SUM(C34:C36)</f>
        <v>2170</v>
      </c>
      <c r="D37" s="7">
        <f>D31-SUM(D34:D36)</f>
        <v>6129</v>
      </c>
      <c r="E37" s="7">
        <f>E31-SUM(E34:E36)</f>
        <v>2884</v>
      </c>
      <c r="F37" s="7">
        <f>F31-SUM(F34:F36)</f>
        <v>5127</v>
      </c>
      <c r="G37" s="7">
        <f>G31-SUM(G34:G36)</f>
        <v>10793</v>
      </c>
      <c r="H37" s="9">
        <f>H31-SUM(H34:H36)</f>
        <v>13981.885270809229</v>
      </c>
      <c r="I37" s="1"/>
      <c r="J37" s="1"/>
      <c r="K37" s="1"/>
      <c r="L37" s="1"/>
    </row>
    <row r="38">
      <c r="B38" s="1" t="s">
        <v>133</v>
      </c>
      <c r="C38" s="5">
        <f>C37/C20</f>
        <v>0.4776579352850539</v>
      </c>
      <c r="D38" s="5">
        <f>IFERROR(D37/D20,0)</f>
        <v>0.4531943212067436</v>
      </c>
      <c r="E38" s="5">
        <f>IFERROR(E37/E20,0)</f>
        <v>0.5457986373959122</v>
      </c>
      <c r="F38" s="5">
        <f>IFERROR(F37/F20,0)</f>
        <v>0.6616337591947348</v>
      </c>
      <c r="G38" s="5">
        <f>IFERROR(G37/G20,0)</f>
        <v>0.7838622993681459</v>
      </c>
      <c r="H38" s="21">
        <f>H37/H20</f>
        <v>0.8085233745197099</v>
      </c>
      <c r="I38" s="1"/>
      <c r="J38" s="1"/>
      <c r="K38" s="1"/>
      <c r="L38" s="1"/>
    </row>
    <row r="39">
      <c r="B39" s="1" t="s">
        <v>134</v>
      </c>
      <c r="C39" s="8"/>
      <c r="D39" s="8"/>
      <c r="E39" s="8">
        <f>(E38-C38)*10000</f>
        <v>681.4070211085826</v>
      </c>
      <c r="F39" s="8">
        <f>(F38-E38)*10000</f>
        <v>1158.3512179882262</v>
      </c>
      <c r="G39" s="8">
        <f>(G38-F38)*10000</f>
        <v>1222.2854017341112</v>
      </c>
      <c r="H39" s="19">
        <f>(H38-G38)*10000</f>
        <v>246.61075151564015</v>
      </c>
      <c r="I39" s="1"/>
      <c r="J39" s="1"/>
      <c r="K39" s="1"/>
      <c r="L39" s="1"/>
    </row>
    <row r="40">
      <c r="B40" s="1" t="s">
        <v>135</v>
      </c>
      <c r="C40" s="5"/>
      <c r="D40" s="17">
        <f>IFERROR(D37/Inputs!W84-1,0)</f>
        <v>24.118852459016395</v>
      </c>
      <c r="E40" s="17">
        <f>IFERROR(E37/Inputs!W81-1,0)</f>
        <v>1.7054409005628517</v>
      </c>
      <c r="F40" s="17">
        <f>IFERROR(F37/Inputs!W82-1,0)</f>
        <v>2.8840909090909093</v>
      </c>
      <c r="G40" s="17">
        <f>IFERROR(G37/Inputs!W83-1,0)</f>
        <v>5.8614113159567705</v>
      </c>
      <c r="H40" s="21">
        <f>H37/C37-1</f>
        <v>5.443265101755405</v>
      </c>
      <c r="I40" s="1"/>
      <c r="J40" s="1"/>
      <c r="K40" s="1"/>
      <c r="L40" s="1"/>
    </row>
    <row r="41">
      <c r="B41" s="1" t="s">
        <v>136</v>
      </c>
      <c r="C41" s="8"/>
      <c r="D41" s="8"/>
      <c r="E41" s="8">
        <f>E37-C37</f>
        <v>714</v>
      </c>
      <c r="F41" s="8">
        <f>F37-E37</f>
        <v>2243</v>
      </c>
      <c r="G41" s="8">
        <f>G37-F37</f>
        <v>5666</v>
      </c>
      <c r="H41" s="19">
        <f>H37-G37</f>
        <v>3188.885270809229</v>
      </c>
      <c r="I41" s="1"/>
      <c r="J41" s="1"/>
      <c r="K41" s="1"/>
      <c r="L41" s="1"/>
    </row>
    <row r="42">
      <c r="B42" s="1" t="s">
        <v>137</v>
      </c>
      <c r="C42" s="1"/>
      <c r="D42" s="1"/>
      <c r="E42" s="1"/>
      <c r="F42" s="1"/>
      <c r="G42" s="1"/>
      <c r="H42" s="11"/>
      <c r="I42" s="1"/>
      <c r="J42" s="1" t="s">
        <v>138</v>
      </c>
      <c r="K42" s="1"/>
      <c r="L42" s="1"/>
    </row>
    <row r="43">
      <c r="B43" s="1" t="s">
        <v>139</v>
      </c>
      <c r="C43" s="1"/>
      <c r="D43" s="1"/>
      <c r="E43" s="1"/>
      <c r="F43" s="1"/>
      <c r="G43" s="1"/>
      <c r="H43" s="11">
        <f>G47</f>
        <v>1</v>
      </c>
      <c r="I43" s="1"/>
      <c r="J43" s="1"/>
      <c r="K43" s="1"/>
      <c r="L43" s="1"/>
    </row>
    <row r="44">
      <c r="B44" s="1" t="s">
        <v>140</v>
      </c>
      <c r="C44" s="1"/>
      <c r="D44" s="1"/>
      <c r="E44" s="1"/>
      <c r="F44" s="1"/>
      <c r="G44" s="1"/>
      <c r="H44" s="11">
        <f>MAX(H43*H13,0)</f>
        <v>0.015</v>
      </c>
      <c r="I44" s="1"/>
      <c r="J44" s="1"/>
      <c r="K44" s="1"/>
      <c r="L44" s="1"/>
    </row>
    <row r="45">
      <c r="B45" s="1" t="s">
        <v>141</v>
      </c>
      <c r="C45" s="1"/>
      <c r="D45" s="1"/>
      <c r="E45" s="1"/>
      <c r="F45" s="1"/>
      <c r="G45" s="1"/>
      <c r="H45" s="11">
        <f>MIN(H43*H13,0)</f>
        <v>0</v>
      </c>
      <c r="I45" s="1"/>
      <c r="J45" s="1"/>
      <c r="K45" s="1"/>
      <c r="L45" s="1"/>
    </row>
    <row r="46">
      <c r="B46" s="1" t="s">
        <v>142</v>
      </c>
      <c r="C46" s="1"/>
      <c r="D46" s="1"/>
      <c r="E46" s="1"/>
      <c r="F46" s="1"/>
      <c r="G46" s="1"/>
      <c r="H46" s="11">
        <f>SUM(H44:H45)</f>
        <v>0.015</v>
      </c>
      <c r="I46" s="1"/>
      <c r="J46" s="1"/>
      <c r="K46" s="1"/>
      <c r="L46" s="1"/>
    </row>
    <row r="47">
      <c r="B47" s="1" t="s">
        <v>143</v>
      </c>
      <c r="C47" s="1"/>
      <c r="D47" s="1"/>
      <c r="E47" s="1"/>
      <c r="F47" s="1"/>
      <c r="G47" s="23">
        <f>Inputs!L64</f>
        <v>1</v>
      </c>
      <c r="H47" s="34">
        <f>H43+H46</f>
        <v>1.015</v>
      </c>
      <c r="I47" s="1"/>
      <c r="J47" s="1"/>
      <c r="K47" s="1"/>
      <c r="L47" s="1"/>
    </row>
    <row r="48">
      <c r="B48" s="1" t="s">
        <v>144</v>
      </c>
      <c r="C48" s="1"/>
      <c r="D48" s="1"/>
      <c r="E48" s="1"/>
      <c r="F48" s="1"/>
      <c r="G48" s="1"/>
      <c r="H48" s="11">
        <f>AVERAGE(H43,H47)</f>
        <v>1.0074999999999998</v>
      </c>
      <c r="I48" s="1"/>
      <c r="J48" s="1"/>
      <c r="K48" s="1"/>
      <c r="L48" s="1"/>
    </row>
    <row r="49">
      <c r="B49" s="1" t="s">
        <v>145</v>
      </c>
      <c r="C49" s="1"/>
      <c r="D49" s="1"/>
      <c r="E49" s="1"/>
      <c r="F49" s="1"/>
      <c r="G49" s="1"/>
      <c r="H49" s="11">
        <f>H47-G47</f>
        <v>0.014999999999999902</v>
      </c>
      <c r="I49" s="1"/>
      <c r="J49" s="1"/>
      <c r="K49" s="1"/>
      <c r="L49" s="1"/>
    </row>
    <row r="50">
      <c r="B50" s="1" t="s">
        <v>146</v>
      </c>
      <c r="C50" s="1"/>
      <c r="D50" s="1"/>
      <c r="E50" s="1"/>
      <c r="F50" s="1"/>
      <c r="G50" s="1"/>
      <c r="H50" s="21">
        <f>H47/G47-1</f>
        <v>0.014999999999999902</v>
      </c>
      <c r="I50" s="1"/>
      <c r="J50" s="1"/>
      <c r="K50" s="1"/>
      <c r="L50" s="1"/>
    </row>
    <row r="51">
      <c r="B51" s="1" t="s">
        <v>147</v>
      </c>
      <c r="C51" s="1"/>
      <c r="D51" s="1"/>
      <c r="E51" s="1"/>
      <c r="F51" s="1"/>
      <c r="G51" s="47">
        <f>Inputs!L64</f>
        <v>1</v>
      </c>
      <c r="H51" s="45">
        <f>Inputs!L64*(1+H15)</f>
        <v>1.149</v>
      </c>
      <c r="I51" s="1"/>
      <c r="J51" s="1"/>
      <c r="K51" s="1"/>
      <c r="L51" s="1"/>
    </row>
    <row r="52">
      <c r="B52" s="1" t="s">
        <v>148</v>
      </c>
      <c r="C52" s="1"/>
      <c r="D52" s="1"/>
      <c r="E52" s="1"/>
      <c r="F52" s="1"/>
      <c r="G52" s="1"/>
      <c r="H52" s="21">
        <f>H51-G51</f>
        <v>0.14900000000000002</v>
      </c>
      <c r="I52" s="1"/>
      <c r="J52" s="1"/>
      <c r="K52" s="1"/>
      <c r="L52" s="1"/>
    </row>
    <row r="53">
      <c r="B53" s="1" t="s">
        <v>149</v>
      </c>
      <c r="C53" s="1"/>
      <c r="D53" s="1"/>
      <c r="E53" s="1"/>
      <c r="F53" s="1"/>
      <c r="G53" s="1" t="s">
        <v>44</v>
      </c>
      <c r="H53" s="11" t="s">
        <v>44</v>
      </c>
      <c r="I53" s="1"/>
      <c r="J53" s="1"/>
      <c r="K53" s="1"/>
      <c r="L53" s="1"/>
    </row>
    <row r="54">
      <c r="B54" s="1" t="s">
        <v>150</v>
      </c>
      <c r="C54" s="13">
        <f>C37-(D37-Inputs!N94)</f>
        <v>0</v>
      </c>
      <c r="D54" s="8"/>
      <c r="E54" s="8"/>
      <c r="F54" s="8"/>
      <c r="G54" s="8"/>
      <c r="H54" s="8"/>
      <c r="I54" s="1"/>
      <c r="J54" s="1"/>
      <c r="K54" s="1"/>
      <c r="L54" s="1"/>
    </row>
    <row r="55">
      <c r="B55" s="1" t="s">
        <v>151</v>
      </c>
      <c r="C55" s="8"/>
      <c r="D55" s="8"/>
      <c r="E55" s="8">
        <f>E20-C20</f>
        <v>741</v>
      </c>
      <c r="F55" s="8">
        <f>F20-E20</f>
        <v>2465</v>
      </c>
      <c r="G55" s="8">
        <f>G20-F20</f>
        <v>6020</v>
      </c>
      <c r="H55" s="19">
        <f>H20-G20</f>
        <v>3524.11200076923</v>
      </c>
      <c r="I55" s="1"/>
      <c r="J55" s="1"/>
      <c r="K55" s="1"/>
      <c r="L55" s="1"/>
    </row>
    <row r="56">
      <c r="B56" s="1" t="s">
        <v>152</v>
      </c>
      <c r="C56" s="8"/>
      <c r="D56" s="8"/>
      <c r="E56" s="8">
        <f>(E23-C23)*10000</f>
        <v>-141.97585426675818</v>
      </c>
      <c r="F56" s="8">
        <f>(F23-E23)*10000</f>
        <v>-625.3535629145534</v>
      </c>
      <c r="G56" s="8">
        <f>(G23-F23)*10000</f>
        <v>73.6578727123971</v>
      </c>
      <c r="H56" s="19">
        <f>(H23-G23)*10000</f>
        <v>37.78652126178006</v>
      </c>
      <c r="I56" s="1"/>
      <c r="J56" s="1"/>
      <c r="K56" s="1"/>
      <c r="L56" s="1"/>
    </row>
    <row r="57">
      <c r="B57" s="1" t="s">
        <v>153</v>
      </c>
      <c r="C57" s="8"/>
      <c r="D57" s="8"/>
      <c r="E57" s="8"/>
      <c r="F57" s="8"/>
      <c r="G57" s="8"/>
      <c r="H57" s="19">
        <f>H20-C20</f>
        <v>12750.11200076923</v>
      </c>
      <c r="I57" s="1"/>
      <c r="J57" s="1"/>
      <c r="K57" s="1"/>
      <c r="L57" s="1"/>
    </row>
    <row r="58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B2:L85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10" customWidth="1"/>
    <col min="2" max="2" width="34" customWidth="1"/>
    <col min="3" max="8" width="14" customWidth="1"/>
    <col min="9" max="9" width="3" customWidth="1"/>
    <col min="10" max="10" width="37" customWidth="1"/>
    <col min="11" max="11" width="33" customWidth="1"/>
    <col min="12" max="12" width="20" customWidth="1"/>
  </cols>
  <sheetData>
    <row r="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B3" s="1" t="s">
        <v>154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5" t="s">
        <v>9</v>
      </c>
      <c r="I5" s="1"/>
      <c r="J5" s="1"/>
      <c r="K5" s="1"/>
      <c r="L5" s="1"/>
    </row>
    <row r="6">
      <c r="B6" s="10" t="s">
        <v>10</v>
      </c>
      <c r="C6" s="2">
        <v>45897</v>
      </c>
      <c r="D6" s="2">
        <v>45897</v>
      </c>
      <c r="E6" s="2">
        <v>45988</v>
      </c>
      <c r="F6" s="2">
        <v>46079</v>
      </c>
      <c r="G6" s="2">
        <v>46170</v>
      </c>
      <c r="H6" s="29">
        <v>46268</v>
      </c>
      <c r="I6" s="1"/>
      <c r="J6" s="1"/>
      <c r="K6" s="1"/>
      <c r="L6" s="1"/>
    </row>
    <row r="7">
      <c r="B7" s="10" t="s">
        <v>11</v>
      </c>
      <c r="C7" s="10">
        <v>91</v>
      </c>
      <c r="D7" s="10">
        <v>364</v>
      </c>
      <c r="E7" s="10">
        <v>91</v>
      </c>
      <c r="F7" s="10">
        <v>91</v>
      </c>
      <c r="G7" s="10">
        <v>91</v>
      </c>
      <c r="H7" s="25">
        <v>98</v>
      </c>
      <c r="I7" s="1"/>
      <c r="J7" s="1"/>
      <c r="K7" s="1"/>
      <c r="L7" s="1"/>
    </row>
    <row r="8">
      <c r="B8" s="1"/>
      <c r="C8" s="1"/>
      <c r="D8" s="1"/>
      <c r="E8" s="1"/>
      <c r="F8" s="1"/>
      <c r="G8" s="1"/>
      <c r="H8" s="11"/>
      <c r="I8" s="1"/>
      <c r="J8" s="1"/>
      <c r="K8" s="1"/>
      <c r="L8" s="1"/>
    </row>
    <row r="9">
      <c r="B9" s="1" t="s">
        <v>106</v>
      </c>
      <c r="C9" s="8"/>
      <c r="D9" s="8"/>
      <c r="E9" s="8"/>
      <c r="F9" s="8"/>
      <c r="G9" s="8"/>
      <c r="H9" s="19"/>
      <c r="I9" s="1"/>
      <c r="J9" s="1" t="s">
        <v>34</v>
      </c>
      <c r="K9" s="1"/>
      <c r="L9" s="1"/>
    </row>
    <row r="10">
      <c r="B10" s="1" t="s">
        <v>107</v>
      </c>
      <c r="C10" s="8"/>
      <c r="D10" s="8"/>
      <c r="E10" s="8">
        <f>C20</f>
        <v>1577</v>
      </c>
      <c r="F10" s="8">
        <f>E20</f>
        <v>2379</v>
      </c>
      <c r="G10" s="8">
        <f>F20</f>
        <v>5687</v>
      </c>
      <c r="H10" s="19">
        <f>G20</f>
        <v>11524</v>
      </c>
      <c r="I10" s="1"/>
      <c r="J10" s="1"/>
      <c r="K10" s="1"/>
      <c r="L10" s="1"/>
    </row>
    <row r="11">
      <c r="B11" s="1" t="s">
        <v>108</v>
      </c>
      <c r="C11" s="8"/>
      <c r="D11" s="8"/>
      <c r="E11" s="8"/>
      <c r="F11" s="8"/>
      <c r="G11" s="8"/>
      <c r="H11" s="19">
        <f>H10/G7</f>
        <v>126.63736263736264</v>
      </c>
      <c r="I11" s="1"/>
      <c r="J11" s="1"/>
      <c r="K11" s="1"/>
      <c r="L11" s="1"/>
    </row>
    <row r="12">
      <c r="B12" s="1" t="s">
        <v>109</v>
      </c>
      <c r="C12" s="8"/>
      <c r="D12" s="8"/>
      <c r="E12" s="8"/>
      <c r="F12" s="8"/>
      <c r="G12" s="8"/>
      <c r="H12" s="19">
        <f>H7</f>
        <v>98</v>
      </c>
      <c r="I12" s="1"/>
      <c r="J12" s="1"/>
      <c r="K12" s="1"/>
      <c r="L12" s="1"/>
    </row>
    <row r="13">
      <c r="B13" s="1" t="s">
        <v>110</v>
      </c>
      <c r="C13" s="5"/>
      <c r="D13" s="5"/>
      <c r="E13" s="5"/>
      <c r="F13" s="5"/>
      <c r="G13" s="5"/>
      <c r="H13" s="20">
        <f>Inputs!L12</f>
        <v>0.005</v>
      </c>
      <c r="I13" s="1"/>
      <c r="J13" s="1"/>
      <c r="K13" s="1"/>
      <c r="L13" s="1"/>
    </row>
    <row r="14">
      <c r="B14" s="1" t="s">
        <v>111</v>
      </c>
      <c r="C14" s="8"/>
      <c r="D14" s="8"/>
      <c r="E14" s="8"/>
      <c r="F14" s="8"/>
      <c r="G14" s="8"/>
      <c r="H14" s="19">
        <f>H13*10000</f>
        <v>50</v>
      </c>
      <c r="I14" s="1"/>
      <c r="J14" s="1"/>
      <c r="K14" s="1"/>
      <c r="L14" s="1"/>
    </row>
    <row r="15">
      <c r="B15" s="1" t="s">
        <v>112</v>
      </c>
      <c r="C15" s="5"/>
      <c r="D15" s="5"/>
      <c r="E15" s="5"/>
      <c r="F15" s="5"/>
      <c r="G15" s="5"/>
      <c r="H15" s="20">
        <f>Inputs!L13</f>
        <v>0.157</v>
      </c>
      <c r="I15" s="1"/>
      <c r="J15" s="1"/>
      <c r="K15" s="1"/>
      <c r="L15" s="1"/>
    </row>
    <row r="16">
      <c r="B16" s="1" t="s">
        <v>113</v>
      </c>
      <c r="C16" s="8"/>
      <c r="D16" s="8"/>
      <c r="E16" s="8"/>
      <c r="F16" s="8"/>
      <c r="G16" s="8"/>
      <c r="H16" s="19">
        <f>H15*10000</f>
        <v>1570</v>
      </c>
      <c r="I16" s="1"/>
      <c r="J16" s="1"/>
      <c r="K16" s="1"/>
      <c r="L16" s="1"/>
    </row>
    <row r="17">
      <c r="B17" s="1" t="s">
        <v>114</v>
      </c>
      <c r="C17" s="8"/>
      <c r="D17" s="8"/>
      <c r="E17" s="8"/>
      <c r="F17" s="8"/>
      <c r="G17" s="8"/>
      <c r="H17" s="19">
        <f>H11*H12</f>
        <v>12410.461538461539</v>
      </c>
      <c r="I17" s="1"/>
      <c r="J17" s="1"/>
      <c r="K17" s="1"/>
      <c r="L17" s="1"/>
    </row>
    <row r="18">
      <c r="B18" s="1" t="s">
        <v>115</v>
      </c>
      <c r="C18" s="8"/>
      <c r="D18" s="8"/>
      <c r="E18" s="8"/>
      <c r="F18" s="8"/>
      <c r="G18" s="8"/>
      <c r="H18" s="19">
        <f>H17*(H47/H43-1)</f>
        <v>62.05230769230637</v>
      </c>
      <c r="I18" s="1"/>
      <c r="J18" s="1"/>
      <c r="K18" s="1"/>
      <c r="L18" s="1"/>
    </row>
    <row r="19">
      <c r="B19" s="1" t="s">
        <v>116</v>
      </c>
      <c r="C19" s="8"/>
      <c r="D19" s="8"/>
      <c r="E19" s="8"/>
      <c r="F19" s="8"/>
      <c r="G19" s="8"/>
      <c r="H19" s="19">
        <f>(H17+H18)*(H51-1)</f>
        <v>1958.1846738461538</v>
      </c>
      <c r="I19" s="1"/>
      <c r="J19" s="1"/>
      <c r="K19" s="1"/>
      <c r="L19" s="1"/>
    </row>
    <row r="20">
      <c r="B20" s="1" t="s">
        <v>117</v>
      </c>
      <c r="C20" s="22">
        <v>1577</v>
      </c>
      <c r="D20" s="22">
        <v>7229</v>
      </c>
      <c r="E20" s="22">
        <v>2379</v>
      </c>
      <c r="F20" s="22">
        <v>5687</v>
      </c>
      <c r="G20" s="22">
        <v>11524</v>
      </c>
      <c r="H20" s="9">
        <f>SUM(H17:H19)</f>
        <v>14430.69852</v>
      </c>
      <c r="I20" s="1"/>
      <c r="J20" s="1"/>
      <c r="K20" s="1"/>
      <c r="L20" s="1"/>
    </row>
    <row r="21">
      <c r="B21" s="1" t="s">
        <v>118</v>
      </c>
      <c r="C21" s="17">
        <f>IFERROR(C20/Inputs!R85-1,0)</f>
        <v>-0.22998046875</v>
      </c>
      <c r="D21" s="17">
        <f>IFERROR(D20/Inputs!R84-1,0)</f>
        <v>0.4504414125200642</v>
      </c>
      <c r="E21" s="17">
        <f>IFERROR(E20/Inputs!R81-1,0)</f>
        <v>0.03795811518324599</v>
      </c>
      <c r="F21" s="17">
        <f>IFERROR(F20/Inputs!R82-1,0)</f>
        <v>2.107650273224044</v>
      </c>
      <c r="G21" s="17">
        <f>IFERROR(G20/Inputs!R83-1,0)</f>
        <v>6.53202614379085</v>
      </c>
      <c r="H21" s="21">
        <f>H20/C20-1</f>
        <v>8.15072829422955</v>
      </c>
      <c r="I21" s="1"/>
      <c r="J21" s="1"/>
      <c r="K21" s="1"/>
      <c r="L21" s="1"/>
    </row>
    <row r="22">
      <c r="B22" s="1" t="s">
        <v>119</v>
      </c>
      <c r="C22" s="5"/>
      <c r="D22" s="5"/>
      <c r="E22" s="5">
        <f>IFERROR(E20/C20-1,0)</f>
        <v>0.50856055802156</v>
      </c>
      <c r="F22" s="5">
        <f>IFERROR(F20/E20-1,0)</f>
        <v>1.3905002101723412</v>
      </c>
      <c r="G22" s="5">
        <f>IFERROR(G20/F20-1,0)</f>
        <v>1.0263759451380343</v>
      </c>
      <c r="H22" s="21">
        <f>H20/G20-1</f>
        <v>0.25222999999999995</v>
      </c>
      <c r="I22" s="1"/>
      <c r="J22" s="1"/>
      <c r="K22" s="1"/>
      <c r="L22" s="1"/>
    </row>
    <row r="23">
      <c r="B23" s="1" t="s">
        <v>120</v>
      </c>
      <c r="C23" s="17">
        <f>IFERROR(C20/'Revenue summary'!C53,0)</f>
        <v>0.13937251436146708</v>
      </c>
      <c r="D23" s="17">
        <f>IFERROR(D20/'Revenue summary'!D53,0)</f>
        <v>0.1934025362512708</v>
      </c>
      <c r="E23" s="17">
        <f>IFERROR(E20/'Revenue summary'!E53,0)</f>
        <v>0.1743751374331159</v>
      </c>
      <c r="F23" s="17">
        <f>IFERROR(F20/'Revenue summary'!F53,0)</f>
        <v>0.23834870075440068</v>
      </c>
      <c r="G23" s="17">
        <f>IFERROR(G20/'Revenue summary'!G53,0)</f>
        <v>0.27798147433423387</v>
      </c>
      <c r="H23" s="20">
        <f>IFERROR(H20/'Revenue summary'!H53,0)</f>
        <v>0.2803123361831075</v>
      </c>
      <c r="I23" s="1"/>
      <c r="J23" s="1"/>
      <c r="K23" s="1"/>
      <c r="L23" s="1"/>
    </row>
    <row r="24">
      <c r="B24" s="1" t="s">
        <v>121</v>
      </c>
      <c r="C24" s="5">
        <f>(1+C27)/((1+C25)*(1+C26))-1</f>
        <v>-0.22998046875</v>
      </c>
      <c r="D24" s="5">
        <f>(1+D27)/((1+D25)*(1+D26))-1</f>
        <v>0.4504414125200642</v>
      </c>
      <c r="E24" s="5">
        <f>(1+E27)/((1+E25)*(1+E26))-1</f>
        <v>0.03795811518324599</v>
      </c>
      <c r="F24" s="5">
        <f>(1+F27)/((1+F25)*(1+F26))-1</f>
        <v>2.107650273224044</v>
      </c>
      <c r="G24" s="5">
        <f>(1+G27)/((1+G25)*(1+G26))-1</f>
        <v>6.53202614379085</v>
      </c>
      <c r="H24" s="21">
        <f>(1+H21)/((1+H25)*(1+H26))-1</f>
        <v>8.15072829422955</v>
      </c>
      <c r="I24" s="1"/>
      <c r="J24" s="1"/>
      <c r="K24" s="1"/>
      <c r="L24" s="1"/>
    </row>
    <row r="25">
      <c r="B25" s="1" t="s">
        <v>122</v>
      </c>
      <c r="C25" s="17">
        <f>Inputs!L48</f>
        <v>0</v>
      </c>
      <c r="D25" s="17">
        <f>Inputs!L48</f>
        <v>0</v>
      </c>
      <c r="E25" s="17">
        <f>Inputs!L48</f>
        <v>0</v>
      </c>
      <c r="F25" s="17">
        <f>Inputs!L48</f>
        <v>0</v>
      </c>
      <c r="G25" s="17">
        <f>Inputs!L48</f>
        <v>0</v>
      </c>
      <c r="H25" s="20">
        <f>Inputs!L48</f>
        <v>0</v>
      </c>
      <c r="I25" s="1"/>
      <c r="J25" s="1"/>
      <c r="K25" s="1"/>
      <c r="L25" s="1"/>
    </row>
    <row r="26">
      <c r="B26" s="1" t="s">
        <v>84</v>
      </c>
      <c r="C26" s="17">
        <f>Inputs!L49</f>
        <v>0</v>
      </c>
      <c r="D26" s="17">
        <f>Inputs!L49</f>
        <v>0</v>
      </c>
      <c r="E26" s="17">
        <f>Inputs!L49</f>
        <v>0</v>
      </c>
      <c r="F26" s="17">
        <f>Inputs!L49</f>
        <v>0</v>
      </c>
      <c r="G26" s="17">
        <f>Inputs!L49</f>
        <v>0</v>
      </c>
      <c r="H26" s="20">
        <f>Inputs!L49</f>
        <v>0</v>
      </c>
      <c r="I26" s="1"/>
      <c r="J26" s="1"/>
      <c r="K26" s="1"/>
      <c r="L26" s="1"/>
    </row>
    <row r="27">
      <c r="B27" s="1" t="s">
        <v>123</v>
      </c>
      <c r="C27" s="5">
        <f>C21</f>
        <v>-0.22998046875</v>
      </c>
      <c r="D27" s="5">
        <f>D21</f>
        <v>0.4504414125200642</v>
      </c>
      <c r="E27" s="5">
        <f>E21</f>
        <v>0.03795811518324599</v>
      </c>
      <c r="F27" s="5">
        <f>F21</f>
        <v>2.107650273224044</v>
      </c>
      <c r="G27" s="5">
        <f>G21</f>
        <v>6.53202614379085</v>
      </c>
      <c r="H27" s="21">
        <f>H21</f>
        <v>8.15072829422955</v>
      </c>
      <c r="I27" s="1"/>
      <c r="J27" s="1"/>
      <c r="K27" s="1"/>
      <c r="L27" s="1"/>
    </row>
    <row r="28">
      <c r="B28" s="1"/>
      <c r="C28" s="16"/>
      <c r="D28" s="16"/>
      <c r="E28" s="16"/>
      <c r="F28" s="16"/>
      <c r="G28" s="16"/>
      <c r="H28" s="27"/>
      <c r="I28" s="1"/>
      <c r="J28" s="1"/>
      <c r="K28" s="1"/>
      <c r="L28" s="1"/>
    </row>
    <row r="29">
      <c r="B29" s="1" t="s">
        <v>124</v>
      </c>
      <c r="C29" s="8"/>
      <c r="D29" s="8"/>
      <c r="E29" s="8"/>
      <c r="F29" s="8"/>
      <c r="G29" s="8"/>
      <c r="H29" s="19"/>
      <c r="I29" s="1"/>
      <c r="J29" s="1"/>
      <c r="K29" s="1"/>
      <c r="L29" s="1"/>
    </row>
    <row r="30">
      <c r="B30" s="1" t="s">
        <v>125</v>
      </c>
      <c r="C30" s="13">
        <f>D30-Inputs!O90</f>
        <v>923</v>
      </c>
      <c r="D30" s="4">
        <v>3995</v>
      </c>
      <c r="E30" s="4">
        <v>1157</v>
      </c>
      <c r="F30" s="4">
        <v>1461</v>
      </c>
      <c r="G30" s="4">
        <v>1537</v>
      </c>
      <c r="H30" s="6">
        <f>H20*(1-Inputs!L51)</f>
        <v>1659.5303298</v>
      </c>
      <c r="I30" s="1"/>
      <c r="J30" s="1"/>
      <c r="K30" s="1"/>
      <c r="L30" s="1"/>
    </row>
    <row r="31">
      <c r="B31" s="1" t="s">
        <v>126</v>
      </c>
      <c r="C31" s="12">
        <f>C20-C30</f>
        <v>654</v>
      </c>
      <c r="D31" s="12">
        <f>D20-D30</f>
        <v>3234</v>
      </c>
      <c r="E31" s="12">
        <f>E20-E30</f>
        <v>1222</v>
      </c>
      <c r="F31" s="12">
        <f>F20-F30</f>
        <v>4226</v>
      </c>
      <c r="G31" s="12">
        <f>G20-G30</f>
        <v>9987</v>
      </c>
      <c r="H31" s="24">
        <f>H20-H30</f>
        <v>12771.1681902</v>
      </c>
      <c r="I31" s="1"/>
      <c r="J31" s="1"/>
      <c r="K31" s="1"/>
      <c r="L31" s="1"/>
    </row>
    <row r="32">
      <c r="B32" s="1" t="s">
        <v>127</v>
      </c>
      <c r="C32" s="5">
        <f>C31/C20</f>
        <v>0.41471147748890297</v>
      </c>
      <c r="D32" s="5">
        <f>IFERROR(D31/D20,0)</f>
        <v>0.44736478074422464</v>
      </c>
      <c r="E32" s="5">
        <f>IFERROR(E31/E20,0)</f>
        <v>0.5136612021857924</v>
      </c>
      <c r="F32" s="5">
        <f>IFERROR(F31/F20,0)</f>
        <v>0.7430982943555478</v>
      </c>
      <c r="G32" s="5">
        <f>IFERROR(G31/G20,0)</f>
        <v>0.8666261714682402</v>
      </c>
      <c r="H32" s="21">
        <f>H31/H20</f>
        <v>0.885</v>
      </c>
      <c r="I32" s="1"/>
      <c r="J32" s="1"/>
      <c r="K32" s="1"/>
      <c r="L32" s="1"/>
    </row>
    <row r="33">
      <c r="B33" s="1" t="s">
        <v>128</v>
      </c>
      <c r="C33" s="8"/>
      <c r="D33" s="8"/>
      <c r="E33" s="8">
        <f>(E32-C32)*10000</f>
        <v>989.4972469688939</v>
      </c>
      <c r="F33" s="8">
        <f>(F32-E32)*10000</f>
        <v>2294.370921697554</v>
      </c>
      <c r="G33" s="8">
        <f>(G32-F32)*10000</f>
        <v>1235.278771126924</v>
      </c>
      <c r="H33" s="19">
        <f>(H32-G32)*10000</f>
        <v>183.73828531759838</v>
      </c>
      <c r="I33" s="1"/>
      <c r="J33" s="1"/>
      <c r="K33" s="1"/>
      <c r="L33" s="1"/>
    </row>
    <row r="34">
      <c r="B34" s="1" t="s">
        <v>129</v>
      </c>
      <c r="C34" s="13">
        <f>D34-Inputs!O91</f>
        <v>220</v>
      </c>
      <c r="D34" s="4">
        <v>864</v>
      </c>
      <c r="E34" s="4">
        <v>291</v>
      </c>
      <c r="F34" s="4">
        <v>358</v>
      </c>
      <c r="G34" s="4">
        <v>391</v>
      </c>
      <c r="H34" s="19">
        <f>G34*H7/G7</f>
        <v>421.0769230769231</v>
      </c>
      <c r="I34" s="1"/>
      <c r="J34" s="1"/>
      <c r="K34" s="1"/>
      <c r="L34" s="1"/>
    </row>
    <row r="35">
      <c r="B35" s="1" t="s">
        <v>130</v>
      </c>
      <c r="C35" s="13">
        <f>D35-Inputs!O92</f>
        <v>41</v>
      </c>
      <c r="D35" s="4">
        <v>188</v>
      </c>
      <c r="E35" s="4">
        <v>41</v>
      </c>
      <c r="F35" s="4">
        <v>57</v>
      </c>
      <c r="G35" s="4">
        <v>79</v>
      </c>
      <c r="H35" s="19">
        <f>G35*H7/G7</f>
        <v>85.07692307692308</v>
      </c>
      <c r="I35" s="1"/>
      <c r="J35" s="1"/>
      <c r="K35" s="1"/>
      <c r="L35" s="1"/>
    </row>
    <row r="36">
      <c r="B36" s="1" t="s">
        <v>131</v>
      </c>
      <c r="C36" s="13">
        <f>D36-Inputs!O93</f>
        <v>2</v>
      </c>
      <c r="D36" s="4">
        <v>2</v>
      </c>
      <c r="E36" s="4">
        <v>0</v>
      </c>
      <c r="F36" s="4">
        <v>2</v>
      </c>
      <c r="G36" s="4">
        <v>-2</v>
      </c>
      <c r="H36" s="19">
        <f>G36</f>
        <v>-2</v>
      </c>
      <c r="I36" s="1"/>
      <c r="J36" s="1"/>
      <c r="K36" s="1"/>
      <c r="L36" s="1"/>
    </row>
    <row r="37">
      <c r="B37" s="1" t="s">
        <v>132</v>
      </c>
      <c r="C37" s="7">
        <f>C31-SUM(C34:C36)</f>
        <v>391</v>
      </c>
      <c r="D37" s="7">
        <f>D31-SUM(D34:D36)</f>
        <v>2180</v>
      </c>
      <c r="E37" s="7">
        <f>E31-SUM(E34:E36)</f>
        <v>890</v>
      </c>
      <c r="F37" s="7">
        <f>F31-SUM(F34:F36)</f>
        <v>3809</v>
      </c>
      <c r="G37" s="7">
        <f>G31-SUM(G34:G36)</f>
        <v>9519</v>
      </c>
      <c r="H37" s="9">
        <f>H31-SUM(H34:H36)</f>
        <v>12267.014344046154</v>
      </c>
      <c r="I37" s="1"/>
      <c r="J37" s="1"/>
      <c r="K37" s="1"/>
      <c r="L37" s="1"/>
    </row>
    <row r="38">
      <c r="B38" s="1" t="s">
        <v>133</v>
      </c>
      <c r="C38" s="5">
        <f>C37/C20</f>
        <v>0.24793912492073558</v>
      </c>
      <c r="D38" s="5">
        <f>IFERROR(D37/D20,0)</f>
        <v>0.301563148429935</v>
      </c>
      <c r="E38" s="5">
        <f>IFERROR(E37/E20,0)</f>
        <v>0.3741067675493905</v>
      </c>
      <c r="F38" s="5">
        <f>IFERROR(F37/F20,0)</f>
        <v>0.6697731668718129</v>
      </c>
      <c r="G38" s="5">
        <f>IFERROR(G37/G20,0)</f>
        <v>0.8260152724748351</v>
      </c>
      <c r="H38" s="21">
        <f>H37/H20</f>
        <v>0.8500637946974554</v>
      </c>
      <c r="I38" s="1"/>
      <c r="J38" s="1"/>
      <c r="K38" s="1"/>
      <c r="L38" s="1"/>
    </row>
    <row r="39">
      <c r="B39" s="1" t="s">
        <v>134</v>
      </c>
      <c r="C39" s="8"/>
      <c r="D39" s="8"/>
      <c r="E39" s="8">
        <f>(E38-C38)*10000</f>
        <v>1261.676426286549</v>
      </c>
      <c r="F39" s="8">
        <f>(F38-E38)*10000</f>
        <v>2956.6639932242238</v>
      </c>
      <c r="G39" s="8">
        <f>(G38-F38)*10000</f>
        <v>1562.4210560302222</v>
      </c>
      <c r="H39" s="19">
        <f>(H38-G38)*10000</f>
        <v>240.4852222262033</v>
      </c>
      <c r="I39" s="1"/>
      <c r="J39" s="1"/>
      <c r="K39" s="1"/>
      <c r="L39" s="1"/>
    </row>
    <row r="40">
      <c r="B40" s="1" t="s">
        <v>135</v>
      </c>
      <c r="C40" s="5"/>
      <c r="D40" s="17">
        <f>IFERROR(D37/Inputs!X84-1,0)</f>
        <v>7.549019607843137</v>
      </c>
      <c r="E40" s="17">
        <f>IFERROR(E37/Inputs!X81-1,0)</f>
        <v>0.021814006888633664</v>
      </c>
      <c r="F40" s="17">
        <f>IFERROR(F37/Inputs!X82-1,0)</f>
        <v>5.23404255319149</v>
      </c>
      <c r="G40" s="17">
        <f>IFERROR(G37/Inputs!X83-1,0)</f>
        <v>30.006514657980457</v>
      </c>
      <c r="H40" s="21">
        <f>H37/C37-1</f>
        <v>30.37343822006689</v>
      </c>
      <c r="I40" s="1"/>
      <c r="J40" s="1"/>
      <c r="K40" s="1"/>
      <c r="L40" s="1"/>
    </row>
    <row r="41">
      <c r="B41" s="1" t="s">
        <v>136</v>
      </c>
      <c r="C41" s="8"/>
      <c r="D41" s="8"/>
      <c r="E41" s="8">
        <f>E37-C37</f>
        <v>499</v>
      </c>
      <c r="F41" s="8">
        <f>F37-E37</f>
        <v>2919</v>
      </c>
      <c r="G41" s="8">
        <f>G37-F37</f>
        <v>5710</v>
      </c>
      <c r="H41" s="19">
        <f>H37-G37</f>
        <v>2748.0143440461543</v>
      </c>
      <c r="I41" s="1"/>
      <c r="J41" s="1"/>
      <c r="K41" s="1"/>
      <c r="L41" s="1"/>
    </row>
    <row r="42">
      <c r="B42" s="1" t="s">
        <v>137</v>
      </c>
      <c r="C42" s="1"/>
      <c r="D42" s="1"/>
      <c r="E42" s="1"/>
      <c r="F42" s="1"/>
      <c r="G42" s="1"/>
      <c r="H42" s="11"/>
      <c r="I42" s="1"/>
      <c r="J42" s="1" t="s">
        <v>138</v>
      </c>
      <c r="K42" s="1"/>
      <c r="L42" s="1"/>
    </row>
    <row r="43">
      <c r="B43" s="1" t="s">
        <v>139</v>
      </c>
      <c r="C43" s="1"/>
      <c r="D43" s="1"/>
      <c r="E43" s="1"/>
      <c r="F43" s="1"/>
      <c r="G43" s="1"/>
      <c r="H43" s="11">
        <f>G47</f>
        <v>1</v>
      </c>
      <c r="I43" s="1"/>
      <c r="J43" s="1"/>
      <c r="K43" s="1"/>
      <c r="L43" s="1"/>
    </row>
    <row r="44">
      <c r="B44" s="1" t="s">
        <v>140</v>
      </c>
      <c r="C44" s="1"/>
      <c r="D44" s="1"/>
      <c r="E44" s="1"/>
      <c r="F44" s="1"/>
      <c r="G44" s="1"/>
      <c r="H44" s="11">
        <f>MAX(H43*H13,0)</f>
        <v>0.005</v>
      </c>
      <c r="I44" s="1"/>
      <c r="J44" s="1"/>
      <c r="K44" s="1"/>
      <c r="L44" s="1"/>
    </row>
    <row r="45">
      <c r="B45" s="1" t="s">
        <v>141</v>
      </c>
      <c r="C45" s="1"/>
      <c r="D45" s="1"/>
      <c r="E45" s="1"/>
      <c r="F45" s="1"/>
      <c r="G45" s="1"/>
      <c r="H45" s="11">
        <f>MIN(H43*H13,0)</f>
        <v>0</v>
      </c>
      <c r="I45" s="1"/>
      <c r="J45" s="1"/>
      <c r="K45" s="1"/>
      <c r="L45" s="1"/>
    </row>
    <row r="46">
      <c r="B46" s="1" t="s">
        <v>142</v>
      </c>
      <c r="C46" s="1"/>
      <c r="D46" s="1"/>
      <c r="E46" s="1"/>
      <c r="F46" s="1"/>
      <c r="G46" s="1"/>
      <c r="H46" s="11">
        <f>SUM(H44:H45)</f>
        <v>0.005</v>
      </c>
      <c r="I46" s="1"/>
      <c r="J46" s="1"/>
      <c r="K46" s="1"/>
      <c r="L46" s="1"/>
    </row>
    <row r="47">
      <c r="B47" s="1" t="s">
        <v>143</v>
      </c>
      <c r="C47" s="1"/>
      <c r="D47" s="1"/>
      <c r="E47" s="1"/>
      <c r="F47" s="1"/>
      <c r="G47" s="23">
        <f>Inputs!L64</f>
        <v>1</v>
      </c>
      <c r="H47" s="34">
        <f>H43+H46</f>
        <v>1.005</v>
      </c>
      <c r="I47" s="1"/>
      <c r="J47" s="1"/>
      <c r="K47" s="1"/>
      <c r="L47" s="1"/>
    </row>
    <row r="48">
      <c r="B48" s="1" t="s">
        <v>144</v>
      </c>
      <c r="C48" s="1"/>
      <c r="D48" s="1"/>
      <c r="E48" s="1"/>
      <c r="F48" s="1"/>
      <c r="G48" s="1"/>
      <c r="H48" s="11">
        <f>AVERAGE(H43,H47)</f>
        <v>1.0025</v>
      </c>
      <c r="I48" s="1"/>
      <c r="J48" s="1"/>
      <c r="K48" s="1"/>
      <c r="L48" s="1"/>
    </row>
    <row r="49">
      <c r="B49" s="1" t="s">
        <v>145</v>
      </c>
      <c r="C49" s="1"/>
      <c r="D49" s="1"/>
      <c r="E49" s="1"/>
      <c r="F49" s="1"/>
      <c r="G49" s="1"/>
      <c r="H49" s="11">
        <f>H47-G47</f>
        <v>0.004999999999999893</v>
      </c>
      <c r="I49" s="1"/>
      <c r="J49" s="1"/>
      <c r="K49" s="1"/>
      <c r="L49" s="1"/>
    </row>
    <row r="50">
      <c r="B50" s="1" t="s">
        <v>146</v>
      </c>
      <c r="C50" s="1"/>
      <c r="D50" s="1"/>
      <c r="E50" s="1"/>
      <c r="F50" s="1"/>
      <c r="G50" s="1"/>
      <c r="H50" s="21">
        <f>H47/G47-1</f>
        <v>0.004999999999999893</v>
      </c>
      <c r="I50" s="1"/>
      <c r="J50" s="1"/>
      <c r="K50" s="1"/>
      <c r="L50" s="1"/>
    </row>
    <row r="51">
      <c r="B51" s="1" t="s">
        <v>147</v>
      </c>
      <c r="C51" s="1"/>
      <c r="D51" s="1"/>
      <c r="E51" s="1"/>
      <c r="F51" s="1"/>
      <c r="G51" s="47">
        <f>Inputs!L64</f>
        <v>1</v>
      </c>
      <c r="H51" s="45">
        <f>Inputs!L64*(1+H15)</f>
        <v>1.157</v>
      </c>
      <c r="I51" s="1"/>
      <c r="J51" s="1"/>
      <c r="K51" s="1"/>
      <c r="L51" s="1"/>
    </row>
    <row r="52">
      <c r="B52" s="1" t="s">
        <v>148</v>
      </c>
      <c r="C52" s="1"/>
      <c r="D52" s="1"/>
      <c r="E52" s="1"/>
      <c r="F52" s="1"/>
      <c r="G52" s="1"/>
      <c r="H52" s="21">
        <f>H51-G51</f>
        <v>0.15700000000000003</v>
      </c>
      <c r="I52" s="1"/>
      <c r="J52" s="1"/>
      <c r="K52" s="1"/>
      <c r="L52" s="1"/>
    </row>
    <row r="53">
      <c r="B53" s="1" t="s">
        <v>149</v>
      </c>
      <c r="C53" s="1"/>
      <c r="D53" s="1"/>
      <c r="E53" s="1"/>
      <c r="F53" s="1"/>
      <c r="G53" s="1" t="s">
        <v>44</v>
      </c>
      <c r="H53" s="11" t="s">
        <v>44</v>
      </c>
      <c r="I53" s="1"/>
      <c r="J53" s="1"/>
      <c r="K53" s="1"/>
      <c r="L53" s="1"/>
    </row>
    <row r="54">
      <c r="B54" s="1" t="s">
        <v>150</v>
      </c>
      <c r="C54" s="13">
        <f>C37-(D37-Inputs!O94)</f>
        <v>0</v>
      </c>
      <c r="D54" s="8"/>
      <c r="E54" s="8"/>
      <c r="F54" s="8"/>
      <c r="G54" s="8"/>
      <c r="H54" s="8"/>
      <c r="I54" s="1"/>
      <c r="J54" s="1"/>
      <c r="K54" s="1"/>
      <c r="L54" s="1"/>
    </row>
    <row r="55">
      <c r="B55" s="1" t="s">
        <v>151</v>
      </c>
      <c r="C55" s="8"/>
      <c r="D55" s="8"/>
      <c r="E55" s="8">
        <f>E20-C20</f>
        <v>802</v>
      </c>
      <c r="F55" s="8">
        <f>F20-E20</f>
        <v>3308</v>
      </c>
      <c r="G55" s="8">
        <f>G20-F20</f>
        <v>5837</v>
      </c>
      <c r="H55" s="19">
        <f>H20-G20</f>
        <v>2906.69852</v>
      </c>
      <c r="I55" s="1"/>
      <c r="J55" s="1"/>
      <c r="K55" s="1"/>
      <c r="L55" s="1"/>
    </row>
    <row r="56">
      <c r="B56" s="1" t="s">
        <v>152</v>
      </c>
      <c r="C56" s="8"/>
      <c r="D56" s="8"/>
      <c r="E56" s="8">
        <f>(E23-C23)*10000</f>
        <v>350.0262307164881</v>
      </c>
      <c r="F56" s="8">
        <f>(F23-E23)*10000</f>
        <v>639.7356332128479</v>
      </c>
      <c r="G56" s="8">
        <f>(G23-F23)*10000</f>
        <v>396.3277357983319</v>
      </c>
      <c r="H56" s="19">
        <f>(H23-G23)*10000</f>
        <v>23.308618488736556</v>
      </c>
      <c r="I56" s="1"/>
      <c r="J56" s="1"/>
      <c r="K56" s="1"/>
      <c r="L56" s="1"/>
    </row>
    <row r="57">
      <c r="B57" s="1" t="s">
        <v>153</v>
      </c>
      <c r="C57" s="8"/>
      <c r="D57" s="8"/>
      <c r="E57" s="8"/>
      <c r="F57" s="8"/>
      <c r="G57" s="8"/>
      <c r="H57" s="19">
        <f>H20-C20</f>
        <v>12853.69852</v>
      </c>
      <c r="I57" s="1"/>
      <c r="J57" s="1"/>
      <c r="K57" s="1"/>
      <c r="L57" s="1"/>
    </row>
    <row r="58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B2:L85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10" customWidth="1"/>
    <col min="2" max="2" width="34" customWidth="1"/>
    <col min="3" max="8" width="14" customWidth="1"/>
    <col min="9" max="9" width="3" customWidth="1"/>
    <col min="10" max="10" width="37" customWidth="1"/>
    <col min="11" max="11" width="33" customWidth="1"/>
    <col min="12" max="12" width="20" customWidth="1"/>
  </cols>
  <sheetData>
    <row r="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B3" s="1" t="s">
        <v>155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5" t="s">
        <v>9</v>
      </c>
      <c r="I5" s="1"/>
      <c r="J5" s="1"/>
      <c r="K5" s="1"/>
      <c r="L5" s="1"/>
    </row>
    <row r="6">
      <c r="B6" s="10" t="s">
        <v>10</v>
      </c>
      <c r="C6" s="2">
        <v>45897</v>
      </c>
      <c r="D6" s="2">
        <v>45897</v>
      </c>
      <c r="E6" s="2">
        <v>45988</v>
      </c>
      <c r="F6" s="2">
        <v>46079</v>
      </c>
      <c r="G6" s="2">
        <v>46170</v>
      </c>
      <c r="H6" s="29">
        <v>46268</v>
      </c>
      <c r="I6" s="1"/>
      <c r="J6" s="1"/>
      <c r="K6" s="1"/>
      <c r="L6" s="1"/>
    </row>
    <row r="7">
      <c r="B7" s="10" t="s">
        <v>11</v>
      </c>
      <c r="C7" s="10">
        <v>91</v>
      </c>
      <c r="D7" s="10">
        <v>364</v>
      </c>
      <c r="E7" s="10">
        <v>91</v>
      </c>
      <c r="F7" s="10">
        <v>91</v>
      </c>
      <c r="G7" s="10">
        <v>91</v>
      </c>
      <c r="H7" s="25">
        <v>98</v>
      </c>
      <c r="I7" s="1"/>
      <c r="J7" s="1"/>
      <c r="K7" s="1"/>
      <c r="L7" s="1"/>
    </row>
    <row r="8">
      <c r="B8" s="1"/>
      <c r="C8" s="1"/>
      <c r="D8" s="1"/>
      <c r="E8" s="1"/>
      <c r="F8" s="1"/>
      <c r="G8" s="1"/>
      <c r="H8" s="11"/>
      <c r="I8" s="1"/>
      <c r="J8" s="1"/>
      <c r="K8" s="1"/>
      <c r="L8" s="1"/>
    </row>
    <row r="9">
      <c r="B9" s="1" t="s">
        <v>106</v>
      </c>
      <c r="C9" s="8"/>
      <c r="D9" s="8"/>
      <c r="E9" s="8"/>
      <c r="F9" s="8"/>
      <c r="G9" s="8"/>
      <c r="H9" s="19"/>
      <c r="I9" s="1"/>
      <c r="J9" s="1" t="s">
        <v>34</v>
      </c>
      <c r="K9" s="1"/>
      <c r="L9" s="1"/>
    </row>
    <row r="10">
      <c r="B10" s="1" t="s">
        <v>107</v>
      </c>
      <c r="C10" s="8"/>
      <c r="D10" s="8"/>
      <c r="E10" s="8">
        <f>C20</f>
        <v>3760</v>
      </c>
      <c r="F10" s="8">
        <f>E20</f>
        <v>4255</v>
      </c>
      <c r="G10" s="8">
        <f>F20</f>
        <v>7711</v>
      </c>
      <c r="H10" s="19">
        <f>G20</f>
        <v>11521</v>
      </c>
      <c r="I10" s="1"/>
      <c r="J10" s="1"/>
      <c r="K10" s="1"/>
      <c r="L10" s="1"/>
    </row>
    <row r="11">
      <c r="B11" s="1" t="s">
        <v>108</v>
      </c>
      <c r="C11" s="8"/>
      <c r="D11" s="8"/>
      <c r="E11" s="8"/>
      <c r="F11" s="8"/>
      <c r="G11" s="8"/>
      <c r="H11" s="19">
        <f>H10/G7</f>
        <v>126.6043956043956</v>
      </c>
      <c r="I11" s="1"/>
      <c r="J11" s="1"/>
      <c r="K11" s="1"/>
      <c r="L11" s="1"/>
    </row>
    <row r="12">
      <c r="B12" s="1" t="s">
        <v>109</v>
      </c>
      <c r="C12" s="8"/>
      <c r="D12" s="8"/>
      <c r="E12" s="8"/>
      <c r="F12" s="8"/>
      <c r="G12" s="8"/>
      <c r="H12" s="19">
        <f>H7</f>
        <v>98</v>
      </c>
      <c r="I12" s="1"/>
      <c r="J12" s="1"/>
      <c r="K12" s="1"/>
      <c r="L12" s="1"/>
    </row>
    <row r="13">
      <c r="B13" s="1" t="s">
        <v>110</v>
      </c>
      <c r="C13" s="5"/>
      <c r="D13" s="5"/>
      <c r="E13" s="5"/>
      <c r="F13" s="5"/>
      <c r="G13" s="5"/>
      <c r="H13" s="20">
        <f>Inputs!L14</f>
        <v>-0.01</v>
      </c>
      <c r="I13" s="1"/>
      <c r="J13" s="1"/>
      <c r="K13" s="1"/>
      <c r="L13" s="1"/>
    </row>
    <row r="14">
      <c r="B14" s="1" t="s">
        <v>111</v>
      </c>
      <c r="C14" s="8"/>
      <c r="D14" s="8"/>
      <c r="E14" s="8"/>
      <c r="F14" s="8"/>
      <c r="G14" s="8"/>
      <c r="H14" s="19">
        <f>H13*10000</f>
        <v>-100</v>
      </c>
      <c r="I14" s="1"/>
      <c r="J14" s="1"/>
      <c r="K14" s="1"/>
      <c r="L14" s="1"/>
    </row>
    <row r="15">
      <c r="B15" s="1" t="s">
        <v>112</v>
      </c>
      <c r="C15" s="5"/>
      <c r="D15" s="5"/>
      <c r="E15" s="5"/>
      <c r="F15" s="5"/>
      <c r="G15" s="5"/>
      <c r="H15" s="20">
        <f>Inputs!L15</f>
        <v>0.144</v>
      </c>
      <c r="I15" s="1"/>
      <c r="J15" s="1"/>
      <c r="K15" s="1"/>
      <c r="L15" s="1"/>
    </row>
    <row r="16">
      <c r="B16" s="1" t="s">
        <v>113</v>
      </c>
      <c r="C16" s="8"/>
      <c r="D16" s="8"/>
      <c r="E16" s="8"/>
      <c r="F16" s="8"/>
      <c r="G16" s="8"/>
      <c r="H16" s="19">
        <f>H15*10000</f>
        <v>1440</v>
      </c>
      <c r="I16" s="1"/>
      <c r="J16" s="1"/>
      <c r="K16" s="1"/>
      <c r="L16" s="1"/>
    </row>
    <row r="17">
      <c r="B17" s="1" t="s">
        <v>114</v>
      </c>
      <c r="C17" s="8"/>
      <c r="D17" s="8"/>
      <c r="E17" s="8"/>
      <c r="F17" s="8"/>
      <c r="G17" s="8"/>
      <c r="H17" s="19">
        <f>H11*H12</f>
        <v>12407.23076923077</v>
      </c>
      <c r="I17" s="1"/>
      <c r="J17" s="1"/>
      <c r="K17" s="1"/>
      <c r="L17" s="1"/>
    </row>
    <row r="18">
      <c r="B18" s="1" t="s">
        <v>115</v>
      </c>
      <c r="C18" s="8"/>
      <c r="D18" s="8"/>
      <c r="E18" s="8"/>
      <c r="F18" s="8"/>
      <c r="G18" s="8"/>
      <c r="H18" s="19">
        <f>H17*(H47/H43-1)</f>
        <v>-124.0723076923078</v>
      </c>
      <c r="I18" s="1"/>
      <c r="J18" s="1"/>
      <c r="K18" s="1"/>
      <c r="L18" s="1"/>
    </row>
    <row r="19">
      <c r="B19" s="1" t="s">
        <v>116</v>
      </c>
      <c r="C19" s="8"/>
      <c r="D19" s="8"/>
      <c r="E19" s="8"/>
      <c r="F19" s="8"/>
      <c r="G19" s="8"/>
      <c r="H19" s="19">
        <f>(H17+H18)*(H51-1)</f>
        <v>1768.7748184615373</v>
      </c>
      <c r="I19" s="1"/>
      <c r="J19" s="1"/>
      <c r="K19" s="1"/>
      <c r="L19" s="1"/>
    </row>
    <row r="20">
      <c r="B20" s="1" t="s">
        <v>117</v>
      </c>
      <c r="C20" s="22">
        <v>3760</v>
      </c>
      <c r="D20" s="22">
        <v>11859</v>
      </c>
      <c r="E20" s="22">
        <v>4255</v>
      </c>
      <c r="F20" s="22">
        <v>7711</v>
      </c>
      <c r="G20" s="22">
        <v>11521</v>
      </c>
      <c r="H20" s="9">
        <f>SUM(H17:H19)</f>
        <v>14051.93328</v>
      </c>
      <c r="I20" s="1"/>
      <c r="J20" s="1"/>
      <c r="K20" s="1"/>
      <c r="L20" s="1"/>
    </row>
    <row r="21">
      <c r="B21" s="1" t="s">
        <v>118</v>
      </c>
      <c r="C21" s="17">
        <f>IFERROR(C20/Inputs!S85-1,0)</f>
        <v>0.24544551175886054</v>
      </c>
      <c r="D21" s="17">
        <f>IFERROR(D20/Inputs!S84-1,0)</f>
        <v>0.016456672666495198</v>
      </c>
      <c r="E21" s="17">
        <f>IFERROR(E20/Inputs!S81-1,0)</f>
        <v>0.6315184049079754</v>
      </c>
      <c r="F21" s="17">
        <f>IFERROR(F20/Inputs!S82-1,0)</f>
        <v>2.4485688729874777</v>
      </c>
      <c r="G21" s="17">
        <f>IFERROR(G20/Inputs!S83-1,0)</f>
        <v>2.5394777265745008</v>
      </c>
      <c r="H21" s="21">
        <f>H20/C20-1</f>
        <v>2.73721629787234</v>
      </c>
      <c r="I21" s="1"/>
      <c r="J21" s="1"/>
      <c r="K21" s="1"/>
      <c r="L21" s="1"/>
    </row>
    <row r="22">
      <c r="B22" s="1" t="s">
        <v>119</v>
      </c>
      <c r="C22" s="5"/>
      <c r="D22" s="5"/>
      <c r="E22" s="5">
        <f>IFERROR(E20/C20-1,0)</f>
        <v>0.13164893617021267</v>
      </c>
      <c r="F22" s="5">
        <f>IFERROR(F20/E20-1,0)</f>
        <v>0.8122209165687426</v>
      </c>
      <c r="G22" s="5">
        <f>IFERROR(G20/F20-1,0)</f>
        <v>0.4940993386071846</v>
      </c>
      <c r="H22" s="21">
        <f>H20/G20-1</f>
        <v>0.21967999999999988</v>
      </c>
      <c r="I22" s="1"/>
      <c r="J22" s="1"/>
      <c r="K22" s="1"/>
      <c r="L22" s="1"/>
    </row>
    <row r="23">
      <c r="B23" s="1" t="s">
        <v>120</v>
      </c>
      <c r="C23" s="17">
        <f>IFERROR(C20/'Revenue summary'!C53,0)</f>
        <v>0.3323022536456032</v>
      </c>
      <c r="D23" s="17">
        <f>IFERROR(D20/'Revenue summary'!D53,0)</f>
        <v>0.3172721921986195</v>
      </c>
      <c r="E23" s="17">
        <f>IFERROR(E20/'Revenue summary'!E53,0)</f>
        <v>0.31188155097852377</v>
      </c>
      <c r="F23" s="17">
        <f>IFERROR(F20/'Revenue summary'!F53,0)</f>
        <v>0.32317686504610227</v>
      </c>
      <c r="G23" s="17">
        <f>IFERROR(G20/'Revenue summary'!G53,0)</f>
        <v>0.277909108452335</v>
      </c>
      <c r="H23" s="20">
        <f>IFERROR(H20/'Revenue summary'!H53,0)</f>
        <v>0.272954925927311</v>
      </c>
      <c r="I23" s="1"/>
      <c r="J23" s="1"/>
      <c r="K23" s="1"/>
      <c r="L23" s="1"/>
    </row>
    <row r="24">
      <c r="B24" s="1" t="s">
        <v>121</v>
      </c>
      <c r="C24" s="5">
        <f>(1+C27)/((1+C25)*(1+C26))-1</f>
        <v>0.24544551175886054</v>
      </c>
      <c r="D24" s="5">
        <f>(1+D27)/((1+D25)*(1+D26))-1</f>
        <v>0.016456672666495198</v>
      </c>
      <c r="E24" s="5">
        <f>(1+E27)/((1+E25)*(1+E26))-1</f>
        <v>0.6315184049079754</v>
      </c>
      <c r="F24" s="5">
        <f>(1+F27)/((1+F25)*(1+F26))-1</f>
        <v>2.4485688729874777</v>
      </c>
      <c r="G24" s="5">
        <f>(1+G27)/((1+G25)*(1+G26))-1</f>
        <v>2.5394777265745008</v>
      </c>
      <c r="H24" s="21">
        <f>(1+H21)/((1+H25)*(1+H26))-1</f>
        <v>2.73721629787234</v>
      </c>
      <c r="I24" s="1"/>
      <c r="J24" s="1"/>
      <c r="K24" s="1"/>
      <c r="L24" s="1"/>
    </row>
    <row r="25">
      <c r="B25" s="1" t="s">
        <v>122</v>
      </c>
      <c r="C25" s="17">
        <f>Inputs!L48</f>
        <v>0</v>
      </c>
      <c r="D25" s="17">
        <f>Inputs!L48</f>
        <v>0</v>
      </c>
      <c r="E25" s="17">
        <f>Inputs!L48</f>
        <v>0</v>
      </c>
      <c r="F25" s="17">
        <f>Inputs!L48</f>
        <v>0</v>
      </c>
      <c r="G25" s="17">
        <f>Inputs!L48</f>
        <v>0</v>
      </c>
      <c r="H25" s="20">
        <f>Inputs!L48</f>
        <v>0</v>
      </c>
      <c r="I25" s="1"/>
      <c r="J25" s="1"/>
      <c r="K25" s="1"/>
      <c r="L25" s="1"/>
    </row>
    <row r="26">
      <c r="B26" s="1" t="s">
        <v>84</v>
      </c>
      <c r="C26" s="17">
        <f>Inputs!L49</f>
        <v>0</v>
      </c>
      <c r="D26" s="17">
        <f>Inputs!L49</f>
        <v>0</v>
      </c>
      <c r="E26" s="17">
        <f>Inputs!L49</f>
        <v>0</v>
      </c>
      <c r="F26" s="17">
        <f>Inputs!L49</f>
        <v>0</v>
      </c>
      <c r="G26" s="17">
        <f>Inputs!L49</f>
        <v>0</v>
      </c>
      <c r="H26" s="20">
        <f>Inputs!L49</f>
        <v>0</v>
      </c>
      <c r="I26" s="1"/>
      <c r="J26" s="1"/>
      <c r="K26" s="1"/>
      <c r="L26" s="1"/>
    </row>
    <row r="27">
      <c r="B27" s="1" t="s">
        <v>123</v>
      </c>
      <c r="C27" s="5">
        <f>C21</f>
        <v>0.24544551175886054</v>
      </c>
      <c r="D27" s="5">
        <f>D21</f>
        <v>0.016456672666495198</v>
      </c>
      <c r="E27" s="5">
        <f>E21</f>
        <v>0.6315184049079754</v>
      </c>
      <c r="F27" s="5">
        <f>F21</f>
        <v>2.4485688729874777</v>
      </c>
      <c r="G27" s="5">
        <f>G21</f>
        <v>2.5394777265745008</v>
      </c>
      <c r="H27" s="21">
        <f>H21</f>
        <v>2.73721629787234</v>
      </c>
      <c r="I27" s="1"/>
      <c r="J27" s="1"/>
      <c r="K27" s="1"/>
      <c r="L27" s="1"/>
    </row>
    <row r="28">
      <c r="B28" s="1"/>
      <c r="C28" s="16"/>
      <c r="D28" s="16"/>
      <c r="E28" s="16"/>
      <c r="F28" s="16"/>
      <c r="G28" s="16"/>
      <c r="H28" s="27"/>
      <c r="I28" s="1"/>
      <c r="J28" s="1"/>
      <c r="K28" s="1"/>
      <c r="L28" s="1"/>
    </row>
    <row r="29">
      <c r="B29" s="1" t="s">
        <v>124</v>
      </c>
      <c r="C29" s="8"/>
      <c r="D29" s="8"/>
      <c r="E29" s="8"/>
      <c r="F29" s="8"/>
      <c r="G29" s="8"/>
      <c r="H29" s="19"/>
      <c r="I29" s="1"/>
      <c r="J29" s="1"/>
      <c r="K29" s="1"/>
      <c r="L29" s="1"/>
    </row>
    <row r="30">
      <c r="B30" s="1" t="s">
        <v>125</v>
      </c>
      <c r="C30" s="13">
        <f>D30-Inputs!P90</f>
        <v>2390</v>
      </c>
      <c r="D30" s="4">
        <v>8650</v>
      </c>
      <c r="E30" s="4">
        <v>1970</v>
      </c>
      <c r="F30" s="4">
        <v>1657</v>
      </c>
      <c r="G30" s="4">
        <v>1463</v>
      </c>
      <c r="H30" s="6">
        <f>H20*(1-Inputs!L52)</f>
        <v>1658.1281270399998</v>
      </c>
      <c r="I30" s="1"/>
      <c r="J30" s="1"/>
      <c r="K30" s="1"/>
      <c r="L30" s="1"/>
    </row>
    <row r="31">
      <c r="B31" s="1" t="s">
        <v>126</v>
      </c>
      <c r="C31" s="12">
        <f>C20-C30</f>
        <v>1370</v>
      </c>
      <c r="D31" s="12">
        <f>D20-D30</f>
        <v>3209</v>
      </c>
      <c r="E31" s="12">
        <f>E20-E30</f>
        <v>2285</v>
      </c>
      <c r="F31" s="12">
        <f>F20-F30</f>
        <v>6054</v>
      </c>
      <c r="G31" s="12">
        <f>G20-G30</f>
        <v>10058</v>
      </c>
      <c r="H31" s="24">
        <f>H20-H30</f>
        <v>12393.80515296</v>
      </c>
      <c r="I31" s="1"/>
      <c r="J31" s="1"/>
      <c r="K31" s="1"/>
      <c r="L31" s="1"/>
    </row>
    <row r="32">
      <c r="B32" s="1" t="s">
        <v>127</v>
      </c>
      <c r="C32" s="5">
        <f>C31/C20</f>
        <v>0.36436170212765956</v>
      </c>
      <c r="D32" s="5">
        <f>IFERROR(D31/D20,0)</f>
        <v>0.2705961716839531</v>
      </c>
      <c r="E32" s="5">
        <f>IFERROR(E31/E20,0)</f>
        <v>0.5370152761457109</v>
      </c>
      <c r="F32" s="5">
        <f>IFERROR(F31/F20,0)</f>
        <v>0.7851121774088964</v>
      </c>
      <c r="G32" s="5">
        <f>IFERROR(G31/G20,0)</f>
        <v>0.8730144952695078</v>
      </c>
      <c r="H32" s="21">
        <f>H31/H20</f>
        <v>0.882</v>
      </c>
      <c r="I32" s="1"/>
      <c r="J32" s="1"/>
      <c r="K32" s="1"/>
      <c r="L32" s="1"/>
    </row>
    <row r="33">
      <c r="B33" s="1" t="s">
        <v>128</v>
      </c>
      <c r="C33" s="8"/>
      <c r="D33" s="8"/>
      <c r="E33" s="8">
        <f>(E32-C32)*10000</f>
        <v>1726.5357401805131</v>
      </c>
      <c r="F33" s="8">
        <f>(F32-E32)*10000</f>
        <v>2480.969012631855</v>
      </c>
      <c r="G33" s="8">
        <f>(G32-F32)*10000</f>
        <v>879.0231786061142</v>
      </c>
      <c r="H33" s="19">
        <f>(H32-G32)*10000</f>
        <v>89.855047304922</v>
      </c>
      <c r="I33" s="1"/>
      <c r="J33" s="1"/>
      <c r="K33" s="1"/>
      <c r="L33" s="1"/>
    </row>
    <row r="34">
      <c r="B34" s="1" t="s">
        <v>129</v>
      </c>
      <c r="C34" s="13">
        <f>D34-Inputs!P91</f>
        <v>165</v>
      </c>
      <c r="D34" s="4">
        <v>836</v>
      </c>
      <c r="E34" s="4">
        <v>176</v>
      </c>
      <c r="F34" s="4">
        <v>126</v>
      </c>
      <c r="G34" s="4">
        <v>107</v>
      </c>
      <c r="H34" s="19">
        <f>G34*H7/G7</f>
        <v>115.23076923076923</v>
      </c>
      <c r="I34" s="1"/>
      <c r="J34" s="1"/>
      <c r="K34" s="1"/>
      <c r="L34" s="1"/>
    </row>
    <row r="35">
      <c r="B35" s="1" t="s">
        <v>130</v>
      </c>
      <c r="C35" s="13">
        <f>D35-Inputs!P92</f>
        <v>100</v>
      </c>
      <c r="D35" s="4">
        <v>390</v>
      </c>
      <c r="E35" s="4">
        <v>92</v>
      </c>
      <c r="F35" s="4">
        <v>90</v>
      </c>
      <c r="G35" s="4">
        <v>81</v>
      </c>
      <c r="H35" s="19">
        <f>G35*H7/G7</f>
        <v>87.23076923076923</v>
      </c>
      <c r="I35" s="1"/>
      <c r="J35" s="1"/>
      <c r="K35" s="1"/>
      <c r="L35" s="1"/>
    </row>
    <row r="36">
      <c r="B36" s="1" t="s">
        <v>131</v>
      </c>
      <c r="C36" s="13">
        <f>D36-Inputs!P93</f>
        <v>1</v>
      </c>
      <c r="D36" s="4">
        <v>2</v>
      </c>
      <c r="E36" s="4">
        <v>0</v>
      </c>
      <c r="F36" s="4">
        <v>2</v>
      </c>
      <c r="G36" s="4">
        <v>-3</v>
      </c>
      <c r="H36" s="19">
        <f>G36</f>
        <v>-3</v>
      </c>
      <c r="I36" s="1"/>
      <c r="J36" s="1"/>
      <c r="K36" s="1"/>
      <c r="L36" s="1"/>
    </row>
    <row r="37">
      <c r="B37" s="1" t="s">
        <v>132</v>
      </c>
      <c r="C37" s="7">
        <f>C31-SUM(C34:C36)</f>
        <v>1104</v>
      </c>
      <c r="D37" s="7">
        <f>D31-SUM(D34:D36)</f>
        <v>1981</v>
      </c>
      <c r="E37" s="7">
        <f>E31-SUM(E34:E36)</f>
        <v>2017</v>
      </c>
      <c r="F37" s="7">
        <f>F31-SUM(F34:F36)</f>
        <v>5836</v>
      </c>
      <c r="G37" s="7">
        <f>G31-SUM(G34:G36)</f>
        <v>9873</v>
      </c>
      <c r="H37" s="9">
        <f>H31-SUM(H34:H36)</f>
        <v>12194.34361449846</v>
      </c>
      <c r="I37" s="1"/>
      <c r="J37" s="1"/>
      <c r="K37" s="1"/>
      <c r="L37" s="1"/>
    </row>
    <row r="38">
      <c r="B38" s="1" t="s">
        <v>133</v>
      </c>
      <c r="C38" s="5">
        <f>C37/C20</f>
        <v>0.2936170212765957</v>
      </c>
      <c r="D38" s="5">
        <f>IFERROR(D37/D20,0)</f>
        <v>0.167046125305675</v>
      </c>
      <c r="E38" s="5">
        <f>IFERROR(E37/E20,0)</f>
        <v>0.4740305522914219</v>
      </c>
      <c r="F38" s="5">
        <f>IFERROR(F37/F20,0)</f>
        <v>0.7568408766696927</v>
      </c>
      <c r="G38" s="5">
        <f>IFERROR(G37/G20,0)</f>
        <v>0.8569568613835604</v>
      </c>
      <c r="H38" s="21">
        <f>H37/H20</f>
        <v>0.8678054023964495</v>
      </c>
      <c r="I38" s="1"/>
      <c r="J38" s="1"/>
      <c r="K38" s="1"/>
      <c r="L38" s="1"/>
    </row>
    <row r="39">
      <c r="B39" s="1" t="s">
        <v>134</v>
      </c>
      <c r="C39" s="8"/>
      <c r="D39" s="8"/>
      <c r="E39" s="8">
        <f>(E38-C38)*10000</f>
        <v>1804.1353101482616</v>
      </c>
      <c r="F39" s="8">
        <f>(F38-E38)*10000</f>
        <v>2828.103243782708</v>
      </c>
      <c r="G39" s="8">
        <f>(G38-F38)*10000</f>
        <v>1001.1598471386774</v>
      </c>
      <c r="H39" s="19">
        <f>(H38-G38)*10000</f>
        <v>108.48541012889123</v>
      </c>
      <c r="I39" s="1"/>
      <c r="J39" s="1"/>
      <c r="K39" s="1"/>
      <c r="L39" s="1"/>
    </row>
    <row r="40">
      <c r="B40" s="1" t="s">
        <v>135</v>
      </c>
      <c r="C40" s="5"/>
      <c r="D40" s="17">
        <f>IFERROR(D37/Inputs!Y84-1,0)</f>
        <v>-1982</v>
      </c>
      <c r="E40" s="17">
        <f>IFERROR(E37/Inputs!Y81-1,0)</f>
        <v>4.321899736147757</v>
      </c>
      <c r="F40" s="17">
        <f>IFERROR(F37/Inputs!Y82-1,0)</f>
        <v>363.75</v>
      </c>
      <c r="G40" s="17">
        <f>IFERROR(G37/Inputs!Y83-1,0)</f>
        <v>19.483402489626556</v>
      </c>
      <c r="H40" s="21">
        <f>H37/C37-1</f>
        <v>10.045601100089186</v>
      </c>
      <c r="I40" s="1"/>
      <c r="J40" s="1"/>
      <c r="K40" s="1"/>
      <c r="L40" s="1"/>
    </row>
    <row r="41">
      <c r="B41" s="1" t="s">
        <v>136</v>
      </c>
      <c r="C41" s="8"/>
      <c r="D41" s="8"/>
      <c r="E41" s="8">
        <f>E37-C37</f>
        <v>913</v>
      </c>
      <c r="F41" s="8">
        <f>F37-E37</f>
        <v>3819</v>
      </c>
      <c r="G41" s="8">
        <f>G37-F37</f>
        <v>4037</v>
      </c>
      <c r="H41" s="19">
        <f>H37-G37</f>
        <v>2321.3436144984607</v>
      </c>
      <c r="I41" s="1"/>
      <c r="J41" s="1"/>
      <c r="K41" s="1"/>
      <c r="L41" s="1"/>
    </row>
    <row r="42">
      <c r="B42" s="1" t="s">
        <v>137</v>
      </c>
      <c r="C42" s="1"/>
      <c r="D42" s="1"/>
      <c r="E42" s="1"/>
      <c r="F42" s="1"/>
      <c r="G42" s="1"/>
      <c r="H42" s="11"/>
      <c r="I42" s="1"/>
      <c r="J42" s="1" t="s">
        <v>138</v>
      </c>
      <c r="K42" s="1"/>
      <c r="L42" s="1"/>
    </row>
    <row r="43">
      <c r="B43" s="1" t="s">
        <v>139</v>
      </c>
      <c r="C43" s="1"/>
      <c r="D43" s="1"/>
      <c r="E43" s="1"/>
      <c r="F43" s="1"/>
      <c r="G43" s="1"/>
      <c r="H43" s="11">
        <f>G47</f>
        <v>1</v>
      </c>
      <c r="I43" s="1"/>
      <c r="J43" s="1"/>
      <c r="K43" s="1"/>
      <c r="L43" s="1"/>
    </row>
    <row r="44">
      <c r="B44" s="1" t="s">
        <v>140</v>
      </c>
      <c r="C44" s="1"/>
      <c r="D44" s="1"/>
      <c r="E44" s="1"/>
      <c r="F44" s="1"/>
      <c r="G44" s="1"/>
      <c r="H44" s="11">
        <f>MAX(H43*H13,0)</f>
        <v>0</v>
      </c>
      <c r="I44" s="1"/>
      <c r="J44" s="1"/>
      <c r="K44" s="1"/>
      <c r="L44" s="1"/>
    </row>
    <row r="45">
      <c r="B45" s="1" t="s">
        <v>141</v>
      </c>
      <c r="C45" s="1"/>
      <c r="D45" s="1"/>
      <c r="E45" s="1"/>
      <c r="F45" s="1"/>
      <c r="G45" s="1"/>
      <c r="H45" s="11">
        <f>MIN(H43*H13,0)</f>
        <v>-0.01</v>
      </c>
      <c r="I45" s="1"/>
      <c r="J45" s="1"/>
      <c r="K45" s="1"/>
      <c r="L45" s="1"/>
    </row>
    <row r="46">
      <c r="B46" s="1" t="s">
        <v>142</v>
      </c>
      <c r="C46" s="1"/>
      <c r="D46" s="1"/>
      <c r="E46" s="1"/>
      <c r="F46" s="1"/>
      <c r="G46" s="1"/>
      <c r="H46" s="11">
        <f>SUM(H44:H45)</f>
        <v>-0.01</v>
      </c>
      <c r="I46" s="1"/>
      <c r="J46" s="1"/>
      <c r="K46" s="1"/>
      <c r="L46" s="1"/>
    </row>
    <row r="47">
      <c r="B47" s="1" t="s">
        <v>143</v>
      </c>
      <c r="C47" s="1"/>
      <c r="D47" s="1"/>
      <c r="E47" s="1"/>
      <c r="F47" s="1"/>
      <c r="G47" s="23">
        <f>Inputs!L64</f>
        <v>1</v>
      </c>
      <c r="H47" s="34">
        <f>H43+H46</f>
        <v>0.99</v>
      </c>
      <c r="I47" s="1"/>
      <c r="J47" s="1"/>
      <c r="K47" s="1"/>
      <c r="L47" s="1"/>
    </row>
    <row r="48">
      <c r="B48" s="1" t="s">
        <v>144</v>
      </c>
      <c r="C48" s="1"/>
      <c r="D48" s="1"/>
      <c r="E48" s="1"/>
      <c r="F48" s="1"/>
      <c r="G48" s="1"/>
      <c r="H48" s="11">
        <f>AVERAGE(H43,H47)</f>
        <v>0.995</v>
      </c>
      <c r="I48" s="1"/>
      <c r="J48" s="1"/>
      <c r="K48" s="1"/>
      <c r="L48" s="1"/>
    </row>
    <row r="49">
      <c r="B49" s="1" t="s">
        <v>145</v>
      </c>
      <c r="C49" s="1"/>
      <c r="D49" s="1"/>
      <c r="E49" s="1"/>
      <c r="F49" s="1"/>
      <c r="G49" s="1"/>
      <c r="H49" s="11">
        <f>H47-G47</f>
        <v>-0.010000000000000009</v>
      </c>
      <c r="I49" s="1"/>
      <c r="J49" s="1"/>
      <c r="K49" s="1"/>
      <c r="L49" s="1"/>
    </row>
    <row r="50">
      <c r="B50" s="1" t="s">
        <v>146</v>
      </c>
      <c r="C50" s="1"/>
      <c r="D50" s="1"/>
      <c r="E50" s="1"/>
      <c r="F50" s="1"/>
      <c r="G50" s="1"/>
      <c r="H50" s="21">
        <f>H47/G47-1</f>
        <v>-0.010000000000000009</v>
      </c>
      <c r="I50" s="1"/>
      <c r="J50" s="1"/>
      <c r="K50" s="1"/>
      <c r="L50" s="1"/>
    </row>
    <row r="51">
      <c r="B51" s="1" t="s">
        <v>147</v>
      </c>
      <c r="C51" s="1"/>
      <c r="D51" s="1"/>
      <c r="E51" s="1"/>
      <c r="F51" s="1"/>
      <c r="G51" s="47">
        <f>Inputs!L64</f>
        <v>1</v>
      </c>
      <c r="H51" s="45">
        <f>Inputs!L64*(1+H15)</f>
        <v>1.144</v>
      </c>
      <c r="I51" s="1"/>
      <c r="J51" s="1"/>
      <c r="K51" s="1"/>
      <c r="L51" s="1"/>
    </row>
    <row r="52">
      <c r="B52" s="1" t="s">
        <v>148</v>
      </c>
      <c r="C52" s="1"/>
      <c r="D52" s="1"/>
      <c r="E52" s="1"/>
      <c r="F52" s="1"/>
      <c r="G52" s="1"/>
      <c r="H52" s="21">
        <f>H51-G51</f>
        <v>0.1439999999999999</v>
      </c>
      <c r="I52" s="1"/>
      <c r="J52" s="1"/>
      <c r="K52" s="1"/>
      <c r="L52" s="1"/>
    </row>
    <row r="53">
      <c r="B53" s="1" t="s">
        <v>149</v>
      </c>
      <c r="C53" s="1"/>
      <c r="D53" s="1"/>
      <c r="E53" s="1"/>
      <c r="F53" s="1"/>
      <c r="G53" s="1" t="s">
        <v>44</v>
      </c>
      <c r="H53" s="11" t="s">
        <v>44</v>
      </c>
      <c r="I53" s="1"/>
      <c r="J53" s="1"/>
      <c r="K53" s="1"/>
      <c r="L53" s="1"/>
    </row>
    <row r="54">
      <c r="B54" s="1" t="s">
        <v>150</v>
      </c>
      <c r="C54" s="13">
        <f>C37-(D37-Inputs!P94)</f>
        <v>0</v>
      </c>
      <c r="D54" s="8"/>
      <c r="E54" s="8"/>
      <c r="F54" s="8"/>
      <c r="G54" s="8"/>
      <c r="H54" s="8"/>
      <c r="I54" s="1"/>
      <c r="J54" s="1"/>
      <c r="K54" s="1"/>
      <c r="L54" s="1"/>
    </row>
    <row r="55">
      <c r="B55" s="1" t="s">
        <v>151</v>
      </c>
      <c r="C55" s="8"/>
      <c r="D55" s="8"/>
      <c r="E55" s="8">
        <f>E20-C20</f>
        <v>495</v>
      </c>
      <c r="F55" s="8">
        <f>F20-E20</f>
        <v>3456</v>
      </c>
      <c r="G55" s="8">
        <f>G20-F20</f>
        <v>3810</v>
      </c>
      <c r="H55" s="19">
        <f>H20-G20</f>
        <v>2530.9332799999993</v>
      </c>
      <c r="I55" s="1"/>
      <c r="J55" s="1"/>
      <c r="K55" s="1"/>
      <c r="L55" s="1"/>
    </row>
    <row r="56">
      <c r="B56" s="1" t="s">
        <v>152</v>
      </c>
      <c r="C56" s="8"/>
      <c r="D56" s="8"/>
      <c r="E56" s="8">
        <f>(E23-C23)*10000</f>
        <v>-204.20702667079405</v>
      </c>
      <c r="F56" s="8">
        <f>(F23-E23)*10000</f>
        <v>112.953140675785</v>
      </c>
      <c r="G56" s="8">
        <f>(G23-F23)*10000</f>
        <v>-452.6775659376725</v>
      </c>
      <c r="H56" s="19">
        <f>(H23-G23)*10000</f>
        <v>-49.54182525023998</v>
      </c>
      <c r="I56" s="1"/>
      <c r="J56" s="1"/>
      <c r="K56" s="1"/>
      <c r="L56" s="1"/>
    </row>
    <row r="57">
      <c r="B57" s="1" t="s">
        <v>153</v>
      </c>
      <c r="C57" s="8"/>
      <c r="D57" s="8"/>
      <c r="E57" s="8"/>
      <c r="F57" s="8"/>
      <c r="G57" s="8"/>
      <c r="H57" s="19">
        <f>H20-C20</f>
        <v>10291.93328</v>
      </c>
      <c r="I57" s="1"/>
      <c r="J57" s="1"/>
      <c r="K57" s="1"/>
      <c r="L57" s="1"/>
    </row>
    <row r="58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B2:L85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10" customWidth="1"/>
    <col min="2" max="2" width="34" customWidth="1"/>
    <col min="3" max="8" width="14" customWidth="1"/>
    <col min="9" max="9" width="3" customWidth="1"/>
    <col min="10" max="10" width="37" customWidth="1"/>
    <col min="11" max="11" width="33" customWidth="1"/>
    <col min="12" max="12" width="20" customWidth="1"/>
  </cols>
  <sheetData>
    <row r="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B3" s="1" t="s">
        <v>156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5" t="s">
        <v>9</v>
      </c>
      <c r="I5" s="1"/>
      <c r="J5" s="1"/>
      <c r="K5" s="1"/>
      <c r="L5" s="1"/>
    </row>
    <row r="6">
      <c r="B6" s="10" t="s">
        <v>10</v>
      </c>
      <c r="C6" s="2">
        <v>45897</v>
      </c>
      <c r="D6" s="2">
        <v>45897</v>
      </c>
      <c r="E6" s="2">
        <v>45988</v>
      </c>
      <c r="F6" s="2">
        <v>46079</v>
      </c>
      <c r="G6" s="2">
        <v>46170</v>
      </c>
      <c r="H6" s="29">
        <v>46268</v>
      </c>
      <c r="I6" s="1"/>
      <c r="J6" s="1"/>
      <c r="K6" s="1"/>
      <c r="L6" s="1"/>
    </row>
    <row r="7">
      <c r="B7" s="10" t="s">
        <v>11</v>
      </c>
      <c r="C7" s="10">
        <v>91</v>
      </c>
      <c r="D7" s="10">
        <v>364</v>
      </c>
      <c r="E7" s="10">
        <v>91</v>
      </c>
      <c r="F7" s="10">
        <v>91</v>
      </c>
      <c r="G7" s="10">
        <v>91</v>
      </c>
      <c r="H7" s="25">
        <v>98</v>
      </c>
      <c r="I7" s="1"/>
      <c r="J7" s="1"/>
      <c r="K7" s="1"/>
      <c r="L7" s="1"/>
    </row>
    <row r="8">
      <c r="B8" s="1"/>
      <c r="C8" s="1"/>
      <c r="D8" s="1"/>
      <c r="E8" s="1"/>
      <c r="F8" s="1"/>
      <c r="G8" s="1"/>
      <c r="H8" s="11"/>
      <c r="I8" s="1"/>
      <c r="J8" s="1"/>
      <c r="K8" s="1"/>
      <c r="L8" s="1"/>
    </row>
    <row r="9">
      <c r="B9" s="1" t="s">
        <v>106</v>
      </c>
      <c r="C9" s="8"/>
      <c r="D9" s="8"/>
      <c r="E9" s="8"/>
      <c r="F9" s="8"/>
      <c r="G9" s="8"/>
      <c r="H9" s="19"/>
      <c r="I9" s="1"/>
      <c r="J9" s="1" t="s">
        <v>34</v>
      </c>
      <c r="K9" s="1"/>
      <c r="L9" s="1"/>
    </row>
    <row r="10">
      <c r="B10" s="1" t="s">
        <v>107</v>
      </c>
      <c r="C10" s="8"/>
      <c r="D10" s="8"/>
      <c r="E10" s="8">
        <f>C20</f>
        <v>1434</v>
      </c>
      <c r="F10" s="8">
        <f>E20</f>
        <v>1720</v>
      </c>
      <c r="G10" s="8">
        <f>F20</f>
        <v>2708</v>
      </c>
      <c r="H10" s="19">
        <f>G20</f>
        <v>4634</v>
      </c>
      <c r="I10" s="1"/>
      <c r="J10" s="1"/>
      <c r="K10" s="1"/>
      <c r="L10" s="1"/>
    </row>
    <row r="11">
      <c r="B11" s="1" t="s">
        <v>108</v>
      </c>
      <c r="C11" s="8"/>
      <c r="D11" s="8"/>
      <c r="E11" s="8"/>
      <c r="F11" s="8"/>
      <c r="G11" s="8"/>
      <c r="H11" s="19">
        <f>H10/G7</f>
        <v>50.92307692307692</v>
      </c>
      <c r="I11" s="1"/>
      <c r="J11" s="1"/>
      <c r="K11" s="1"/>
      <c r="L11" s="1"/>
    </row>
    <row r="12">
      <c r="B12" s="1" t="s">
        <v>109</v>
      </c>
      <c r="C12" s="8"/>
      <c r="D12" s="8"/>
      <c r="E12" s="8"/>
      <c r="F12" s="8"/>
      <c r="G12" s="8"/>
      <c r="H12" s="19">
        <f>H7</f>
        <v>98</v>
      </c>
      <c r="I12" s="1"/>
      <c r="J12" s="1"/>
      <c r="K12" s="1"/>
      <c r="L12" s="1"/>
    </row>
    <row r="13">
      <c r="B13" s="1" t="s">
        <v>110</v>
      </c>
      <c r="C13" s="5"/>
      <c r="D13" s="5"/>
      <c r="E13" s="5"/>
      <c r="F13" s="5"/>
      <c r="G13" s="5"/>
      <c r="H13" s="20">
        <f>Inputs!L16</f>
        <v>-0.005</v>
      </c>
      <c r="I13" s="1"/>
      <c r="J13" s="1"/>
      <c r="K13" s="1"/>
      <c r="L13" s="1"/>
    </row>
    <row r="14">
      <c r="B14" s="1" t="s">
        <v>111</v>
      </c>
      <c r="C14" s="8"/>
      <c r="D14" s="8"/>
      <c r="E14" s="8"/>
      <c r="F14" s="8"/>
      <c r="G14" s="8"/>
      <c r="H14" s="19">
        <f>H13*10000</f>
        <v>-50</v>
      </c>
      <c r="I14" s="1"/>
      <c r="J14" s="1"/>
      <c r="K14" s="1"/>
      <c r="L14" s="1"/>
    </row>
    <row r="15">
      <c r="B15" s="1" t="s">
        <v>112</v>
      </c>
      <c r="C15" s="5"/>
      <c r="D15" s="5"/>
      <c r="E15" s="5"/>
      <c r="F15" s="5"/>
      <c r="G15" s="5"/>
      <c r="H15" s="20">
        <f>Inputs!L17</f>
        <v>0.147</v>
      </c>
      <c r="I15" s="1"/>
      <c r="J15" s="1"/>
      <c r="K15" s="1"/>
      <c r="L15" s="1"/>
    </row>
    <row r="16">
      <c r="B16" s="1" t="s">
        <v>113</v>
      </c>
      <c r="C16" s="8"/>
      <c r="D16" s="8"/>
      <c r="E16" s="8"/>
      <c r="F16" s="8"/>
      <c r="G16" s="8"/>
      <c r="H16" s="19">
        <f>H15*10000</f>
        <v>1470</v>
      </c>
      <c r="I16" s="1"/>
      <c r="J16" s="1"/>
      <c r="K16" s="1"/>
      <c r="L16" s="1"/>
    </row>
    <row r="17">
      <c r="B17" s="1" t="s">
        <v>114</v>
      </c>
      <c r="C17" s="8"/>
      <c r="D17" s="8"/>
      <c r="E17" s="8"/>
      <c r="F17" s="8"/>
      <c r="G17" s="8"/>
      <c r="H17" s="19">
        <f>H11*H12</f>
        <v>4990.461538461538</v>
      </c>
      <c r="I17" s="1"/>
      <c r="J17" s="1"/>
      <c r="K17" s="1"/>
      <c r="L17" s="1"/>
    </row>
    <row r="18">
      <c r="B18" s="1" t="s">
        <v>115</v>
      </c>
      <c r="C18" s="8"/>
      <c r="D18" s="8"/>
      <c r="E18" s="8"/>
      <c r="F18" s="8"/>
      <c r="G18" s="8"/>
      <c r="H18" s="19">
        <f>H17*(H47/H43-1)</f>
        <v>-24.952307692307713</v>
      </c>
      <c r="I18" s="1"/>
      <c r="J18" s="1"/>
      <c r="K18" s="1"/>
      <c r="L18" s="1"/>
    </row>
    <row r="19">
      <c r="B19" s="1" t="s">
        <v>116</v>
      </c>
      <c r="C19" s="8"/>
      <c r="D19" s="8"/>
      <c r="E19" s="8"/>
      <c r="F19" s="8"/>
      <c r="G19" s="8"/>
      <c r="H19" s="19">
        <f>(H17+H18)*(H51-1)</f>
        <v>729.929856923077</v>
      </c>
      <c r="I19" s="1"/>
      <c r="J19" s="1"/>
      <c r="K19" s="1"/>
      <c r="L19" s="1"/>
    </row>
    <row r="20">
      <c r="B20" s="1" t="s">
        <v>117</v>
      </c>
      <c r="C20" s="22">
        <v>1434</v>
      </c>
      <c r="D20" s="22">
        <v>4753</v>
      </c>
      <c r="E20" s="22">
        <v>1720</v>
      </c>
      <c r="F20" s="22">
        <v>2708</v>
      </c>
      <c r="G20" s="22">
        <v>4634</v>
      </c>
      <c r="H20" s="9">
        <f>SUM(H17:H19)</f>
        <v>5695.439087692307</v>
      </c>
      <c r="I20" s="1"/>
      <c r="J20" s="1"/>
      <c r="K20" s="1"/>
      <c r="L20" s="1"/>
    </row>
    <row r="21">
      <c r="B21" s="1" t="s">
        <v>118</v>
      </c>
      <c r="C21" s="17">
        <f>IFERROR(C20/Inputs!T85-1,0)</f>
        <v>0.1658536585365853</v>
      </c>
      <c r="D21" s="17">
        <f>IFERROR(D20/Inputs!T84-1,0)</f>
        <v>0.02634420211617372</v>
      </c>
      <c r="E21" s="17">
        <f>IFERROR(E20/Inputs!T81-1,0)</f>
        <v>0.4853195164075994</v>
      </c>
      <c r="F21" s="17">
        <f>IFERROR(F20/Inputs!T82-1,0)</f>
        <v>1.618955512572534</v>
      </c>
      <c r="G21" s="17">
        <f>IFERROR(G20/Inputs!T83-1,0)</f>
        <v>3.111801242236025</v>
      </c>
      <c r="H21" s="21">
        <f>H20/C20-1</f>
        <v>2.971714844973715</v>
      </c>
      <c r="I21" s="1"/>
      <c r="J21" s="1"/>
      <c r="K21" s="1"/>
      <c r="L21" s="1"/>
    </row>
    <row r="22">
      <c r="B22" s="1" t="s">
        <v>119</v>
      </c>
      <c r="C22" s="5"/>
      <c r="D22" s="5"/>
      <c r="E22" s="5">
        <f>IFERROR(E20/C20-1,0)</f>
        <v>0.19944211994421202</v>
      </c>
      <c r="F22" s="5">
        <f>IFERROR(F20/E20-1,0)</f>
        <v>0.5744186046511628</v>
      </c>
      <c r="G22" s="5">
        <f>IFERROR(G20/F20-1,0)</f>
        <v>0.7112259970457901</v>
      </c>
      <c r="H22" s="21">
        <f>H20/G20-1</f>
        <v>0.22905461538461536</v>
      </c>
      <c r="I22" s="1"/>
      <c r="J22" s="1"/>
      <c r="K22" s="1"/>
      <c r="L22" s="1"/>
    </row>
    <row r="23">
      <c r="B23" s="1" t="s">
        <v>120</v>
      </c>
      <c r="C23" s="17">
        <f>IFERROR(C20/'Revenue summary'!C53,0)</f>
        <v>0.12673442333186036</v>
      </c>
      <c r="D23" s="17">
        <f>IFERROR(D20/'Revenue summary'!D53,0)</f>
        <v>0.12716036171009684</v>
      </c>
      <c r="E23" s="17">
        <f>IFERROR(E20/'Revenue summary'!E53,0)</f>
        <v>0.1260719783038921</v>
      </c>
      <c r="F23" s="17">
        <f>IFERROR(F20/'Revenue summary'!F53,0)</f>
        <v>0.1134953897736798</v>
      </c>
      <c r="G23" s="17">
        <f>IFERROR(G20/'Revenue summary'!G53,0)</f>
        <v>0.11178116557313779</v>
      </c>
      <c r="H23" s="20">
        <f>IFERROR(H20/'Revenue summary'!H53,0)</f>
        <v>0.11063233245757097</v>
      </c>
      <c r="I23" s="1"/>
      <c r="J23" s="1"/>
      <c r="K23" s="1"/>
      <c r="L23" s="1"/>
    </row>
    <row r="24">
      <c r="B24" s="1" t="s">
        <v>121</v>
      </c>
      <c r="C24" s="5">
        <f>(1+C27)/((1+C25)*(1+C26))-1</f>
        <v>0.1658536585365853</v>
      </c>
      <c r="D24" s="5">
        <f>(1+D27)/((1+D25)*(1+D26))-1</f>
        <v>0.02634420211617372</v>
      </c>
      <c r="E24" s="5">
        <f>(1+E27)/((1+E25)*(1+E26))-1</f>
        <v>0.4853195164075994</v>
      </c>
      <c r="F24" s="5">
        <f>(1+F27)/((1+F25)*(1+F26))-1</f>
        <v>1.618955512572534</v>
      </c>
      <c r="G24" s="5">
        <f>(1+G27)/((1+G25)*(1+G26))-1</f>
        <v>3.111801242236025</v>
      </c>
      <c r="H24" s="21">
        <f>(1+H21)/((1+H25)*(1+H26))-1</f>
        <v>2.971714844973715</v>
      </c>
      <c r="I24" s="1"/>
      <c r="J24" s="1"/>
      <c r="K24" s="1"/>
      <c r="L24" s="1"/>
    </row>
    <row r="25">
      <c r="B25" s="1" t="s">
        <v>122</v>
      </c>
      <c r="C25" s="17">
        <f>Inputs!L48</f>
        <v>0</v>
      </c>
      <c r="D25" s="17">
        <f>Inputs!L48</f>
        <v>0</v>
      </c>
      <c r="E25" s="17">
        <f>Inputs!L48</f>
        <v>0</v>
      </c>
      <c r="F25" s="17">
        <f>Inputs!L48</f>
        <v>0</v>
      </c>
      <c r="G25" s="17">
        <f>Inputs!L48</f>
        <v>0</v>
      </c>
      <c r="H25" s="20">
        <f>Inputs!L48</f>
        <v>0</v>
      </c>
      <c r="I25" s="1"/>
      <c r="J25" s="1"/>
      <c r="K25" s="1"/>
      <c r="L25" s="1"/>
    </row>
    <row r="26">
      <c r="B26" s="1" t="s">
        <v>84</v>
      </c>
      <c r="C26" s="17">
        <f>Inputs!L49</f>
        <v>0</v>
      </c>
      <c r="D26" s="17">
        <f>Inputs!L49</f>
        <v>0</v>
      </c>
      <c r="E26" s="17">
        <f>Inputs!L49</f>
        <v>0</v>
      </c>
      <c r="F26" s="17">
        <f>Inputs!L49</f>
        <v>0</v>
      </c>
      <c r="G26" s="17">
        <f>Inputs!L49</f>
        <v>0</v>
      </c>
      <c r="H26" s="20">
        <f>Inputs!L49</f>
        <v>0</v>
      </c>
      <c r="I26" s="1"/>
      <c r="J26" s="1"/>
      <c r="K26" s="1"/>
      <c r="L26" s="1"/>
    </row>
    <row r="27">
      <c r="B27" s="1" t="s">
        <v>123</v>
      </c>
      <c r="C27" s="5">
        <f>C21</f>
        <v>0.1658536585365853</v>
      </c>
      <c r="D27" s="5">
        <f>D21</f>
        <v>0.02634420211617372</v>
      </c>
      <c r="E27" s="5">
        <f>E21</f>
        <v>0.4853195164075994</v>
      </c>
      <c r="F27" s="5">
        <f>F21</f>
        <v>1.618955512572534</v>
      </c>
      <c r="G27" s="5">
        <f>G21</f>
        <v>3.111801242236025</v>
      </c>
      <c r="H27" s="21">
        <f>H21</f>
        <v>2.971714844973715</v>
      </c>
      <c r="I27" s="1"/>
      <c r="J27" s="1"/>
      <c r="K27" s="1"/>
      <c r="L27" s="1"/>
    </row>
    <row r="28">
      <c r="B28" s="1"/>
      <c r="C28" s="16"/>
      <c r="D28" s="16"/>
      <c r="E28" s="16"/>
      <c r="F28" s="16"/>
      <c r="G28" s="16"/>
      <c r="H28" s="27"/>
      <c r="I28" s="1"/>
      <c r="J28" s="1"/>
      <c r="K28" s="1"/>
      <c r="L28" s="1"/>
    </row>
    <row r="29">
      <c r="B29" s="1" t="s">
        <v>124</v>
      </c>
      <c r="C29" s="8"/>
      <c r="D29" s="8"/>
      <c r="E29" s="8"/>
      <c r="F29" s="8"/>
      <c r="G29" s="8"/>
      <c r="H29" s="19"/>
      <c r="I29" s="1"/>
      <c r="J29" s="1"/>
      <c r="K29" s="1"/>
      <c r="L29" s="1"/>
    </row>
    <row r="30">
      <c r="B30" s="1" t="s">
        <v>125</v>
      </c>
      <c r="C30" s="13">
        <f>D30-Inputs!Q90</f>
        <v>987</v>
      </c>
      <c r="D30" s="4">
        <v>3566</v>
      </c>
      <c r="E30" s="4">
        <v>942</v>
      </c>
      <c r="F30" s="4">
        <v>859</v>
      </c>
      <c r="G30" s="4">
        <v>975</v>
      </c>
      <c r="H30" s="6">
        <f>H20*(1-Inputs!L53)</f>
        <v>1110.6106220999995</v>
      </c>
      <c r="I30" s="1"/>
      <c r="J30" s="1"/>
      <c r="K30" s="1"/>
      <c r="L30" s="1"/>
    </row>
    <row r="31">
      <c r="B31" s="1" t="s">
        <v>126</v>
      </c>
      <c r="C31" s="12">
        <f>C20-C30</f>
        <v>447</v>
      </c>
      <c r="D31" s="12">
        <f>D20-D30</f>
        <v>1187</v>
      </c>
      <c r="E31" s="12">
        <f>E20-E30</f>
        <v>778</v>
      </c>
      <c r="F31" s="12">
        <f>F20-F30</f>
        <v>1849</v>
      </c>
      <c r="G31" s="12">
        <f>G20-G30</f>
        <v>3659</v>
      </c>
      <c r="H31" s="24">
        <f>H20-H30</f>
        <v>4584.828465592307</v>
      </c>
      <c r="I31" s="1"/>
      <c r="J31" s="1"/>
      <c r="K31" s="1"/>
      <c r="L31" s="1"/>
    </row>
    <row r="32">
      <c r="B32" s="1" t="s">
        <v>127</v>
      </c>
      <c r="C32" s="5">
        <f>C31/C20</f>
        <v>0.3117154811715481</v>
      </c>
      <c r="D32" s="5">
        <f>IFERROR(D31/D20,0)</f>
        <v>0.249737008205344</v>
      </c>
      <c r="E32" s="5">
        <f>IFERROR(E31/E20,0)</f>
        <v>0.45232558139534884</v>
      </c>
      <c r="F32" s="5">
        <f>IFERROR(F31/F20,0)</f>
        <v>0.6827917282127031</v>
      </c>
      <c r="G32" s="5">
        <f>IFERROR(G31/G20,0)</f>
        <v>0.7895986189037548</v>
      </c>
      <c r="H32" s="21">
        <f>H31/H20</f>
        <v>0.8049999999999999</v>
      </c>
      <c r="I32" s="1"/>
      <c r="J32" s="1"/>
      <c r="K32" s="1"/>
      <c r="L32" s="1"/>
    </row>
    <row r="33">
      <c r="B33" s="1" t="s">
        <v>128</v>
      </c>
      <c r="C33" s="8"/>
      <c r="D33" s="8"/>
      <c r="E33" s="8">
        <f>(E32-C32)*10000</f>
        <v>1406.1010022380071</v>
      </c>
      <c r="F33" s="8">
        <f>(F32-E32)*10000</f>
        <v>2304.6614681735423</v>
      </c>
      <c r="G33" s="8">
        <f>(G32-F32)*10000</f>
        <v>1068.0689069105176</v>
      </c>
      <c r="H33" s="19">
        <f>(H32-G32)*10000</f>
        <v>154.01381096245115</v>
      </c>
      <c r="I33" s="1"/>
      <c r="J33" s="1"/>
      <c r="K33" s="1"/>
      <c r="L33" s="1"/>
    </row>
    <row r="34">
      <c r="B34" s="1" t="s">
        <v>129</v>
      </c>
      <c r="C34" s="13">
        <f>D34-Inputs!Q91</f>
        <v>105</v>
      </c>
      <c r="D34" s="4">
        <v>435</v>
      </c>
      <c r="E34" s="4">
        <v>97</v>
      </c>
      <c r="F34" s="4">
        <v>109</v>
      </c>
      <c r="G34" s="4">
        <v>96</v>
      </c>
      <c r="H34" s="19">
        <f>G34*H7/G7</f>
        <v>103.38461538461539</v>
      </c>
      <c r="I34" s="1"/>
      <c r="J34" s="1"/>
      <c r="K34" s="1"/>
      <c r="L34" s="1"/>
    </row>
    <row r="35">
      <c r="B35" s="1" t="s">
        <v>130</v>
      </c>
      <c r="C35" s="13">
        <f>D35-Inputs!Q92</f>
        <v>51</v>
      </c>
      <c r="D35" s="4">
        <v>195</v>
      </c>
      <c r="E35" s="4">
        <v>54</v>
      </c>
      <c r="F35" s="4">
        <v>58</v>
      </c>
      <c r="G35" s="4">
        <v>70</v>
      </c>
      <c r="H35" s="19">
        <f>G35*H7/G7</f>
        <v>75.38461538461539</v>
      </c>
      <c r="I35" s="1"/>
      <c r="J35" s="1"/>
      <c r="K35" s="1"/>
      <c r="L35" s="1"/>
    </row>
    <row r="36">
      <c r="B36" s="1" t="s">
        <v>131</v>
      </c>
      <c r="C36" s="13">
        <f>D36-Inputs!Q93</f>
        <v>-1</v>
      </c>
      <c r="D36" s="4">
        <v>0</v>
      </c>
      <c r="E36" s="4">
        <v>0</v>
      </c>
      <c r="F36" s="4">
        <v>0</v>
      </c>
      <c r="G36" s="4">
        <v>0</v>
      </c>
      <c r="H36" s="19">
        <f>G36</f>
        <v>0</v>
      </c>
      <c r="I36" s="1"/>
      <c r="J36" s="1"/>
      <c r="K36" s="1"/>
      <c r="L36" s="1"/>
    </row>
    <row r="37">
      <c r="B37" s="1" t="s">
        <v>132</v>
      </c>
      <c r="C37" s="7">
        <f>C31-SUM(C34:C36)</f>
        <v>292</v>
      </c>
      <c r="D37" s="7">
        <f>D31-SUM(D34:D36)</f>
        <v>557</v>
      </c>
      <c r="E37" s="7">
        <f>E31-SUM(E34:E36)</f>
        <v>627</v>
      </c>
      <c r="F37" s="7">
        <f>F31-SUM(F34:F36)</f>
        <v>1682</v>
      </c>
      <c r="G37" s="7">
        <f>G31-SUM(G34:G36)</f>
        <v>3493</v>
      </c>
      <c r="H37" s="9">
        <f>H31-SUM(H34:H36)</f>
        <v>4406.059234823077</v>
      </c>
      <c r="I37" s="1"/>
      <c r="J37" s="1"/>
      <c r="K37" s="1"/>
      <c r="L37" s="1"/>
    </row>
    <row r="38">
      <c r="B38" s="1" t="s">
        <v>133</v>
      </c>
      <c r="C38" s="5">
        <f>C37/C20</f>
        <v>0.20362622036262204</v>
      </c>
      <c r="D38" s="5">
        <f>IFERROR(D37/D20,0)</f>
        <v>0.1171891436987166</v>
      </c>
      <c r="E38" s="5">
        <f>IFERROR(E37/E20,0)</f>
        <v>0.36453488372093024</v>
      </c>
      <c r="F38" s="5">
        <f>IFERROR(F37/F20,0)</f>
        <v>0.6211225997045791</v>
      </c>
      <c r="G38" s="5">
        <f>IFERROR(G37/G20,0)</f>
        <v>0.7537764350453172</v>
      </c>
      <c r="H38" s="21">
        <f>H37/H20</f>
        <v>0.773611861523452</v>
      </c>
      <c r="I38" s="1"/>
      <c r="J38" s="1"/>
      <c r="K38" s="1"/>
      <c r="L38" s="1"/>
    </row>
    <row r="39">
      <c r="B39" s="1" t="s">
        <v>134</v>
      </c>
      <c r="C39" s="8"/>
      <c r="D39" s="8"/>
      <c r="E39" s="8">
        <f>(E38-C38)*10000</f>
        <v>1609.086633583082</v>
      </c>
      <c r="F39" s="8">
        <f>(F38-E38)*10000</f>
        <v>2565.8771598364883</v>
      </c>
      <c r="G39" s="8">
        <f>(G38-F38)*10000</f>
        <v>1326.5383534073815</v>
      </c>
      <c r="H39" s="19">
        <f>(H38-G38)*10000</f>
        <v>198.35426478134744</v>
      </c>
      <c r="I39" s="1"/>
      <c r="J39" s="1"/>
      <c r="K39" s="1"/>
      <c r="L39" s="1"/>
    </row>
    <row r="40">
      <c r="B40" s="1" t="s">
        <v>135</v>
      </c>
      <c r="C40" s="5"/>
      <c r="D40" s="17">
        <f>IFERROR(D37/Inputs!Z84-1,0)</f>
        <v>0.28935185185185186</v>
      </c>
      <c r="E40" s="17">
        <f>IFERROR(E37/Inputs!Z81-1,0)</f>
        <v>7.038461538461538</v>
      </c>
      <c r="F40" s="17">
        <f>IFERROR(F37/Inputs!Z82-1,0)</f>
        <v>26.57377049180328</v>
      </c>
      <c r="G40" s="17">
        <f>IFERROR(G37/Inputs!Z83-1,0)</f>
        <v>26.72222222222222</v>
      </c>
      <c r="H40" s="21">
        <f>H37/C37-1</f>
        <v>14.08924395487355</v>
      </c>
      <c r="I40" s="1"/>
      <c r="J40" s="1"/>
      <c r="K40" s="1"/>
      <c r="L40" s="1"/>
    </row>
    <row r="41">
      <c r="B41" s="1" t="s">
        <v>136</v>
      </c>
      <c r="C41" s="8"/>
      <c r="D41" s="8"/>
      <c r="E41" s="8">
        <f>E37-C37</f>
        <v>335</v>
      </c>
      <c r="F41" s="8">
        <f>F37-E37</f>
        <v>1055</v>
      </c>
      <c r="G41" s="8">
        <f>G37-F37</f>
        <v>1811</v>
      </c>
      <c r="H41" s="19">
        <f>H37-G37</f>
        <v>913.0592348230766</v>
      </c>
      <c r="I41" s="1"/>
      <c r="J41" s="1"/>
      <c r="K41" s="1"/>
      <c r="L41" s="1"/>
    </row>
    <row r="42">
      <c r="B42" s="1" t="s">
        <v>137</v>
      </c>
      <c r="C42" s="1"/>
      <c r="D42" s="1"/>
      <c r="E42" s="1"/>
      <c r="F42" s="1"/>
      <c r="G42" s="1"/>
      <c r="H42" s="11"/>
      <c r="I42" s="1"/>
      <c r="J42" s="1" t="s">
        <v>138</v>
      </c>
      <c r="K42" s="1"/>
      <c r="L42" s="1"/>
    </row>
    <row r="43">
      <c r="B43" s="1" t="s">
        <v>139</v>
      </c>
      <c r="C43" s="1"/>
      <c r="D43" s="1"/>
      <c r="E43" s="1"/>
      <c r="F43" s="1"/>
      <c r="G43" s="1"/>
      <c r="H43" s="11">
        <f>G47</f>
        <v>1</v>
      </c>
      <c r="I43" s="1"/>
      <c r="J43" s="1"/>
      <c r="K43" s="1"/>
      <c r="L43" s="1"/>
    </row>
    <row r="44">
      <c r="B44" s="1" t="s">
        <v>140</v>
      </c>
      <c r="C44" s="1"/>
      <c r="D44" s="1"/>
      <c r="E44" s="1"/>
      <c r="F44" s="1"/>
      <c r="G44" s="1"/>
      <c r="H44" s="11">
        <f>MAX(H43*H13,0)</f>
        <v>0</v>
      </c>
      <c r="I44" s="1"/>
      <c r="J44" s="1"/>
      <c r="K44" s="1"/>
      <c r="L44" s="1"/>
    </row>
    <row r="45">
      <c r="B45" s="1" t="s">
        <v>141</v>
      </c>
      <c r="C45" s="1"/>
      <c r="D45" s="1"/>
      <c r="E45" s="1"/>
      <c r="F45" s="1"/>
      <c r="G45" s="1"/>
      <c r="H45" s="11">
        <f>MIN(H43*H13,0)</f>
        <v>-0.005</v>
      </c>
      <c r="I45" s="1"/>
      <c r="J45" s="1"/>
      <c r="K45" s="1"/>
      <c r="L45" s="1"/>
    </row>
    <row r="46">
      <c r="B46" s="1" t="s">
        <v>142</v>
      </c>
      <c r="C46" s="1"/>
      <c r="D46" s="1"/>
      <c r="E46" s="1"/>
      <c r="F46" s="1"/>
      <c r="G46" s="1"/>
      <c r="H46" s="11">
        <f>SUM(H44:H45)</f>
        <v>-0.005</v>
      </c>
      <c r="I46" s="1"/>
      <c r="J46" s="1"/>
      <c r="K46" s="1"/>
      <c r="L46" s="1"/>
    </row>
    <row r="47">
      <c r="B47" s="1" t="s">
        <v>143</v>
      </c>
      <c r="C47" s="1"/>
      <c r="D47" s="1"/>
      <c r="E47" s="1"/>
      <c r="F47" s="1"/>
      <c r="G47" s="23">
        <f>Inputs!L64</f>
        <v>1</v>
      </c>
      <c r="H47" s="34">
        <f>H43+H46</f>
        <v>0.995</v>
      </c>
      <c r="I47" s="1"/>
      <c r="J47" s="1"/>
      <c r="K47" s="1"/>
      <c r="L47" s="1"/>
    </row>
    <row r="48">
      <c r="B48" s="1" t="s">
        <v>144</v>
      </c>
      <c r="C48" s="1"/>
      <c r="D48" s="1"/>
      <c r="E48" s="1"/>
      <c r="F48" s="1"/>
      <c r="G48" s="1"/>
      <c r="H48" s="11">
        <f>AVERAGE(H43,H47)</f>
        <v>0.9975</v>
      </c>
      <c r="I48" s="1"/>
      <c r="J48" s="1"/>
      <c r="K48" s="1"/>
      <c r="L48" s="1"/>
    </row>
    <row r="49">
      <c r="B49" s="1" t="s">
        <v>145</v>
      </c>
      <c r="C49" s="1"/>
      <c r="D49" s="1"/>
      <c r="E49" s="1"/>
      <c r="F49" s="1"/>
      <c r="G49" s="1"/>
      <c r="H49" s="11">
        <f>H47-G47</f>
        <v>-0.0050000000000000044</v>
      </c>
      <c r="I49" s="1"/>
      <c r="J49" s="1"/>
      <c r="K49" s="1"/>
      <c r="L49" s="1"/>
    </row>
    <row r="50">
      <c r="B50" s="1" t="s">
        <v>146</v>
      </c>
      <c r="C50" s="1"/>
      <c r="D50" s="1"/>
      <c r="E50" s="1"/>
      <c r="F50" s="1"/>
      <c r="G50" s="1"/>
      <c r="H50" s="21">
        <f>H47/G47-1</f>
        <v>-0.0050000000000000044</v>
      </c>
      <c r="I50" s="1"/>
      <c r="J50" s="1"/>
      <c r="K50" s="1"/>
      <c r="L50" s="1"/>
    </row>
    <row r="51">
      <c r="B51" s="1" t="s">
        <v>147</v>
      </c>
      <c r="C51" s="1"/>
      <c r="D51" s="1"/>
      <c r="E51" s="1"/>
      <c r="F51" s="1"/>
      <c r="G51" s="47">
        <f>Inputs!L64</f>
        <v>1</v>
      </c>
      <c r="H51" s="45">
        <f>Inputs!L64*(1+H15)</f>
        <v>1.147</v>
      </c>
      <c r="I51" s="1"/>
      <c r="J51" s="1"/>
      <c r="K51" s="1"/>
      <c r="L51" s="1"/>
    </row>
    <row r="52">
      <c r="B52" s="1" t="s">
        <v>148</v>
      </c>
      <c r="C52" s="1"/>
      <c r="D52" s="1"/>
      <c r="E52" s="1"/>
      <c r="F52" s="1"/>
      <c r="G52" s="1"/>
      <c r="H52" s="21">
        <f>H51-G51</f>
        <v>0.14700000000000002</v>
      </c>
      <c r="I52" s="1"/>
      <c r="J52" s="1"/>
      <c r="K52" s="1"/>
      <c r="L52" s="1"/>
    </row>
    <row r="53">
      <c r="B53" s="1" t="s">
        <v>149</v>
      </c>
      <c r="C53" s="1"/>
      <c r="D53" s="1"/>
      <c r="E53" s="1"/>
      <c r="F53" s="1"/>
      <c r="G53" s="1" t="s">
        <v>44</v>
      </c>
      <c r="H53" s="11" t="s">
        <v>44</v>
      </c>
      <c r="I53" s="1"/>
      <c r="J53" s="1"/>
      <c r="K53" s="1"/>
      <c r="L53" s="1"/>
    </row>
    <row r="54">
      <c r="B54" s="1" t="s">
        <v>150</v>
      </c>
      <c r="C54" s="13">
        <f>C37-(D37-Inputs!Q94)</f>
        <v>0</v>
      </c>
      <c r="D54" s="8"/>
      <c r="E54" s="8"/>
      <c r="F54" s="8"/>
      <c r="G54" s="8"/>
      <c r="H54" s="8"/>
      <c r="I54" s="1"/>
      <c r="J54" s="1"/>
      <c r="K54" s="1"/>
      <c r="L54" s="1"/>
    </row>
    <row r="55">
      <c r="B55" s="1" t="s">
        <v>151</v>
      </c>
      <c r="C55" s="8"/>
      <c r="D55" s="8"/>
      <c r="E55" s="8">
        <f>E20-C20</f>
        <v>286</v>
      </c>
      <c r="F55" s="8">
        <f>F20-E20</f>
        <v>988</v>
      </c>
      <c r="G55" s="8">
        <f>G20-F20</f>
        <v>1926</v>
      </c>
      <c r="H55" s="19">
        <f>H20-G20</f>
        <v>1061.439087692307</v>
      </c>
      <c r="I55" s="1"/>
      <c r="J55" s="1"/>
      <c r="K55" s="1"/>
      <c r="L55" s="1"/>
    </row>
    <row r="56">
      <c r="B56" s="1" t="s">
        <v>152</v>
      </c>
      <c r="C56" s="8"/>
      <c r="D56" s="8"/>
      <c r="E56" s="8">
        <f>(E23-C23)*10000</f>
        <v>-6.624450279682503</v>
      </c>
      <c r="F56" s="8">
        <f>(F23-E23)*10000</f>
        <v>-125.76588530212304</v>
      </c>
      <c r="G56" s="8">
        <f>(G23-F23)*10000</f>
        <v>-17.142242005420137</v>
      </c>
      <c r="H56" s="19">
        <f>(H23-G23)*10000</f>
        <v>-11.488331155668218</v>
      </c>
      <c r="I56" s="1"/>
      <c r="J56" s="1"/>
      <c r="K56" s="1"/>
      <c r="L56" s="1"/>
    </row>
    <row r="57">
      <c r="B57" s="1" t="s">
        <v>153</v>
      </c>
      <c r="C57" s="8"/>
      <c r="D57" s="8"/>
      <c r="E57" s="8"/>
      <c r="F57" s="8"/>
      <c r="G57" s="8"/>
      <c r="H57" s="19">
        <f>H20-C20</f>
        <v>4261.439087692307</v>
      </c>
      <c r="I57" s="1"/>
      <c r="J57" s="1"/>
      <c r="K57" s="1"/>
      <c r="L57" s="1"/>
    </row>
    <row r="58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B2:L85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10" customWidth="1"/>
    <col min="2" max="2" width="34" customWidth="1"/>
    <col min="3" max="8" width="14" customWidth="1"/>
    <col min="9" max="9" width="3" customWidth="1"/>
    <col min="10" max="10" width="37" customWidth="1"/>
    <col min="11" max="11" width="33" customWidth="1"/>
    <col min="12" max="12" width="20" customWidth="1"/>
  </cols>
  <sheetData>
    <row r="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B3" s="1" t="s">
        <v>157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5" t="s">
        <v>9</v>
      </c>
      <c r="I5" s="1"/>
      <c r="J5" s="1"/>
      <c r="K5" s="1"/>
      <c r="L5" s="1"/>
    </row>
    <row r="6">
      <c r="B6" s="10" t="s">
        <v>10</v>
      </c>
      <c r="C6" s="2">
        <v>45897</v>
      </c>
      <c r="D6" s="2">
        <v>45897</v>
      </c>
      <c r="E6" s="2">
        <v>45988</v>
      </c>
      <c r="F6" s="2">
        <v>46079</v>
      </c>
      <c r="G6" s="2">
        <v>46170</v>
      </c>
      <c r="H6" s="29">
        <v>46268</v>
      </c>
      <c r="I6" s="1"/>
      <c r="J6" s="1"/>
      <c r="K6" s="1"/>
      <c r="L6" s="1"/>
    </row>
    <row r="7">
      <c r="B7" s="10" t="s">
        <v>11</v>
      </c>
      <c r="C7" s="10">
        <v>91</v>
      </c>
      <c r="D7" s="10">
        <v>364</v>
      </c>
      <c r="E7" s="10">
        <v>91</v>
      </c>
      <c r="F7" s="10">
        <v>91</v>
      </c>
      <c r="G7" s="10">
        <v>91</v>
      </c>
      <c r="H7" s="25">
        <v>98</v>
      </c>
      <c r="I7" s="1"/>
      <c r="J7" s="1"/>
      <c r="K7" s="1"/>
      <c r="L7" s="1"/>
    </row>
    <row r="8">
      <c r="B8" s="1"/>
      <c r="C8" s="1"/>
      <c r="D8" s="1"/>
      <c r="E8" s="1"/>
      <c r="F8" s="1"/>
      <c r="G8" s="1"/>
      <c r="H8" s="11"/>
      <c r="I8" s="1"/>
      <c r="J8" s="1"/>
      <c r="K8" s="1"/>
      <c r="L8" s="1"/>
    </row>
    <row r="9">
      <c r="B9" s="1" t="s">
        <v>158</v>
      </c>
      <c r="C9" s="8"/>
      <c r="D9" s="8"/>
      <c r="E9" s="8"/>
      <c r="F9" s="8"/>
      <c r="G9" s="8"/>
      <c r="H9" s="19"/>
      <c r="I9" s="1"/>
      <c r="J9" s="1"/>
      <c r="K9" s="1"/>
      <c r="L9" s="1"/>
    </row>
    <row r="10">
      <c r="B10" s="14" t="s">
        <v>159</v>
      </c>
      <c r="C10" s="60">
        <f>'Revenue summary'!C53</f>
        <v>11315</v>
      </c>
      <c r="D10" s="60">
        <f>'Revenue summary'!D53</f>
        <v>37378</v>
      </c>
      <c r="E10" s="60">
        <f>'Revenue summary'!E53</f>
        <v>13643</v>
      </c>
      <c r="F10" s="60">
        <f>'Revenue summary'!F53</f>
        <v>23860</v>
      </c>
      <c r="G10" s="60">
        <f>'Revenue summary'!G53</f>
        <v>41456</v>
      </c>
      <c r="H10" s="59">
        <f>'Revenue summary'!H53</f>
        <v>51480.78288846154</v>
      </c>
      <c r="I10" s="1"/>
      <c r="J10" s="1"/>
      <c r="K10" s="1"/>
      <c r="L10" s="1"/>
    </row>
    <row r="11">
      <c r="B11" s="1" t="s">
        <v>56</v>
      </c>
      <c r="C11" s="17">
        <f>C10/Inputs!V85-1</f>
        <v>0.45999999999999996</v>
      </c>
      <c r="D11" s="17">
        <f>D10/Inputs!V84-1</f>
        <v>0.4885110111106685</v>
      </c>
      <c r="E11" s="17">
        <f>E10/Inputs!V81-1</f>
        <v>0.5665403605465611</v>
      </c>
      <c r="F11" s="17">
        <f>F10/Inputs!V82-1</f>
        <v>1.9628709797590962</v>
      </c>
      <c r="G11" s="17">
        <f>G10/Inputs!V83-1</f>
        <v>3.457155144608107</v>
      </c>
      <c r="H11" s="21">
        <f>H10/C10-1</f>
        <v>3.549781960977599</v>
      </c>
      <c r="I11" s="1"/>
      <c r="J11" s="1"/>
      <c r="K11" s="1"/>
      <c r="L11" s="1"/>
    </row>
    <row r="12">
      <c r="B12" s="1" t="s">
        <v>57</v>
      </c>
      <c r="C12" s="5"/>
      <c r="D12" s="5"/>
      <c r="E12" s="5">
        <f>IFERROR(E10/C10-1,0)</f>
        <v>0.20574458683163943</v>
      </c>
      <c r="F12" s="5">
        <f>IFERROR(F10/E10-1,0)</f>
        <v>0.74888221065748</v>
      </c>
      <c r="G12" s="5">
        <f>IFERROR(G10/F10-1,0)</f>
        <v>0.737468566638726</v>
      </c>
      <c r="H12" s="21">
        <f>IFERROR(H10/G10-1,0)</f>
        <v>0.2418174181894428</v>
      </c>
      <c r="I12" s="1"/>
      <c r="J12" s="1"/>
      <c r="K12" s="1"/>
      <c r="L12" s="1"/>
    </row>
    <row r="13">
      <c r="B13" s="1" t="s">
        <v>125</v>
      </c>
      <c r="C13" s="4">
        <v>6261</v>
      </c>
      <c r="D13" s="4">
        <v>22505</v>
      </c>
      <c r="E13" s="4">
        <v>5997</v>
      </c>
      <c r="F13" s="4">
        <v>6105</v>
      </c>
      <c r="G13" s="4">
        <v>6400</v>
      </c>
      <c r="H13" s="6">
        <f>H10*(1-Inputs!L19)</f>
        <v>7155.828821496154</v>
      </c>
      <c r="I13" s="1"/>
      <c r="J13" s="1"/>
      <c r="K13" s="1"/>
      <c r="L13" s="1"/>
    </row>
    <row r="14">
      <c r="B14" s="14" t="s">
        <v>126</v>
      </c>
      <c r="C14" s="7">
        <f>C10-C13</f>
        <v>5054</v>
      </c>
      <c r="D14" s="7">
        <f>D10-D13</f>
        <v>14873</v>
      </c>
      <c r="E14" s="7">
        <f>E10-E13</f>
        <v>7646</v>
      </c>
      <c r="F14" s="7">
        <f>F10-F13</f>
        <v>17755</v>
      </c>
      <c r="G14" s="7">
        <f>G10-G13</f>
        <v>35056</v>
      </c>
      <c r="H14" s="9">
        <f>H10-H13</f>
        <v>44324.95406696538</v>
      </c>
      <c r="I14" s="1"/>
      <c r="J14" s="1"/>
      <c r="K14" s="1"/>
      <c r="L14" s="1"/>
    </row>
    <row r="15">
      <c r="B15" s="1" t="s">
        <v>127</v>
      </c>
      <c r="C15" s="5">
        <f>IFERROR(C14/C10,0)</f>
        <v>0.44666372072470173</v>
      </c>
      <c r="D15" s="5">
        <f>IFERROR(D14/D10,0)</f>
        <v>0.39790786023864305</v>
      </c>
      <c r="E15" s="5">
        <f>IFERROR(E14/E10,0)</f>
        <v>0.5604339221578831</v>
      </c>
      <c r="F15" s="5">
        <f>IFERROR(F14/F10,0)</f>
        <v>0.7441324392288349</v>
      </c>
      <c r="G15" s="5">
        <f>IFERROR(G14/G10,0)</f>
        <v>0.8456194519490544</v>
      </c>
      <c r="H15" s="21">
        <f>IFERROR(H14/H10,0)</f>
        <v>0.8609999999999999</v>
      </c>
      <c r="I15" s="1"/>
      <c r="J15" s="1"/>
      <c r="K15" s="1"/>
      <c r="L15" s="1"/>
    </row>
    <row r="16">
      <c r="B16" s="1" t="s">
        <v>128</v>
      </c>
      <c r="C16" s="8"/>
      <c r="D16" s="8"/>
      <c r="E16" s="8">
        <f>(E15-C15)*10000</f>
        <v>1137.7020143318139</v>
      </c>
      <c r="F16" s="8">
        <f>(F15-E15)*10000</f>
        <v>1836.9851707095174</v>
      </c>
      <c r="G16" s="8">
        <f>(G15-F15)*10000</f>
        <v>1014.8701272021954</v>
      </c>
      <c r="H16" s="19">
        <f>(H15-G15)*10000</f>
        <v>153.80548050945464</v>
      </c>
      <c r="I16" s="1"/>
      <c r="J16" s="1"/>
      <c r="K16" s="1"/>
      <c r="L16" s="1"/>
    </row>
    <row r="17">
      <c r="B17" s="1" t="s">
        <v>129</v>
      </c>
      <c r="C17" s="4">
        <v>1047</v>
      </c>
      <c r="D17" s="4">
        <v>3798</v>
      </c>
      <c r="E17" s="4">
        <v>1171</v>
      </c>
      <c r="F17" s="4">
        <v>1250</v>
      </c>
      <c r="G17" s="4">
        <v>1316</v>
      </c>
      <c r="H17" s="6">
        <f>Inputs!L20</f>
        <v>1390</v>
      </c>
      <c r="I17" s="1"/>
      <c r="J17" s="1"/>
      <c r="K17" s="1"/>
      <c r="L17" s="1"/>
    </row>
    <row r="18">
      <c r="B18" s="1" t="s">
        <v>130</v>
      </c>
      <c r="C18" s="4">
        <v>314</v>
      </c>
      <c r="D18" s="4">
        <v>1205</v>
      </c>
      <c r="E18" s="4">
        <v>337</v>
      </c>
      <c r="F18" s="4">
        <v>344</v>
      </c>
      <c r="G18" s="4">
        <v>407</v>
      </c>
      <c r="H18" s="6">
        <f>Inputs!L21</f>
        <v>440</v>
      </c>
      <c r="I18" s="1"/>
      <c r="J18" s="1"/>
      <c r="K18" s="1"/>
      <c r="L18" s="1"/>
    </row>
    <row r="19">
      <c r="B19" s="1" t="s">
        <v>160</v>
      </c>
      <c r="C19" s="4">
        <v>38</v>
      </c>
      <c r="D19" s="4">
        <v>39</v>
      </c>
      <c r="E19" s="4">
        <v>0</v>
      </c>
      <c r="F19" s="4">
        <v>0</v>
      </c>
      <c r="G19" s="4">
        <v>0</v>
      </c>
      <c r="H19" s="6">
        <f>Inputs!L29</f>
        <v>0</v>
      </c>
      <c r="I19" s="1"/>
      <c r="J19" s="1"/>
      <c r="K19" s="1"/>
      <c r="L19" s="1"/>
    </row>
    <row r="20">
      <c r="B20" s="1" t="s">
        <v>131</v>
      </c>
      <c r="C20" s="4">
        <v>1</v>
      </c>
      <c r="D20" s="4">
        <v>61</v>
      </c>
      <c r="E20" s="4">
        <v>2</v>
      </c>
      <c r="F20" s="4">
        <v>26</v>
      </c>
      <c r="G20" s="4">
        <v>15</v>
      </c>
      <c r="H20" s="6">
        <f>Inputs!L22</f>
        <v>30</v>
      </c>
      <c r="I20" s="1"/>
      <c r="J20" s="1"/>
      <c r="K20" s="1"/>
      <c r="L20" s="1"/>
    </row>
    <row r="21">
      <c r="B21" s="14" t="s">
        <v>161</v>
      </c>
      <c r="C21" s="7">
        <f>SUM(C17:C20)</f>
        <v>1400</v>
      </c>
      <c r="D21" s="7">
        <f>SUM(D17:D20)</f>
        <v>5103</v>
      </c>
      <c r="E21" s="7">
        <f>SUM(E17:E20)</f>
        <v>1510</v>
      </c>
      <c r="F21" s="7">
        <f>SUM(F17:F20)</f>
        <v>1620</v>
      </c>
      <c r="G21" s="7">
        <f>SUM(G17:G20)</f>
        <v>1738</v>
      </c>
      <c r="H21" s="9">
        <f>SUM(H17:H20)</f>
        <v>1860</v>
      </c>
      <c r="I21" s="1"/>
      <c r="J21" s="1"/>
      <c r="K21" s="1"/>
      <c r="L21" s="1"/>
    </row>
    <row r="22">
      <c r="B22" s="14" t="s">
        <v>162</v>
      </c>
      <c r="C22" s="7">
        <f>C14-C21</f>
        <v>3654</v>
      </c>
      <c r="D22" s="7">
        <f>D14-D21</f>
        <v>9770</v>
      </c>
      <c r="E22" s="7">
        <f>E14-E21</f>
        <v>6136</v>
      </c>
      <c r="F22" s="7">
        <f>F14-F21</f>
        <v>16135</v>
      </c>
      <c r="G22" s="7">
        <f>G14-G21</f>
        <v>33318</v>
      </c>
      <c r="H22" s="9">
        <f>H14-H21</f>
        <v>42464.95406696538</v>
      </c>
      <c r="I22" s="1"/>
      <c r="J22" s="1"/>
      <c r="K22" s="1"/>
      <c r="L22" s="1"/>
    </row>
    <row r="23">
      <c r="B23" s="1" t="s">
        <v>133</v>
      </c>
      <c r="C23" s="5">
        <f>IFERROR(C22/C10,0)</f>
        <v>0.32293415819708354</v>
      </c>
      <c r="D23" s="5">
        <f>IFERROR(D22/D10,0)</f>
        <v>0.2613837016426775</v>
      </c>
      <c r="E23" s="5">
        <f>IFERROR(E22/E10,0)</f>
        <v>0.4497544528329546</v>
      </c>
      <c r="F23" s="5">
        <f>IFERROR(F22/F10,0)</f>
        <v>0.6762363788767812</v>
      </c>
      <c r="G23" s="5">
        <f>IFERROR(G22/G10,0)</f>
        <v>0.8036954843689695</v>
      </c>
      <c r="H23" s="21">
        <f>IFERROR(H22/H10,0)</f>
        <v>0.8248700133207009</v>
      </c>
      <c r="I23" s="1"/>
      <c r="J23" s="1"/>
      <c r="K23" s="1"/>
      <c r="L23" s="1"/>
    </row>
    <row r="24">
      <c r="B24" s="1" t="s">
        <v>134</v>
      </c>
      <c r="C24" s="8"/>
      <c r="D24" s="8"/>
      <c r="E24" s="8">
        <f>(E23-C23)*10000</f>
        <v>1268.2029463587107</v>
      </c>
      <c r="F24" s="8">
        <f>(F23-E23)*10000</f>
        <v>2264.819260438266</v>
      </c>
      <c r="G24" s="8">
        <f>(G23-F23)*10000</f>
        <v>1274.5910549218831</v>
      </c>
      <c r="H24" s="19">
        <f>(H23-G23)*10000</f>
        <v>211.7452895173133</v>
      </c>
      <c r="I24" s="1"/>
      <c r="J24" s="1"/>
      <c r="K24" s="1"/>
      <c r="L24" s="1"/>
    </row>
    <row r="25">
      <c r="B25" s="1" t="s">
        <v>163</v>
      </c>
      <c r="C25" s="4">
        <v>146</v>
      </c>
      <c r="D25" s="4">
        <v>496</v>
      </c>
      <c r="E25" s="4">
        <v>139</v>
      </c>
      <c r="F25" s="4">
        <v>155</v>
      </c>
      <c r="G25" s="4">
        <v>215</v>
      </c>
      <c r="H25" s="6">
        <f>Inputs!L23</f>
        <v>225</v>
      </c>
      <c r="I25" s="1"/>
      <c r="J25" s="1"/>
      <c r="K25" s="1"/>
      <c r="L25" s="1"/>
    </row>
    <row r="26">
      <c r="B26" s="1" t="s">
        <v>164</v>
      </c>
      <c r="C26" s="4">
        <v>-124</v>
      </c>
      <c r="D26" s="4">
        <v>-477</v>
      </c>
      <c r="E26" s="4">
        <v>-74</v>
      </c>
      <c r="F26" s="4">
        <v>-32</v>
      </c>
      <c r="G26" s="4">
        <v>0</v>
      </c>
      <c r="H26" s="6">
        <f>Inputs!L24</f>
        <v>0</v>
      </c>
      <c r="I26" s="1"/>
      <c r="J26" s="1"/>
      <c r="K26" s="1"/>
      <c r="L26" s="1"/>
    </row>
    <row r="27">
      <c r="B27" s="1" t="s">
        <v>165</v>
      </c>
      <c r="C27" s="4">
        <v>-45</v>
      </c>
      <c r="D27" s="4">
        <v>-135</v>
      </c>
      <c r="E27" s="4">
        <v>-140</v>
      </c>
      <c r="F27" s="4">
        <v>-98</v>
      </c>
      <c r="G27" s="4">
        <v>-321</v>
      </c>
      <c r="H27" s="6">
        <f>Inputs!L25</f>
        <v>-115</v>
      </c>
      <c r="I27" s="1"/>
      <c r="J27" s="1"/>
      <c r="K27" s="1"/>
      <c r="L27" s="1"/>
    </row>
    <row r="28">
      <c r="B28" s="14" t="s">
        <v>166</v>
      </c>
      <c r="C28" s="7">
        <f>C22+SUM(C25:C27)</f>
        <v>3631</v>
      </c>
      <c r="D28" s="7">
        <f>D22+SUM(D25:D27)</f>
        <v>9654</v>
      </c>
      <c r="E28" s="7">
        <f>E22+SUM(E25:E27)</f>
        <v>6061</v>
      </c>
      <c r="F28" s="7">
        <f>F22+SUM(F25:F27)</f>
        <v>16160</v>
      </c>
      <c r="G28" s="7">
        <f>G22+SUM(G25:G27)</f>
        <v>33212</v>
      </c>
      <c r="H28" s="9">
        <f>H22+SUM(H25:H27)</f>
        <v>42574.95406696538</v>
      </c>
      <c r="I28" s="1"/>
      <c r="J28" s="1"/>
      <c r="K28" s="1"/>
      <c r="L28" s="1"/>
    </row>
    <row r="29">
      <c r="B29" s="1" t="s">
        <v>167</v>
      </c>
      <c r="C29" s="4">
        <v>-429</v>
      </c>
      <c r="D29" s="4">
        <v>-1124</v>
      </c>
      <c r="E29" s="4">
        <v>-829</v>
      </c>
      <c r="F29" s="4">
        <v>-2371</v>
      </c>
      <c r="G29" s="4">
        <v>-4978</v>
      </c>
      <c r="H29" s="6">
        <f>-H28*Inputs!L27</f>
        <v>-6386.243110044807</v>
      </c>
      <c r="I29" s="1"/>
      <c r="J29" s="1"/>
      <c r="K29" s="1"/>
      <c r="L29" s="1"/>
    </row>
    <row r="30">
      <c r="B30" s="1" t="s">
        <v>168</v>
      </c>
      <c r="C30" s="5">
        <f>IFERROR(-C29/C28,0)</f>
        <v>0.11814927017350592</v>
      </c>
      <c r="D30" s="5">
        <f>IFERROR(-D29/D28,0)</f>
        <v>0.1164284234514191</v>
      </c>
      <c r="E30" s="5">
        <f>IFERROR(-E29/E28,0)</f>
        <v>0.13677610955287905</v>
      </c>
      <c r="F30" s="5">
        <f>IFERROR(-F29/F28,0)</f>
        <v>0.14672029702970296</v>
      </c>
      <c r="G30" s="5">
        <f>IFERROR(-G29/G28,0)</f>
        <v>0.14988558352402745</v>
      </c>
      <c r="H30" s="21">
        <f>IFERROR(-H29/H28,0)</f>
        <v>0.15</v>
      </c>
      <c r="I30" s="1"/>
      <c r="J30" s="1"/>
      <c r="K30" s="1"/>
      <c r="L30" s="1"/>
    </row>
    <row r="31">
      <c r="B31" s="1" t="s">
        <v>169</v>
      </c>
      <c r="C31" s="4">
        <v>-1</v>
      </c>
      <c r="D31" s="4">
        <v>9</v>
      </c>
      <c r="E31" s="4">
        <v>8</v>
      </c>
      <c r="F31" s="4">
        <v>-4</v>
      </c>
      <c r="G31" s="4">
        <v>9</v>
      </c>
      <c r="H31" s="6">
        <f>Inputs!L26</f>
        <v>5</v>
      </c>
      <c r="I31" s="1"/>
      <c r="J31" s="1"/>
      <c r="K31" s="1"/>
      <c r="L31" s="1"/>
    </row>
    <row r="32">
      <c r="B32" s="14" t="s">
        <v>170</v>
      </c>
      <c r="C32" s="7">
        <f>SUM(C28:C29,C31)</f>
        <v>3201</v>
      </c>
      <c r="D32" s="7">
        <f>SUM(D28:D29,D31)</f>
        <v>8539</v>
      </c>
      <c r="E32" s="7">
        <f>SUM(E28:E29,E31)</f>
        <v>5240</v>
      </c>
      <c r="F32" s="7">
        <f>SUM(F28:F29,F31)</f>
        <v>13785</v>
      </c>
      <c r="G32" s="7">
        <f>SUM(G28:G29,G31)</f>
        <v>28243</v>
      </c>
      <c r="H32" s="9">
        <f>SUM(H28:H29,H31)</f>
        <v>36193.71095692057</v>
      </c>
      <c r="I32" s="1"/>
      <c r="J32" s="1"/>
      <c r="K32" s="1"/>
      <c r="L32" s="1"/>
    </row>
    <row r="33">
      <c r="B33" s="1" t="s">
        <v>47</v>
      </c>
      <c r="C33" s="30">
        <f>IFERROR(C32/C35,0)</f>
        <v>2.830238726790451</v>
      </c>
      <c r="D33" s="30">
        <f>IFERROR(D32/D35,0)</f>
        <v>7.590222222222223</v>
      </c>
      <c r="E33" s="30">
        <f>IFERROR(E32/E35,0)</f>
        <v>4.6045694200351495</v>
      </c>
      <c r="F33" s="30">
        <f>IFERROR(F32/F35,0)</f>
        <v>12.07092819614711</v>
      </c>
      <c r="G33" s="30">
        <f>IFERROR(G32/G35,0)</f>
        <v>24.66637554585153</v>
      </c>
      <c r="H33" s="58">
        <f>IFERROR(H32/H35,0)</f>
        <v>31.500183600453063</v>
      </c>
      <c r="I33" s="1"/>
      <c r="J33" s="1"/>
      <c r="K33" s="1"/>
      <c r="L33" s="1"/>
    </row>
    <row r="34">
      <c r="B34" s="1" t="s">
        <v>171</v>
      </c>
      <c r="C34" s="13">
        <f>'Share Count'!C15</f>
        <v>1120</v>
      </c>
      <c r="D34" s="13">
        <f>'Share Count'!D15</f>
        <v>1116</v>
      </c>
      <c r="E34" s="13">
        <f>'Share Count'!E15</f>
        <v>1125</v>
      </c>
      <c r="F34" s="13">
        <f>'Share Count'!F15</f>
        <v>1126</v>
      </c>
      <c r="G34" s="13">
        <f>'Share Count'!G15</f>
        <v>1128</v>
      </c>
      <c r="H34" s="6">
        <f>'Share Count'!H15</f>
        <v>1132</v>
      </c>
      <c r="I34" s="1"/>
      <c r="J34" s="1"/>
      <c r="K34" s="1"/>
      <c r="L34" s="1"/>
    </row>
    <row r="35">
      <c r="B35" s="1" t="s">
        <v>172</v>
      </c>
      <c r="C35" s="13">
        <f>'Share Count'!C18</f>
        <v>1131</v>
      </c>
      <c r="D35" s="13">
        <f>'Share Count'!D18</f>
        <v>1125</v>
      </c>
      <c r="E35" s="13">
        <f>'Share Count'!E18</f>
        <v>1138</v>
      </c>
      <c r="F35" s="13">
        <f>'Share Count'!F18</f>
        <v>1142</v>
      </c>
      <c r="G35" s="13">
        <f>'Share Count'!G18</f>
        <v>1145</v>
      </c>
      <c r="H35" s="6">
        <f>'Share Count'!H18</f>
        <v>1149</v>
      </c>
      <c r="I35" s="1"/>
      <c r="J35" s="1"/>
      <c r="K35" s="1"/>
      <c r="L35" s="1"/>
    </row>
    <row r="36">
      <c r="B36" s="1" t="s">
        <v>173</v>
      </c>
      <c r="C36" s="8">
        <f>IFERROR(C32/C35-C33,0)</f>
        <v>0</v>
      </c>
      <c r="D36" s="8">
        <f>IFERROR(D32/D35-D33,0)</f>
        <v>0</v>
      </c>
      <c r="E36" s="8">
        <f>IFERROR(E32/E35-E33,0)</f>
        <v>0</v>
      </c>
      <c r="F36" s="8">
        <f>IFERROR(F32/F35-F33,0)</f>
        <v>0</v>
      </c>
      <c r="G36" s="8">
        <f>IFERROR(G32/G35-G33,0)</f>
        <v>0</v>
      </c>
      <c r="H36" s="19">
        <f>IFERROR(H32/H35-H33,0)</f>
        <v>0</v>
      </c>
      <c r="I36" s="1"/>
      <c r="J36" s="1"/>
      <c r="K36" s="1"/>
      <c r="L36" s="1"/>
    </row>
    <row r="37">
      <c r="B37" s="1" t="s">
        <v>174</v>
      </c>
      <c r="C37" s="8"/>
      <c r="D37" s="8"/>
      <c r="E37" s="8"/>
      <c r="F37" s="8"/>
      <c r="G37" s="8"/>
      <c r="H37" s="19"/>
      <c r="I37" s="1"/>
      <c r="J37" s="1"/>
      <c r="K37" s="1"/>
      <c r="L37" s="1"/>
    </row>
    <row r="38">
      <c r="B38" s="1" t="s">
        <v>175</v>
      </c>
      <c r="C38" s="8">
        <f>C32</f>
        <v>3201</v>
      </c>
      <c r="D38" s="8">
        <f>D32</f>
        <v>8539</v>
      </c>
      <c r="E38" s="8">
        <f>E32</f>
        <v>5240</v>
      </c>
      <c r="F38" s="8">
        <f>F32</f>
        <v>13785</v>
      </c>
      <c r="G38" s="8">
        <f>G32</f>
        <v>28243</v>
      </c>
      <c r="H38" s="19">
        <f>H32</f>
        <v>36193.71095692057</v>
      </c>
      <c r="I38" s="1"/>
      <c r="J38" s="1"/>
      <c r="K38" s="1"/>
      <c r="L38" s="1"/>
    </row>
    <row r="39">
      <c r="B39" s="1" t="s">
        <v>176</v>
      </c>
      <c r="C39" s="4">
        <v>262</v>
      </c>
      <c r="D39" s="4">
        <v>975</v>
      </c>
      <c r="E39" s="4">
        <v>280</v>
      </c>
      <c r="F39" s="4">
        <v>297</v>
      </c>
      <c r="G39" s="4">
        <v>341</v>
      </c>
      <c r="H39" s="6">
        <f>Inputs!L28</f>
        <v>355</v>
      </c>
      <c r="I39" s="1"/>
      <c r="J39" s="1"/>
      <c r="K39" s="1"/>
      <c r="L39" s="1"/>
    </row>
    <row r="40">
      <c r="B40" s="1" t="s">
        <v>177</v>
      </c>
      <c r="C40" s="4">
        <v>9</v>
      </c>
      <c r="D40" s="4">
        <v>59</v>
      </c>
      <c r="E40" s="4">
        <v>130</v>
      </c>
      <c r="F40" s="4">
        <v>47</v>
      </c>
      <c r="G40" s="4">
        <v>325</v>
      </c>
      <c r="H40" s="6">
        <f>Inputs!L29</f>
        <v>0</v>
      </c>
      <c r="I40" s="1"/>
      <c r="J40" s="1"/>
      <c r="K40" s="1"/>
      <c r="L40" s="1"/>
    </row>
    <row r="41">
      <c r="B41" s="1" t="s">
        <v>178</v>
      </c>
      <c r="C41" s="4">
        <v>38</v>
      </c>
      <c r="D41" s="4">
        <v>39</v>
      </c>
      <c r="E41" s="4">
        <v>0</v>
      </c>
      <c r="F41" s="4">
        <v>0</v>
      </c>
      <c r="G41" s="4">
        <v>0</v>
      </c>
      <c r="H41" s="6">
        <f>Inputs!L29</f>
        <v>0</v>
      </c>
      <c r="I41" s="1"/>
      <c r="J41" s="1"/>
      <c r="K41" s="1"/>
      <c r="L41" s="1"/>
    </row>
    <row r="42">
      <c r="B42" s="1" t="s">
        <v>179</v>
      </c>
      <c r="C42" s="4">
        <v>0</v>
      </c>
      <c r="D42" s="4">
        <v>57</v>
      </c>
      <c r="E42" s="4">
        <v>0</v>
      </c>
      <c r="F42" s="4">
        <v>0</v>
      </c>
      <c r="G42" s="4">
        <v>0</v>
      </c>
      <c r="H42" s="6">
        <f>Inputs!L29</f>
        <v>0</v>
      </c>
      <c r="I42" s="1"/>
      <c r="J42" s="1"/>
      <c r="K42" s="1"/>
      <c r="L42" s="1"/>
    </row>
    <row r="43">
      <c r="B43" s="1" t="s">
        <v>180</v>
      </c>
      <c r="C43" s="4">
        <v>1</v>
      </c>
      <c r="D43" s="4">
        <v>1</v>
      </c>
      <c r="E43" s="4">
        <v>-20</v>
      </c>
      <c r="F43" s="4">
        <v>25</v>
      </c>
      <c r="G43" s="4">
        <v>23</v>
      </c>
      <c r="H43" s="6">
        <f>Inputs!L30</f>
        <v>25</v>
      </c>
      <c r="I43" s="1"/>
      <c r="J43" s="1"/>
      <c r="K43" s="1"/>
      <c r="L43" s="1"/>
    </row>
    <row r="44">
      <c r="B44" s="1" t="s">
        <v>181</v>
      </c>
      <c r="C44" s="4">
        <v>-42</v>
      </c>
      <c r="D44" s="4">
        <v>-200</v>
      </c>
      <c r="E44" s="4">
        <v>-148</v>
      </c>
      <c r="F44" s="4">
        <v>-133</v>
      </c>
      <c r="G44" s="4">
        <v>-75</v>
      </c>
      <c r="H44" s="6">
        <f>Inputs!L31</f>
        <v>-80</v>
      </c>
      <c r="I44" s="1"/>
      <c r="J44" s="1"/>
      <c r="K44" s="1"/>
      <c r="L44" s="1"/>
    </row>
    <row r="45">
      <c r="B45" s="14" t="s">
        <v>182</v>
      </c>
      <c r="C45" s="7">
        <f>SUM(C38:C44)</f>
        <v>3469</v>
      </c>
      <c r="D45" s="7">
        <f>SUM(D38:D44)</f>
        <v>9470</v>
      </c>
      <c r="E45" s="7">
        <f>SUM(E38:E44)</f>
        <v>5482</v>
      </c>
      <c r="F45" s="7">
        <f>SUM(F38:F44)</f>
        <v>14021</v>
      </c>
      <c r="G45" s="7">
        <f>SUM(G38:G44)</f>
        <v>28857</v>
      </c>
      <c r="H45" s="9">
        <f>SUM(H38:H44)</f>
        <v>36493.71095692057</v>
      </c>
      <c r="I45" s="1"/>
      <c r="J45" s="1"/>
      <c r="K45" s="1"/>
      <c r="L45" s="1"/>
    </row>
    <row r="46">
      <c r="B46" s="1" t="s">
        <v>183</v>
      </c>
      <c r="C46" s="13">
        <f>'Share Count'!C19</f>
        <v>14</v>
      </c>
      <c r="D46" s="13">
        <f>'Share Count'!D19</f>
        <v>18</v>
      </c>
      <c r="E46" s="13">
        <f>'Share Count'!E19</f>
        <v>10</v>
      </c>
      <c r="F46" s="13">
        <f>'Share Count'!F19</f>
        <v>7</v>
      </c>
      <c r="G46" s="13">
        <f>'Share Count'!G19</f>
        <v>4</v>
      </c>
      <c r="H46" s="6">
        <f>'Share Count'!H19</f>
        <v>4</v>
      </c>
      <c r="I46" s="1"/>
      <c r="J46" s="1"/>
      <c r="K46" s="1"/>
      <c r="L46" s="1"/>
    </row>
    <row r="47">
      <c r="B47" s="1" t="s">
        <v>184</v>
      </c>
      <c r="C47" s="8">
        <f>C35+C46</f>
        <v>1145</v>
      </c>
      <c r="D47" s="8">
        <f>D35+D46</f>
        <v>1143</v>
      </c>
      <c r="E47" s="8">
        <f>E35+E46</f>
        <v>1148</v>
      </c>
      <c r="F47" s="8">
        <f>F35+F46</f>
        <v>1149</v>
      </c>
      <c r="G47" s="8">
        <f>G35+G46</f>
        <v>1149</v>
      </c>
      <c r="H47" s="19">
        <f>H35+H46</f>
        <v>1153</v>
      </c>
      <c r="I47" s="1"/>
      <c r="J47" s="1"/>
      <c r="K47" s="1"/>
      <c r="L47" s="1"/>
    </row>
    <row r="48">
      <c r="B48" s="14" t="s">
        <v>45</v>
      </c>
      <c r="C48" s="51">
        <f>IFERROR(C45/C47,0)</f>
        <v>3.029694323144105</v>
      </c>
      <c r="D48" s="51">
        <f>IFERROR(D45/D47,0)</f>
        <v>8.285214348206475</v>
      </c>
      <c r="E48" s="51">
        <f>IFERROR(E45/E47,0)</f>
        <v>4.775261324041812</v>
      </c>
      <c r="F48" s="51">
        <f>IFERROR(F45/F47,0)</f>
        <v>12.202785030461271</v>
      </c>
      <c r="G48" s="51">
        <f>IFERROR(G45/G47,0)</f>
        <v>25.114882506527415</v>
      </c>
      <c r="H48" s="61">
        <f>IFERROR(H45/H47,0)</f>
        <v>31.65109363132747</v>
      </c>
      <c r="I48" s="1"/>
      <c r="J48" s="1"/>
      <c r="K48" s="1"/>
      <c r="L48" s="1"/>
    </row>
    <row r="49">
      <c r="B49" s="1" t="s">
        <v>185</v>
      </c>
      <c r="C49" s="53">
        <f>C48-C33</f>
        <v>0.19945559635365395</v>
      </c>
      <c r="D49" s="53">
        <f>D48-D33</f>
        <v>0.6949921259842524</v>
      </c>
      <c r="E49" s="53">
        <f>E48-E33</f>
        <v>0.17069190400666212</v>
      </c>
      <c r="F49" s="53">
        <f>F48-F33</f>
        <v>0.13185683431416173</v>
      </c>
      <c r="G49" s="53">
        <f>G48-G33</f>
        <v>0.4485069606758856</v>
      </c>
      <c r="H49" s="62">
        <f>H48-H33</f>
        <v>0.1509100308744067</v>
      </c>
      <c r="I49" s="1"/>
      <c r="J49" s="1"/>
      <c r="K49" s="1"/>
      <c r="L49" s="1"/>
    </row>
    <row r="50">
      <c r="B50" s="1" t="s">
        <v>186</v>
      </c>
      <c r="C50" s="26">
        <f>C48-Inputs!D12</f>
        <v>-0.00030567685589488747</v>
      </c>
      <c r="D50" s="30"/>
      <c r="E50" s="26">
        <f>E48-Inputs!D13</f>
        <v>-0.004738675958188665</v>
      </c>
      <c r="F50" s="26">
        <f>F48-Inputs!D14</f>
        <v>0.0027850304612719867</v>
      </c>
      <c r="G50" s="26">
        <f>G48-Inputs!D15</f>
        <v>0.004882506527415842</v>
      </c>
      <c r="H50" s="54">
        <f>H48-Inputs!C29</f>
        <v>0.05109363132746836</v>
      </c>
      <c r="I50" s="1"/>
      <c r="J50" s="1"/>
      <c r="K50" s="1"/>
      <c r="L50" s="1"/>
    </row>
    <row r="51">
      <c r="B51" s="1" t="s">
        <v>187</v>
      </c>
      <c r="C51" s="30"/>
      <c r="D51" s="30"/>
      <c r="E51" s="30"/>
      <c r="F51" s="30"/>
      <c r="G51" s="30"/>
      <c r="H51" s="54">
        <f>H48-Inputs!C29</f>
        <v>0.05109363132746836</v>
      </c>
      <c r="I51" s="1"/>
      <c r="J51" s="1"/>
      <c r="K51" s="1"/>
      <c r="L51" s="1"/>
    </row>
    <row r="52">
      <c r="B52" s="1" t="s">
        <v>188</v>
      </c>
      <c r="C52" s="8"/>
      <c r="D52" s="8"/>
      <c r="E52" s="8"/>
      <c r="F52" s="8"/>
      <c r="G52" s="8"/>
      <c r="H52" s="6">
        <f>H10-Inputs!C46</f>
        <v>230.52288846153533</v>
      </c>
      <c r="I52" s="1"/>
      <c r="J52" s="1"/>
      <c r="K52" s="1"/>
      <c r="L52" s="1"/>
    </row>
    <row r="5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B2:L85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10" customWidth="1"/>
    <col min="2" max="2" width="34" customWidth="1"/>
    <col min="3" max="8" width="14" customWidth="1"/>
    <col min="9" max="9" width="3" customWidth="1"/>
    <col min="10" max="10" width="37" customWidth="1"/>
    <col min="11" max="11" width="33" customWidth="1"/>
    <col min="12" max="12" width="20" customWidth="1"/>
  </cols>
  <sheetData>
    <row r="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B3" s="1" t="s">
        <v>189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5" t="s">
        <v>9</v>
      </c>
      <c r="I5" s="1"/>
      <c r="J5" s="1"/>
      <c r="K5" s="1"/>
      <c r="L5" s="1"/>
    </row>
    <row r="6">
      <c r="B6" s="10" t="s">
        <v>10</v>
      </c>
      <c r="C6" s="2">
        <v>45897</v>
      </c>
      <c r="D6" s="2">
        <v>45897</v>
      </c>
      <c r="E6" s="2">
        <v>45988</v>
      </c>
      <c r="F6" s="2">
        <v>46079</v>
      </c>
      <c r="G6" s="2">
        <v>46170</v>
      </c>
      <c r="H6" s="29">
        <v>46268</v>
      </c>
      <c r="I6" s="1"/>
      <c r="J6" s="1"/>
      <c r="K6" s="1"/>
      <c r="L6" s="1"/>
    </row>
    <row r="7">
      <c r="B7" s="10" t="s">
        <v>11</v>
      </c>
      <c r="C7" s="10">
        <v>91</v>
      </c>
      <c r="D7" s="10">
        <v>364</v>
      </c>
      <c r="E7" s="10">
        <v>91</v>
      </c>
      <c r="F7" s="10">
        <v>91</v>
      </c>
      <c r="G7" s="10">
        <v>91</v>
      </c>
      <c r="H7" s="25">
        <v>98</v>
      </c>
      <c r="I7" s="1"/>
      <c r="J7" s="1"/>
      <c r="K7" s="1"/>
      <c r="L7" s="1"/>
    </row>
    <row r="8">
      <c r="B8" s="1"/>
      <c r="C8" s="1"/>
      <c r="D8" s="1"/>
      <c r="E8" s="1"/>
      <c r="F8" s="1"/>
      <c r="G8" s="1"/>
      <c r="H8" s="11"/>
      <c r="I8" s="1"/>
      <c r="J8" s="1"/>
      <c r="K8" s="1"/>
      <c r="L8" s="1"/>
    </row>
    <row r="9">
      <c r="B9" s="1" t="s">
        <v>190</v>
      </c>
      <c r="C9" s="8"/>
      <c r="D9" s="8"/>
      <c r="E9" s="8"/>
      <c r="F9" s="8"/>
      <c r="G9" s="8"/>
      <c r="H9" s="19"/>
      <c r="I9" s="1"/>
      <c r="J9" s="1"/>
      <c r="K9" s="1"/>
      <c r="L9" s="1"/>
    </row>
    <row r="10">
      <c r="B10" s="1" t="s">
        <v>191</v>
      </c>
      <c r="C10" s="4">
        <v>9642</v>
      </c>
      <c r="D10" s="8">
        <f>C10</f>
        <v>9642</v>
      </c>
      <c r="E10" s="4">
        <v>9731</v>
      </c>
      <c r="F10" s="4">
        <v>13908</v>
      </c>
      <c r="G10" s="4">
        <v>24995</v>
      </c>
      <c r="H10" s="6">
        <f>'Cash Flow Statement'!H37</f>
        <v>48827.60207942057</v>
      </c>
      <c r="I10" s="1"/>
      <c r="J10" s="1"/>
      <c r="K10" s="1"/>
      <c r="L10" s="1"/>
    </row>
    <row r="11">
      <c r="B11" s="1" t="s">
        <v>192</v>
      </c>
      <c r="C11" s="4">
        <v>665</v>
      </c>
      <c r="D11" s="8">
        <f>C11</f>
        <v>665</v>
      </c>
      <c r="E11" s="4">
        <v>587</v>
      </c>
      <c r="F11" s="4">
        <v>681</v>
      </c>
      <c r="G11" s="4">
        <v>1027</v>
      </c>
      <c r="H11" s="19">
        <f>G11</f>
        <v>1027</v>
      </c>
      <c r="I11" s="1"/>
      <c r="J11" s="1"/>
      <c r="K11" s="1"/>
      <c r="L11" s="1"/>
    </row>
    <row r="12">
      <c r="B12" s="1" t="s">
        <v>193</v>
      </c>
      <c r="C12" s="4">
        <v>9265</v>
      </c>
      <c r="D12" s="8">
        <f>C12</f>
        <v>9265</v>
      </c>
      <c r="E12" s="4">
        <v>10184</v>
      </c>
      <c r="F12" s="4">
        <v>17314</v>
      </c>
      <c r="G12" s="4">
        <v>31025</v>
      </c>
      <c r="H12" s="6">
        <f>G12+('Income Statement'!H10-'Income Statement'!G10)*Inputs!L59</f>
        <v>37541.1088775</v>
      </c>
      <c r="I12" s="1"/>
      <c r="J12" s="1"/>
      <c r="K12" s="1"/>
      <c r="L12" s="1"/>
    </row>
    <row r="13">
      <c r="B13" s="1" t="s">
        <v>194</v>
      </c>
      <c r="C13" s="4">
        <v>8355</v>
      </c>
      <c r="D13" s="8">
        <f>C13</f>
        <v>8355</v>
      </c>
      <c r="E13" s="4">
        <v>8205</v>
      </c>
      <c r="F13" s="4">
        <v>8267</v>
      </c>
      <c r="G13" s="4">
        <v>8567</v>
      </c>
      <c r="H13" s="6">
        <f>G13+Inputs!L60</f>
        <v>9567</v>
      </c>
      <c r="I13" s="1"/>
      <c r="J13" s="1"/>
      <c r="K13" s="1"/>
      <c r="L13" s="1"/>
    </row>
    <row r="14">
      <c r="B14" s="1" t="s">
        <v>195</v>
      </c>
      <c r="C14" s="4">
        <v>914</v>
      </c>
      <c r="D14" s="8">
        <f>C14</f>
        <v>914</v>
      </c>
      <c r="E14" s="4">
        <v>958</v>
      </c>
      <c r="F14" s="4">
        <v>1243</v>
      </c>
      <c r="G14" s="4">
        <v>1123</v>
      </c>
      <c r="H14" s="19">
        <f>G14</f>
        <v>1123</v>
      </c>
      <c r="I14" s="1"/>
      <c r="J14" s="1"/>
      <c r="K14" s="1"/>
      <c r="L14" s="1"/>
    </row>
    <row r="15">
      <c r="B15" s="14" t="s">
        <v>196</v>
      </c>
      <c r="C15" s="7">
        <f>SUM(C10:C14)</f>
        <v>28841</v>
      </c>
      <c r="D15" s="7">
        <f>SUM(D10:D14)</f>
        <v>28841</v>
      </c>
      <c r="E15" s="7">
        <f>SUM(E10:E14)</f>
        <v>29665</v>
      </c>
      <c r="F15" s="7">
        <f>SUM(F10:F14)</f>
        <v>41413</v>
      </c>
      <c r="G15" s="7">
        <f>SUM(G10:G14)</f>
        <v>66737</v>
      </c>
      <c r="H15" s="9">
        <f>SUM(H10:H14)</f>
        <v>98085.71095692058</v>
      </c>
      <c r="I15" s="1"/>
      <c r="J15" s="1"/>
      <c r="K15" s="1"/>
      <c r="L15" s="1"/>
    </row>
    <row r="16">
      <c r="B16" s="1" t="s">
        <v>197</v>
      </c>
      <c r="C16" s="4">
        <v>1629</v>
      </c>
      <c r="D16" s="8">
        <f>C16</f>
        <v>1629</v>
      </c>
      <c r="E16" s="4">
        <v>1697</v>
      </c>
      <c r="F16" s="4">
        <v>2038</v>
      </c>
      <c r="G16" s="4">
        <v>4106</v>
      </c>
      <c r="H16" s="19">
        <f>G16</f>
        <v>4106</v>
      </c>
      <c r="I16" s="1"/>
      <c r="J16" s="1"/>
      <c r="K16" s="1"/>
      <c r="L16" s="1"/>
    </row>
    <row r="17">
      <c r="B17" s="1" t="s">
        <v>198</v>
      </c>
      <c r="C17" s="4">
        <v>46590</v>
      </c>
      <c r="D17" s="8">
        <f>C17</f>
        <v>46590</v>
      </c>
      <c r="E17" s="4">
        <v>48477</v>
      </c>
      <c r="F17" s="4">
        <v>51408</v>
      </c>
      <c r="G17" s="4">
        <v>56426</v>
      </c>
      <c r="H17" s="6">
        <f>G17-'Cash Flow Statement'!H22-'Cash Flow Statement'!H11-'Cash Flow Statement'!H23</f>
        <v>63526</v>
      </c>
      <c r="I17" s="1"/>
      <c r="J17" s="1"/>
      <c r="K17" s="1"/>
      <c r="L17" s="1"/>
    </row>
    <row r="18">
      <c r="B18" s="1" t="s">
        <v>199</v>
      </c>
      <c r="C18" s="4">
        <v>736</v>
      </c>
      <c r="D18" s="8">
        <f>C18</f>
        <v>736</v>
      </c>
      <c r="E18" s="4">
        <v>700</v>
      </c>
      <c r="F18" s="4">
        <v>684</v>
      </c>
      <c r="G18" s="4">
        <v>683</v>
      </c>
      <c r="H18" s="19">
        <f>G18</f>
        <v>683</v>
      </c>
      <c r="I18" s="1"/>
      <c r="J18" s="1"/>
      <c r="K18" s="1"/>
      <c r="L18" s="1"/>
    </row>
    <row r="19">
      <c r="B19" s="1" t="s">
        <v>200</v>
      </c>
      <c r="C19" s="4">
        <v>453</v>
      </c>
      <c r="D19" s="8">
        <f>C19</f>
        <v>453</v>
      </c>
      <c r="E19" s="4">
        <v>465</v>
      </c>
      <c r="F19" s="4">
        <v>468</v>
      </c>
      <c r="G19" s="4">
        <v>473</v>
      </c>
      <c r="H19" s="19">
        <f>G19</f>
        <v>473</v>
      </c>
      <c r="I19" s="1"/>
      <c r="J19" s="1"/>
      <c r="K19" s="1"/>
      <c r="L19" s="1"/>
    </row>
    <row r="20">
      <c r="B20" s="1" t="s">
        <v>201</v>
      </c>
      <c r="C20" s="4">
        <v>616</v>
      </c>
      <c r="D20" s="8">
        <f>C20</f>
        <v>616</v>
      </c>
      <c r="E20" s="4">
        <v>641</v>
      </c>
      <c r="F20" s="4">
        <v>680</v>
      </c>
      <c r="G20" s="4">
        <v>700</v>
      </c>
      <c r="H20" s="19">
        <f>G20</f>
        <v>700</v>
      </c>
      <c r="I20" s="1"/>
      <c r="J20" s="1"/>
      <c r="K20" s="1"/>
      <c r="L20" s="1"/>
    </row>
    <row r="21">
      <c r="B21" s="1" t="s">
        <v>202</v>
      </c>
      <c r="C21" s="4">
        <v>1150</v>
      </c>
      <c r="D21" s="8">
        <f>C21</f>
        <v>1150</v>
      </c>
      <c r="E21" s="4">
        <v>1150</v>
      </c>
      <c r="F21" s="4">
        <v>1150</v>
      </c>
      <c r="G21" s="4">
        <v>1150</v>
      </c>
      <c r="H21" s="19">
        <f>G21</f>
        <v>1150</v>
      </c>
      <c r="I21" s="1"/>
      <c r="J21" s="1"/>
      <c r="K21" s="1"/>
      <c r="L21" s="1"/>
    </row>
    <row r="22">
      <c r="B22" s="1" t="s">
        <v>203</v>
      </c>
      <c r="C22" s="4">
        <v>2783</v>
      </c>
      <c r="D22" s="8">
        <f>C22</f>
        <v>2783</v>
      </c>
      <c r="E22" s="4">
        <v>3176</v>
      </c>
      <c r="F22" s="4">
        <v>3668</v>
      </c>
      <c r="G22" s="4">
        <v>3837</v>
      </c>
      <c r="H22" s="6">
        <f>G22+Inputs!L40</f>
        <v>5337</v>
      </c>
      <c r="I22" s="1"/>
      <c r="J22" s="1"/>
      <c r="K22" s="1"/>
      <c r="L22" s="1"/>
    </row>
    <row r="23">
      <c r="B23" s="14" t="s">
        <v>204</v>
      </c>
      <c r="C23" s="7">
        <f>SUM(C15:C22)</f>
        <v>82798</v>
      </c>
      <c r="D23" s="7">
        <f>SUM(D15:D22)</f>
        <v>82798</v>
      </c>
      <c r="E23" s="7">
        <f>SUM(E15:E22)</f>
        <v>85971</v>
      </c>
      <c r="F23" s="7">
        <f>SUM(F15:F22)</f>
        <v>101509</v>
      </c>
      <c r="G23" s="7">
        <f>SUM(G15:G22)</f>
        <v>134112</v>
      </c>
      <c r="H23" s="9">
        <f>SUM(H15:H22)</f>
        <v>174060.71095692058</v>
      </c>
      <c r="I23" s="1"/>
      <c r="J23" s="1"/>
      <c r="K23" s="1"/>
      <c r="L23" s="1"/>
    </row>
    <row r="24">
      <c r="B24" s="1" t="s">
        <v>205</v>
      </c>
      <c r="C24" s="8"/>
      <c r="D24" s="8"/>
      <c r="E24" s="8"/>
      <c r="F24" s="8"/>
      <c r="G24" s="8"/>
      <c r="H24" s="19"/>
      <c r="I24" s="1"/>
      <c r="J24" s="1"/>
      <c r="K24" s="1"/>
      <c r="L24" s="1"/>
    </row>
    <row r="25">
      <c r="B25" s="1" t="s">
        <v>206</v>
      </c>
      <c r="C25" s="4">
        <v>9649</v>
      </c>
      <c r="D25" s="8">
        <f>C25</f>
        <v>9649</v>
      </c>
      <c r="E25" s="4">
        <v>9796</v>
      </c>
      <c r="F25" s="4">
        <v>10997</v>
      </c>
      <c r="G25" s="4">
        <v>15521</v>
      </c>
      <c r="H25" s="6">
        <f>G25+Inputs!L46</f>
        <v>19521</v>
      </c>
      <c r="I25" s="1"/>
      <c r="J25" s="1"/>
      <c r="K25" s="1"/>
      <c r="L25" s="1"/>
    </row>
    <row r="26">
      <c r="B26" s="1" t="s">
        <v>207</v>
      </c>
      <c r="C26" s="4">
        <v>560</v>
      </c>
      <c r="D26" s="8">
        <f>C26</f>
        <v>560</v>
      </c>
      <c r="E26" s="4">
        <v>569</v>
      </c>
      <c r="F26" s="4">
        <v>585</v>
      </c>
      <c r="G26" s="4">
        <v>582</v>
      </c>
      <c r="H26" s="19">
        <f>G26</f>
        <v>582</v>
      </c>
      <c r="I26" s="1"/>
      <c r="J26" s="1"/>
      <c r="K26" s="1"/>
      <c r="L26" s="1"/>
    </row>
    <row r="27">
      <c r="B27" s="1" t="s">
        <v>208</v>
      </c>
      <c r="C27" s="4">
        <v>1245</v>
      </c>
      <c r="D27" s="8">
        <f>C27</f>
        <v>1245</v>
      </c>
      <c r="E27" s="4">
        <v>1695</v>
      </c>
      <c r="F27" s="4">
        <v>2714</v>
      </c>
      <c r="G27" s="4">
        <v>3385</v>
      </c>
      <c r="H27" s="19">
        <f>G27</f>
        <v>3385</v>
      </c>
      <c r="I27" s="1"/>
      <c r="J27" s="1"/>
      <c r="K27" s="1"/>
      <c r="L27" s="1"/>
    </row>
    <row r="28">
      <c r="B28" s="14" t="s">
        <v>209</v>
      </c>
      <c r="C28" s="7">
        <f>SUM(C25:C27)</f>
        <v>11454</v>
      </c>
      <c r="D28" s="7">
        <f>SUM(D25:D27)</f>
        <v>11454</v>
      </c>
      <c r="E28" s="7">
        <f>SUM(E25:E27)</f>
        <v>12060</v>
      </c>
      <c r="F28" s="7">
        <f>SUM(F25:F27)</f>
        <v>14296</v>
      </c>
      <c r="G28" s="7">
        <f>SUM(G25:G27)</f>
        <v>19488</v>
      </c>
      <c r="H28" s="9">
        <f>SUM(H25:H27)</f>
        <v>23488</v>
      </c>
      <c r="I28" s="1"/>
      <c r="J28" s="1"/>
      <c r="K28" s="1"/>
      <c r="L28" s="1"/>
    </row>
    <row r="29">
      <c r="B29" s="1" t="s">
        <v>210</v>
      </c>
      <c r="C29" s="4">
        <v>14017</v>
      </c>
      <c r="D29" s="8">
        <f>C29</f>
        <v>14017</v>
      </c>
      <c r="E29" s="4">
        <v>11187</v>
      </c>
      <c r="F29" s="4">
        <v>9557</v>
      </c>
      <c r="G29" s="4">
        <v>5140</v>
      </c>
      <c r="H29" s="19">
        <f>G29</f>
        <v>5140</v>
      </c>
      <c r="I29" s="1"/>
      <c r="J29" s="1"/>
      <c r="K29" s="1"/>
      <c r="L29" s="1"/>
    </row>
    <row r="30">
      <c r="B30" s="1" t="s">
        <v>211</v>
      </c>
      <c r="C30" s="4">
        <v>701</v>
      </c>
      <c r="D30" s="8">
        <f>C30</f>
        <v>701</v>
      </c>
      <c r="E30" s="4">
        <v>669</v>
      </c>
      <c r="F30" s="4">
        <v>656</v>
      </c>
      <c r="G30" s="4">
        <v>654</v>
      </c>
      <c r="H30" s="19">
        <f>G30</f>
        <v>654</v>
      </c>
      <c r="I30" s="1"/>
      <c r="J30" s="1"/>
      <c r="K30" s="1"/>
      <c r="L30" s="1"/>
    </row>
    <row r="31">
      <c r="B31" s="1" t="s">
        <v>212</v>
      </c>
      <c r="C31" s="4">
        <v>1018</v>
      </c>
      <c r="D31" s="8">
        <f>C31</f>
        <v>1018</v>
      </c>
      <c r="E31" s="4">
        <v>1148</v>
      </c>
      <c r="F31" s="4">
        <v>1002</v>
      </c>
      <c r="G31" s="4">
        <v>1020</v>
      </c>
      <c r="H31" s="19">
        <f>G31</f>
        <v>1020</v>
      </c>
      <c r="I31" s="1"/>
      <c r="J31" s="1"/>
      <c r="K31" s="1"/>
      <c r="L31" s="1"/>
    </row>
    <row r="32">
      <c r="B32" s="1" t="s">
        <v>213</v>
      </c>
      <c r="C32" s="4">
        <v>1443</v>
      </c>
      <c r="D32" s="8">
        <f>C32</f>
        <v>1443</v>
      </c>
      <c r="E32" s="4">
        <v>2101</v>
      </c>
      <c r="F32" s="4">
        <v>3539</v>
      </c>
      <c r="G32" s="4">
        <v>7086</v>
      </c>
      <c r="H32" s="19">
        <f>G32</f>
        <v>7086</v>
      </c>
      <c r="I32" s="1"/>
      <c r="J32" s="1"/>
      <c r="K32" s="1"/>
      <c r="L32" s="1"/>
    </row>
    <row r="33">
      <c r="B33" s="14" t="s">
        <v>214</v>
      </c>
      <c r="C33" s="7">
        <f>SUM(C28:C32)</f>
        <v>28633</v>
      </c>
      <c r="D33" s="7">
        <f>SUM(D28:D32)</f>
        <v>28633</v>
      </c>
      <c r="E33" s="7">
        <f>SUM(E28:E32)</f>
        <v>27165</v>
      </c>
      <c r="F33" s="7">
        <f>SUM(F28:F32)</f>
        <v>29050</v>
      </c>
      <c r="G33" s="7">
        <f>SUM(G28:G32)</f>
        <v>33388</v>
      </c>
      <c r="H33" s="9">
        <f>SUM(H28:H32)</f>
        <v>37388</v>
      </c>
      <c r="I33" s="1"/>
      <c r="J33" s="1"/>
      <c r="K33" s="1"/>
      <c r="L33" s="1"/>
    </row>
    <row r="34">
      <c r="B34" s="1" t="s">
        <v>215</v>
      </c>
      <c r="C34" s="8"/>
      <c r="D34" s="8"/>
      <c r="E34" s="8"/>
      <c r="F34" s="8"/>
      <c r="G34" s="8"/>
      <c r="H34" s="19"/>
      <c r="I34" s="1"/>
      <c r="J34" s="1"/>
      <c r="K34" s="1"/>
      <c r="L34" s="1"/>
    </row>
    <row r="35">
      <c r="B35" s="1" t="s">
        <v>216</v>
      </c>
      <c r="C35" s="4">
        <v>127</v>
      </c>
      <c r="D35" s="8">
        <f>C35</f>
        <v>127</v>
      </c>
      <c r="E35" s="4">
        <v>127</v>
      </c>
      <c r="F35" s="4">
        <v>127</v>
      </c>
      <c r="G35" s="4">
        <v>128</v>
      </c>
      <c r="H35" s="19">
        <f>G35</f>
        <v>128</v>
      </c>
      <c r="I35" s="1"/>
      <c r="J35" s="1"/>
      <c r="K35" s="1"/>
      <c r="L35" s="1"/>
    </row>
    <row r="36">
      <c r="B36" s="1" t="s">
        <v>217</v>
      </c>
      <c r="C36" s="4">
        <v>13339</v>
      </c>
      <c r="D36" s="8">
        <f>C36</f>
        <v>13339</v>
      </c>
      <c r="E36" s="4">
        <v>13610</v>
      </c>
      <c r="F36" s="4">
        <v>14092</v>
      </c>
      <c r="G36" s="4">
        <v>14442</v>
      </c>
      <c r="H36" s="6">
        <f>G36+Inputs!L28+'Cash Flow Statement'!H27+'Cash Flow Statement'!H30</f>
        <v>14567</v>
      </c>
      <c r="I36" s="1"/>
      <c r="J36" s="1"/>
      <c r="K36" s="1"/>
      <c r="L36" s="1"/>
    </row>
    <row r="37">
      <c r="B37" s="1" t="s">
        <v>218</v>
      </c>
      <c r="C37" s="4">
        <v>48583</v>
      </c>
      <c r="D37" s="8">
        <f>C37</f>
        <v>48583</v>
      </c>
      <c r="E37" s="4">
        <v>53344</v>
      </c>
      <c r="F37" s="4">
        <v>66824</v>
      </c>
      <c r="G37" s="4">
        <v>94682</v>
      </c>
      <c r="H37" s="6">
        <f>G37+'Income Statement'!H32+'Cash Flow Statement'!H28</f>
        <v>130705.71095692058</v>
      </c>
      <c r="I37" s="1"/>
      <c r="J37" s="1"/>
      <c r="K37" s="1"/>
      <c r="L37" s="1"/>
    </row>
    <row r="38">
      <c r="B38" s="1" t="s">
        <v>219</v>
      </c>
      <c r="C38" s="4">
        <v>-7852</v>
      </c>
      <c r="D38" s="8">
        <f>C38</f>
        <v>-7852</v>
      </c>
      <c r="E38" s="4">
        <v>-8152</v>
      </c>
      <c r="F38" s="4">
        <v>-8502</v>
      </c>
      <c r="G38" s="4">
        <v>-8502</v>
      </c>
      <c r="H38" s="6">
        <f>G38+'Cash Flow Statement'!H26</f>
        <v>-8702</v>
      </c>
      <c r="I38" s="1"/>
      <c r="J38" s="1"/>
      <c r="K38" s="1"/>
      <c r="L38" s="1"/>
    </row>
    <row r="39">
      <c r="B39" s="1" t="s">
        <v>220</v>
      </c>
      <c r="C39" s="4">
        <v>-32</v>
      </c>
      <c r="D39" s="8">
        <f>C39</f>
        <v>-32</v>
      </c>
      <c r="E39" s="4">
        <v>-123</v>
      </c>
      <c r="F39" s="4">
        <v>-82</v>
      </c>
      <c r="G39" s="4">
        <v>-26</v>
      </c>
      <c r="H39" s="19">
        <f>G39</f>
        <v>-26</v>
      </c>
      <c r="I39" s="1"/>
      <c r="J39" s="1"/>
      <c r="K39" s="1"/>
      <c r="L39" s="1"/>
    </row>
    <row r="40">
      <c r="B40" s="14" t="s">
        <v>221</v>
      </c>
      <c r="C40" s="7">
        <f>SUM(C35:C39)</f>
        <v>54165</v>
      </c>
      <c r="D40" s="7">
        <f>SUM(D35:D39)</f>
        <v>54165</v>
      </c>
      <c r="E40" s="7">
        <f>SUM(E35:E39)</f>
        <v>58806</v>
      </c>
      <c r="F40" s="7">
        <f>SUM(F35:F39)</f>
        <v>72459</v>
      </c>
      <c r="G40" s="7">
        <f>SUM(G35:G39)</f>
        <v>100724</v>
      </c>
      <c r="H40" s="9">
        <f>SUM(H35:H39)</f>
        <v>136672.71095692058</v>
      </c>
      <c r="I40" s="1"/>
      <c r="J40" s="1"/>
      <c r="K40" s="1"/>
      <c r="L40" s="1"/>
    </row>
    <row r="41">
      <c r="B41" s="14" t="s">
        <v>222</v>
      </c>
      <c r="C41" s="7">
        <f>C33+C40</f>
        <v>82798</v>
      </c>
      <c r="D41" s="7">
        <f>D33+D40</f>
        <v>82798</v>
      </c>
      <c r="E41" s="7">
        <f>E33+E40</f>
        <v>85971</v>
      </c>
      <c r="F41" s="7">
        <f>F33+F40</f>
        <v>101509</v>
      </c>
      <c r="G41" s="7">
        <f>G33+G40</f>
        <v>134112</v>
      </c>
      <c r="H41" s="9">
        <f>H33+H40</f>
        <v>174060.71095692058</v>
      </c>
      <c r="I41" s="1"/>
      <c r="J41" s="1"/>
      <c r="K41" s="1"/>
      <c r="L41" s="1"/>
    </row>
    <row r="42">
      <c r="B42" s="14" t="s">
        <v>223</v>
      </c>
      <c r="C42" s="7">
        <f>C23-C33-C40</f>
        <v>0</v>
      </c>
      <c r="D42" s="7">
        <f>D23-D33-D40</f>
        <v>0</v>
      </c>
      <c r="E42" s="7">
        <f>E23-E33-E40</f>
        <v>0</v>
      </c>
      <c r="F42" s="7">
        <f>F23-F33-F40</f>
        <v>0</v>
      </c>
      <c r="G42" s="7">
        <f>G23-G33-G40</f>
        <v>0</v>
      </c>
      <c r="H42" s="9">
        <f>H23-H33-H40</f>
        <v>0</v>
      </c>
      <c r="I42" s="1"/>
      <c r="J42" s="1"/>
      <c r="K42" s="1"/>
      <c r="L42" s="1"/>
    </row>
    <row r="43">
      <c r="B43" s="1" t="s">
        <v>224</v>
      </c>
      <c r="C43" s="13">
        <f>C10-'Cash Flow Statement'!C37</f>
        <v>0</v>
      </c>
      <c r="D43" s="13">
        <f>D10-'Cash Flow Statement'!D37</f>
        <v>0</v>
      </c>
      <c r="E43" s="13">
        <f>E10-'Cash Flow Statement'!E37</f>
        <v>0</v>
      </c>
      <c r="F43" s="13">
        <f>F10-'Cash Flow Statement'!F37</f>
        <v>0</v>
      </c>
      <c r="G43" s="13">
        <f>G10-'Cash Flow Statement'!G37</f>
        <v>0</v>
      </c>
      <c r="H43" s="6">
        <f>H10-'Cash Flow Statement'!H37</f>
        <v>0</v>
      </c>
      <c r="I43" s="1"/>
      <c r="J43" s="1"/>
      <c r="K43" s="1"/>
      <c r="L43" s="1"/>
    </row>
    <row r="44">
      <c r="B44" s="1" t="s">
        <v>225</v>
      </c>
      <c r="C44" s="13">
        <f>C23-Inputs!L80</f>
        <v>0</v>
      </c>
      <c r="D44" s="13">
        <f>D23-Inputs!L80</f>
        <v>0</v>
      </c>
      <c r="E44" s="13">
        <f>E23-Inputs!L81</f>
        <v>0</v>
      </c>
      <c r="F44" s="13">
        <f>F23-Inputs!L82</f>
        <v>0</v>
      </c>
      <c r="G44" s="13">
        <f>G23-Inputs!L83</f>
        <v>0</v>
      </c>
      <c r="H44" s="19"/>
      <c r="I44" s="1"/>
      <c r="J44" s="1"/>
      <c r="K44" s="1"/>
      <c r="L44" s="1"/>
    </row>
    <row r="45">
      <c r="B45" s="1" t="s">
        <v>226</v>
      </c>
      <c r="C45" s="8"/>
      <c r="D45" s="8"/>
      <c r="E45" s="8">
        <f>E37-C37</f>
        <v>4761</v>
      </c>
      <c r="F45" s="8">
        <f>F37-E37</f>
        <v>13480</v>
      </c>
      <c r="G45" s="8">
        <f>G37-F37</f>
        <v>27858</v>
      </c>
      <c r="H45" s="19">
        <f>H37-G37</f>
        <v>36023.71095692058</v>
      </c>
      <c r="I45" s="1"/>
      <c r="J45" s="1"/>
      <c r="K45" s="1"/>
      <c r="L45" s="1"/>
    </row>
    <row r="46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B2:L85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10" customWidth="1"/>
    <col min="2" max="2" width="34" customWidth="1"/>
    <col min="3" max="8" width="14" customWidth="1"/>
    <col min="9" max="9" width="3" customWidth="1"/>
    <col min="10" max="10" width="37" customWidth="1"/>
    <col min="11" max="11" width="33" customWidth="1"/>
    <col min="12" max="12" width="20" customWidth="1"/>
  </cols>
  <sheetData>
    <row r="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B3" s="1" t="s">
        <v>227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5" t="s">
        <v>9</v>
      </c>
      <c r="I5" s="1"/>
      <c r="J5" s="1"/>
      <c r="K5" s="1"/>
      <c r="L5" s="1"/>
    </row>
    <row r="6">
      <c r="B6" s="10" t="s">
        <v>10</v>
      </c>
      <c r="C6" s="2">
        <v>45897</v>
      </c>
      <c r="D6" s="2">
        <v>45897</v>
      </c>
      <c r="E6" s="2">
        <v>45988</v>
      </c>
      <c r="F6" s="2">
        <v>46079</v>
      </c>
      <c r="G6" s="2">
        <v>46170</v>
      </c>
      <c r="H6" s="29">
        <v>46268</v>
      </c>
      <c r="I6" s="1"/>
      <c r="J6" s="1"/>
      <c r="K6" s="1"/>
      <c r="L6" s="1"/>
    </row>
    <row r="7">
      <c r="B7" s="10" t="s">
        <v>11</v>
      </c>
      <c r="C7" s="10">
        <v>91</v>
      </c>
      <c r="D7" s="10">
        <v>364</v>
      </c>
      <c r="E7" s="10">
        <v>91</v>
      </c>
      <c r="F7" s="10">
        <v>91</v>
      </c>
      <c r="G7" s="10">
        <v>91</v>
      </c>
      <c r="H7" s="25">
        <v>98</v>
      </c>
      <c r="I7" s="1"/>
      <c r="J7" s="1"/>
      <c r="K7" s="1"/>
      <c r="L7" s="1"/>
    </row>
    <row r="8">
      <c r="B8" s="1"/>
      <c r="C8" s="1"/>
      <c r="D8" s="1"/>
      <c r="E8" s="1"/>
      <c r="F8" s="1"/>
      <c r="G8" s="1"/>
      <c r="H8" s="11"/>
      <c r="I8" s="1"/>
      <c r="J8" s="1"/>
      <c r="K8" s="1"/>
      <c r="L8" s="1"/>
    </row>
    <row r="9">
      <c r="B9" s="1" t="s">
        <v>228</v>
      </c>
      <c r="C9" s="8"/>
      <c r="D9" s="8"/>
      <c r="E9" s="8"/>
      <c r="F9" s="8"/>
      <c r="G9" s="8"/>
      <c r="H9" s="19"/>
      <c r="I9" s="1"/>
      <c r="J9" s="1" t="s">
        <v>34</v>
      </c>
      <c r="K9" s="1"/>
      <c r="L9" s="1"/>
    </row>
    <row r="10">
      <c r="B10" s="1" t="s">
        <v>229</v>
      </c>
      <c r="C10" s="13">
        <f>'Income Statement'!C32</f>
        <v>3201</v>
      </c>
      <c r="D10" s="13">
        <f>'Income Statement'!D32</f>
        <v>8539</v>
      </c>
      <c r="E10" s="13">
        <f>'Income Statement'!E32</f>
        <v>5240</v>
      </c>
      <c r="F10" s="13">
        <f>'Income Statement'!F32</f>
        <v>13785</v>
      </c>
      <c r="G10" s="13">
        <f>'Income Statement'!G32</f>
        <v>28243</v>
      </c>
      <c r="H10" s="6">
        <f>'Income Statement'!H32</f>
        <v>36193.71095692057</v>
      </c>
      <c r="I10" s="1"/>
      <c r="J10" s="1"/>
      <c r="K10" s="1"/>
      <c r="L10" s="1"/>
    </row>
    <row r="11">
      <c r="B11" s="1" t="s">
        <v>230</v>
      </c>
      <c r="C11" s="4">
        <v>2149</v>
      </c>
      <c r="D11" s="4">
        <v>8352</v>
      </c>
      <c r="E11" s="4">
        <v>2212</v>
      </c>
      <c r="F11" s="4">
        <v>2286</v>
      </c>
      <c r="G11" s="4">
        <v>2364</v>
      </c>
      <c r="H11" s="6">
        <f>Inputs!L39</f>
        <v>2500</v>
      </c>
      <c r="I11" s="1"/>
      <c r="J11" s="1"/>
      <c r="K11" s="1"/>
      <c r="L11" s="1"/>
    </row>
    <row r="12">
      <c r="B12" s="1" t="s">
        <v>231</v>
      </c>
      <c r="C12" s="4">
        <v>250</v>
      </c>
      <c r="D12" s="4">
        <v>972</v>
      </c>
      <c r="E12" s="4">
        <v>290</v>
      </c>
      <c r="F12" s="4">
        <v>309</v>
      </c>
      <c r="G12" s="4">
        <v>355</v>
      </c>
      <c r="H12" s="6">
        <f>Inputs!L28</f>
        <v>355</v>
      </c>
      <c r="I12" s="1"/>
      <c r="J12" s="1"/>
      <c r="K12" s="1"/>
      <c r="L12" s="1"/>
    </row>
    <row r="13">
      <c r="B13" s="1" t="s">
        <v>232</v>
      </c>
      <c r="C13" s="4">
        <v>-1653</v>
      </c>
      <c r="D13" s="4">
        <v>-1776</v>
      </c>
      <c r="E13" s="4">
        <v>-871</v>
      </c>
      <c r="F13" s="4">
        <v>-7427</v>
      </c>
      <c r="G13" s="4">
        <v>-11655</v>
      </c>
      <c r="H13" s="6">
        <f>'Balance Sheet'!G12-'Balance Sheet'!H12</f>
        <v>-6516.108877500003</v>
      </c>
      <c r="I13" s="1"/>
      <c r="J13" s="1"/>
      <c r="K13" s="1"/>
      <c r="L13" s="1"/>
    </row>
    <row r="14">
      <c r="B14" s="1" t="s">
        <v>233</v>
      </c>
      <c r="C14" s="4">
        <v>372</v>
      </c>
      <c r="D14" s="4">
        <v>520</v>
      </c>
      <c r="E14" s="4">
        <v>150</v>
      </c>
      <c r="F14" s="4">
        <v>-62</v>
      </c>
      <c r="G14" s="4">
        <v>-300</v>
      </c>
      <c r="H14" s="6">
        <f>'Balance Sheet'!G13-'Balance Sheet'!H13</f>
        <v>-1000</v>
      </c>
      <c r="I14" s="1"/>
      <c r="J14" s="1"/>
      <c r="K14" s="1"/>
      <c r="L14" s="1"/>
    </row>
    <row r="15">
      <c r="B15" s="1" t="s">
        <v>234</v>
      </c>
      <c r="C15" s="4">
        <v>824</v>
      </c>
      <c r="D15" s="4">
        <v>862</v>
      </c>
      <c r="E15" s="4">
        <v>156</v>
      </c>
      <c r="F15" s="4">
        <v>772</v>
      </c>
      <c r="G15" s="4">
        <v>2401</v>
      </c>
      <c r="H15" s="6">
        <f>'Balance Sheet'!H25-'Balance Sheet'!G25</f>
        <v>4000</v>
      </c>
      <c r="I15" s="1"/>
      <c r="J15" s="1"/>
      <c r="K15" s="1"/>
      <c r="L15" s="1"/>
    </row>
    <row r="16">
      <c r="B16" s="1" t="s">
        <v>235</v>
      </c>
      <c r="C16" s="4">
        <v>409</v>
      </c>
      <c r="D16" s="4">
        <v>-272</v>
      </c>
      <c r="E16" s="4">
        <v>449</v>
      </c>
      <c r="F16" s="4">
        <v>1020</v>
      </c>
      <c r="G16" s="4">
        <v>670</v>
      </c>
      <c r="H16" s="6">
        <f>'Balance Sheet'!H27-'Balance Sheet'!G27</f>
        <v>0</v>
      </c>
      <c r="I16" s="1"/>
      <c r="J16" s="1"/>
      <c r="K16" s="1"/>
      <c r="L16" s="1"/>
    </row>
    <row r="17">
      <c r="B17" s="1" t="s">
        <v>236</v>
      </c>
      <c r="C17" s="4">
        <v>0</v>
      </c>
      <c r="D17" s="4">
        <v>0</v>
      </c>
      <c r="E17" s="4">
        <v>547</v>
      </c>
      <c r="F17" s="4">
        <v>1559</v>
      </c>
      <c r="G17" s="4">
        <v>3097</v>
      </c>
      <c r="H17" s="6">
        <f>'Balance Sheet'!H32-'Balance Sheet'!G32</f>
        <v>0</v>
      </c>
      <c r="I17" s="1"/>
      <c r="J17" s="1"/>
      <c r="K17" s="1"/>
      <c r="L17" s="1"/>
    </row>
    <row r="18">
      <c r="B18" s="1" t="s">
        <v>237</v>
      </c>
      <c r="C18" s="8">
        <f>C19-SUM(C10:C17)</f>
        <v>178</v>
      </c>
      <c r="D18" s="8">
        <f>D19-SUM(D10:D17)</f>
        <v>328</v>
      </c>
      <c r="E18" s="8">
        <f>E19-SUM(E10:E17)</f>
        <v>238</v>
      </c>
      <c r="F18" s="8">
        <f>F19-SUM(F10:F17)</f>
        <v>-339</v>
      </c>
      <c r="G18" s="8">
        <f>G19-SUM(G10:G17)</f>
        <v>213</v>
      </c>
      <c r="H18" s="6">
        <f>'Balance Sheet'!G22-'Balance Sheet'!H22</f>
        <v>-1500</v>
      </c>
      <c r="I18" s="1"/>
      <c r="J18" s="1"/>
      <c r="K18" s="1"/>
      <c r="L18" s="1"/>
    </row>
    <row r="19">
      <c r="B19" s="14" t="s">
        <v>238</v>
      </c>
      <c r="C19" s="22">
        <v>5730</v>
      </c>
      <c r="D19" s="22">
        <v>17525</v>
      </c>
      <c r="E19" s="22">
        <v>8411</v>
      </c>
      <c r="F19" s="22">
        <v>11903</v>
      </c>
      <c r="G19" s="22">
        <v>25388</v>
      </c>
      <c r="H19" s="9">
        <f>SUM(H10:H18)</f>
        <v>34032.60207942057</v>
      </c>
      <c r="I19" s="1"/>
      <c r="J19" s="1"/>
      <c r="K19" s="1"/>
      <c r="L19" s="1"/>
    </row>
    <row r="20">
      <c r="B20" s="1" t="s">
        <v>239</v>
      </c>
      <c r="C20" s="8">
        <f>C19-SUM(C10:C18)</f>
        <v>0</v>
      </c>
      <c r="D20" s="8">
        <f>D19-SUM(D10:D18)</f>
        <v>0</v>
      </c>
      <c r="E20" s="8">
        <f>E19-SUM(E10:E18)</f>
        <v>0</v>
      </c>
      <c r="F20" s="8">
        <f>F19-SUM(F10:F18)</f>
        <v>0</v>
      </c>
      <c r="G20" s="8">
        <f>G19-SUM(G10:G18)</f>
        <v>0</v>
      </c>
      <c r="H20" s="19">
        <f>H19-SUM(H10:H18)</f>
        <v>0</v>
      </c>
      <c r="I20" s="1"/>
      <c r="J20" s="1"/>
      <c r="K20" s="1"/>
      <c r="L20" s="1"/>
    </row>
    <row r="21">
      <c r="B21" s="1" t="s">
        <v>240</v>
      </c>
      <c r="C21" s="8"/>
      <c r="D21" s="8"/>
      <c r="E21" s="8"/>
      <c r="F21" s="8"/>
      <c r="G21" s="8"/>
      <c r="H21" s="19"/>
      <c r="I21" s="1"/>
      <c r="J21" s="1"/>
      <c r="K21" s="1"/>
      <c r="L21" s="1"/>
    </row>
    <row r="22">
      <c r="B22" s="1" t="s">
        <v>241</v>
      </c>
      <c r="C22" s="4">
        <v>-5658</v>
      </c>
      <c r="D22" s="4">
        <v>-15857</v>
      </c>
      <c r="E22" s="4">
        <v>-5389</v>
      </c>
      <c r="F22" s="4">
        <v>-6387</v>
      </c>
      <c r="G22" s="4">
        <v>-7826</v>
      </c>
      <c r="H22" s="6">
        <f>Inputs!L56</f>
        <v>-10500</v>
      </c>
      <c r="I22" s="1"/>
      <c r="J22" s="1"/>
      <c r="K22" s="1"/>
      <c r="L22" s="1"/>
    </row>
    <row r="23">
      <c r="B23" s="1" t="s">
        <v>242</v>
      </c>
      <c r="C23" s="8">
        <f>C24-C22</f>
        <v>460</v>
      </c>
      <c r="D23" s="8">
        <f>D24-D22</f>
        <v>1770</v>
      </c>
      <c r="E23" s="8">
        <f>E24-E22</f>
        <v>795</v>
      </c>
      <c r="F23" s="8">
        <f>F24-F22</f>
        <v>862</v>
      </c>
      <c r="G23" s="8">
        <f>G24-G22</f>
        <v>-1743</v>
      </c>
      <c r="H23" s="6">
        <f>Inputs!L41-H22</f>
        <v>900</v>
      </c>
      <c r="I23" s="1"/>
      <c r="J23" s="1"/>
      <c r="K23" s="1"/>
      <c r="L23" s="1"/>
    </row>
    <row r="24">
      <c r="B24" s="14" t="s">
        <v>243</v>
      </c>
      <c r="C24" s="22">
        <v>-5198</v>
      </c>
      <c r="D24" s="22">
        <v>-14087</v>
      </c>
      <c r="E24" s="22">
        <v>-4594</v>
      </c>
      <c r="F24" s="22">
        <v>-5525</v>
      </c>
      <c r="G24" s="22">
        <v>-9569</v>
      </c>
      <c r="H24" s="9">
        <f>SUM(H22:H23)</f>
        <v>-9600</v>
      </c>
      <c r="I24" s="1"/>
      <c r="J24" s="1"/>
      <c r="K24" s="1"/>
      <c r="L24" s="1"/>
    </row>
    <row r="25">
      <c r="B25" s="1" t="s">
        <v>244</v>
      </c>
      <c r="C25" s="8"/>
      <c r="D25" s="8"/>
      <c r="E25" s="8"/>
      <c r="F25" s="8"/>
      <c r="G25" s="8"/>
      <c r="H25" s="19"/>
      <c r="I25" s="1"/>
      <c r="J25" s="1"/>
      <c r="K25" s="1"/>
      <c r="L25" s="1"/>
    </row>
    <row r="26">
      <c r="B26" s="1" t="s">
        <v>245</v>
      </c>
      <c r="C26" s="4">
        <v>0</v>
      </c>
      <c r="D26" s="4">
        <v>0</v>
      </c>
      <c r="E26" s="4">
        <v>-300</v>
      </c>
      <c r="F26" s="4">
        <v>-350</v>
      </c>
      <c r="G26" s="4">
        <v>0</v>
      </c>
      <c r="H26" s="6">
        <f>Inputs!L57</f>
        <v>-200</v>
      </c>
      <c r="I26" s="1"/>
      <c r="J26" s="1"/>
      <c r="K26" s="1"/>
      <c r="L26" s="1"/>
    </row>
    <row r="27">
      <c r="B27" s="1" t="s">
        <v>246</v>
      </c>
      <c r="C27" s="4">
        <v>0</v>
      </c>
      <c r="D27" s="4">
        <v>0</v>
      </c>
      <c r="E27" s="4">
        <v>-367</v>
      </c>
      <c r="F27" s="4">
        <v>-178</v>
      </c>
      <c r="G27" s="4">
        <v>-217</v>
      </c>
      <c r="H27" s="6">
        <f>Inputs!L58</f>
        <v>-200</v>
      </c>
      <c r="I27" s="1"/>
      <c r="J27" s="1"/>
      <c r="K27" s="1"/>
      <c r="L27" s="1"/>
    </row>
    <row r="28">
      <c r="B28" s="1" t="s">
        <v>247</v>
      </c>
      <c r="C28" s="4">
        <v>-130</v>
      </c>
      <c r="D28" s="4">
        <v>-522</v>
      </c>
      <c r="E28" s="4">
        <v>-134</v>
      </c>
      <c r="F28" s="4">
        <v>-132</v>
      </c>
      <c r="G28" s="4">
        <v>-171</v>
      </c>
      <c r="H28" s="6">
        <f>Inputs!L44</f>
        <v>-170</v>
      </c>
      <c r="I28" s="1"/>
      <c r="J28" s="1"/>
      <c r="K28" s="1"/>
      <c r="L28" s="1"/>
    </row>
    <row r="29">
      <c r="B29" s="1" t="s">
        <v>248</v>
      </c>
      <c r="C29" s="4">
        <v>-1015</v>
      </c>
      <c r="D29" s="4">
        <v>-189</v>
      </c>
      <c r="E29" s="4">
        <v>-2943</v>
      </c>
      <c r="F29" s="4">
        <v>-1683</v>
      </c>
      <c r="G29" s="4">
        <v>-4754</v>
      </c>
      <c r="H29" s="6">
        <f>Inputs!L24</f>
        <v>0</v>
      </c>
      <c r="I29" s="1"/>
      <c r="J29" s="1"/>
      <c r="K29" s="1"/>
      <c r="L29" s="1"/>
    </row>
    <row r="30">
      <c r="B30" s="1" t="s">
        <v>249</v>
      </c>
      <c r="C30" s="8">
        <f>C31-SUM(C26:C29)</f>
        <v>81</v>
      </c>
      <c r="D30" s="8">
        <f>D31-SUM(D26:D29)</f>
        <v>-139</v>
      </c>
      <c r="E30" s="8">
        <f>E31-SUM(E26:E29)</f>
        <v>-1</v>
      </c>
      <c r="F30" s="8">
        <f>F31-SUM(F26:F29)</f>
        <v>176</v>
      </c>
      <c r="G30" s="8">
        <f>G31-SUM(G26:G29)</f>
        <v>408</v>
      </c>
      <c r="H30" s="6">
        <f>Inputs!L42-SUM(H26:H29)</f>
        <v>-30</v>
      </c>
      <c r="I30" s="1"/>
      <c r="J30" s="1"/>
      <c r="K30" s="1"/>
      <c r="L30" s="1"/>
    </row>
    <row r="31">
      <c r="B31" s="14" t="s">
        <v>250</v>
      </c>
      <c r="C31" s="22">
        <v>-1064</v>
      </c>
      <c r="D31" s="22">
        <v>-850</v>
      </c>
      <c r="E31" s="22">
        <v>-3745</v>
      </c>
      <c r="F31" s="22">
        <v>-2167</v>
      </c>
      <c r="G31" s="22">
        <v>-4734</v>
      </c>
      <c r="H31" s="9">
        <f>SUM(H26:H30)</f>
        <v>-600</v>
      </c>
      <c r="I31" s="1"/>
      <c r="J31" s="1"/>
      <c r="K31" s="1"/>
      <c r="L31" s="1"/>
    </row>
    <row r="32">
      <c r="B32" s="1" t="s">
        <v>251</v>
      </c>
      <c r="C32" s="4">
        <v>9</v>
      </c>
      <c r="D32" s="4">
        <v>6</v>
      </c>
      <c r="E32" s="4">
        <v>14</v>
      </c>
      <c r="F32" s="4">
        <v>-9</v>
      </c>
      <c r="G32" s="4">
        <v>3</v>
      </c>
      <c r="H32" s="6">
        <f>Inputs!L43</f>
        <v>0</v>
      </c>
      <c r="I32" s="1"/>
      <c r="J32" s="1"/>
      <c r="K32" s="1"/>
      <c r="L32" s="1"/>
    </row>
    <row r="33">
      <c r="B33" s="14" t="s">
        <v>252</v>
      </c>
      <c r="C33" s="7">
        <f>SUM(C19,C24,C31:C32)</f>
        <v>-523</v>
      </c>
      <c r="D33" s="7">
        <f>SUM(D19,D24,D31:D32)</f>
        <v>2594</v>
      </c>
      <c r="E33" s="7">
        <f>SUM(E19,E24,E31:E32)</f>
        <v>86</v>
      </c>
      <c r="F33" s="7">
        <f>SUM(F19,F24,F31:F32)</f>
        <v>4202</v>
      </c>
      <c r="G33" s="7">
        <f>SUM(G19,G24,G31:G32)</f>
        <v>11088</v>
      </c>
      <c r="H33" s="9">
        <f>SUM(H19,H24,H31:H32)</f>
        <v>23832.60207942057</v>
      </c>
      <c r="I33" s="1"/>
      <c r="J33" s="1"/>
      <c r="K33" s="1"/>
      <c r="L33" s="1"/>
    </row>
    <row r="34">
      <c r="B34" s="1" t="s">
        <v>253</v>
      </c>
      <c r="C34" s="4">
        <v>10169</v>
      </c>
      <c r="D34" s="4">
        <v>7052</v>
      </c>
      <c r="E34" s="4">
        <v>9646</v>
      </c>
      <c r="F34" s="4">
        <v>9732</v>
      </c>
      <c r="G34" s="4">
        <v>13934</v>
      </c>
      <c r="H34" s="19">
        <f>G35</f>
        <v>25022</v>
      </c>
      <c r="I34" s="1"/>
      <c r="J34" s="1"/>
      <c r="K34" s="1"/>
      <c r="L34" s="1"/>
    </row>
    <row r="35">
      <c r="B35" s="14" t="s">
        <v>254</v>
      </c>
      <c r="C35" s="7">
        <f>C33+C34</f>
        <v>9646</v>
      </c>
      <c r="D35" s="7">
        <f>D33+D34</f>
        <v>9646</v>
      </c>
      <c r="E35" s="7">
        <f>E33+E34</f>
        <v>9732</v>
      </c>
      <c r="F35" s="7">
        <f>F33+F34</f>
        <v>13934</v>
      </c>
      <c r="G35" s="7">
        <f>G33+G34</f>
        <v>25022</v>
      </c>
      <c r="H35" s="9">
        <f>H33+H34</f>
        <v>48854.60207942057</v>
      </c>
      <c r="I35" s="1"/>
      <c r="J35" s="1"/>
      <c r="K35" s="1"/>
      <c r="L35" s="1"/>
    </row>
    <row r="36">
      <c r="B36" s="1" t="s">
        <v>255</v>
      </c>
      <c r="C36" s="4">
        <v>4</v>
      </c>
      <c r="D36" s="4">
        <v>4</v>
      </c>
      <c r="E36" s="4">
        <v>1</v>
      </c>
      <c r="F36" s="4">
        <v>26</v>
      </c>
      <c r="G36" s="4">
        <v>27</v>
      </c>
      <c r="H36" s="19">
        <f>G36</f>
        <v>27</v>
      </c>
      <c r="I36" s="1"/>
      <c r="J36" s="1"/>
      <c r="K36" s="1"/>
      <c r="L36" s="1"/>
    </row>
    <row r="37">
      <c r="B37" s="14" t="s">
        <v>256</v>
      </c>
      <c r="C37" s="7">
        <f>C35-C36</f>
        <v>9642</v>
      </c>
      <c r="D37" s="7">
        <f>D35-D36</f>
        <v>9642</v>
      </c>
      <c r="E37" s="7">
        <f>E35-E36</f>
        <v>9731</v>
      </c>
      <c r="F37" s="7">
        <f>F35-F36</f>
        <v>13908</v>
      </c>
      <c r="G37" s="7">
        <f>G35-G36</f>
        <v>24995</v>
      </c>
      <c r="H37" s="9">
        <f>H35-H36</f>
        <v>48827.60207942057</v>
      </c>
      <c r="I37" s="1"/>
      <c r="J37" s="1"/>
      <c r="K37" s="1"/>
      <c r="L37" s="1"/>
    </row>
    <row r="38">
      <c r="B38" s="1" t="s">
        <v>257</v>
      </c>
      <c r="C38" s="13">
        <f>C37-'Balance Sheet'!C10</f>
        <v>0</v>
      </c>
      <c r="D38" s="13">
        <f>D37-'Balance Sheet'!D10</f>
        <v>0</v>
      </c>
      <c r="E38" s="13">
        <f>E37-'Balance Sheet'!E10</f>
        <v>0</v>
      </c>
      <c r="F38" s="13">
        <f>F37-'Balance Sheet'!F10</f>
        <v>0</v>
      </c>
      <c r="G38" s="13">
        <f>G37-'Balance Sheet'!G10</f>
        <v>0</v>
      </c>
      <c r="H38" s="6">
        <f>H37-'Balance Sheet'!H10</f>
        <v>0</v>
      </c>
      <c r="I38" s="1"/>
      <c r="J38" s="1" t="s">
        <v>258</v>
      </c>
      <c r="K38" s="1"/>
      <c r="L38" s="1"/>
    </row>
    <row r="39">
      <c r="B39" s="1" t="s">
        <v>259</v>
      </c>
      <c r="C39" s="8"/>
      <c r="D39" s="8"/>
      <c r="E39" s="13">
        <f>E33-('Balance Sheet'!E10-'Balance Sheet'!C10+E36-C36)</f>
        <v>0</v>
      </c>
      <c r="F39" s="13">
        <f>F33-('Balance Sheet'!F10-'Balance Sheet'!E10+F36-E36)</f>
        <v>0</v>
      </c>
      <c r="G39" s="13">
        <f>G33-('Balance Sheet'!G10-'Balance Sheet'!F10+G36-F36)</f>
        <v>0</v>
      </c>
      <c r="H39" s="6">
        <f>H33-('Balance Sheet'!H10-'Balance Sheet'!G10+H36-G36)</f>
        <v>0</v>
      </c>
      <c r="I39" s="1"/>
      <c r="J39" s="1"/>
      <c r="K39" s="1"/>
      <c r="L39" s="1"/>
    </row>
    <row r="40">
      <c r="B40" s="1" t="s">
        <v>260</v>
      </c>
      <c r="C40" s="8" t="b">
        <f>ABS(C38)&lt;0.01</f>
        <v>1</v>
      </c>
      <c r="D40" s="8" t="b">
        <f>ABS(D38)&lt;0.01</f>
        <v>1</v>
      </c>
      <c r="E40" s="8" t="b">
        <f>ABS(E38)&lt;0.01</f>
        <v>1</v>
      </c>
      <c r="F40" s="8" t="b">
        <f>ABS(F38)&lt;0.01</f>
        <v>1</v>
      </c>
      <c r="G40" s="8" t="b">
        <f>ABS(G38)&lt;0.01</f>
        <v>1</v>
      </c>
      <c r="H40" s="19" t="b">
        <f>ABS(H38)&lt;0.01</f>
        <v>1</v>
      </c>
      <c r="I40" s="1"/>
      <c r="J40" s="1"/>
      <c r="K40" s="1"/>
      <c r="L40" s="1"/>
    </row>
    <row r="41">
      <c r="B41" s="1" t="s">
        <v>261</v>
      </c>
      <c r="C41" s="1"/>
      <c r="D41" s="1"/>
      <c r="E41" s="1"/>
      <c r="F41" s="1"/>
      <c r="G41" s="1"/>
      <c r="H41" s="13">
        <f>H13-('Balance Sheet'!G12-'Balance Sheet'!H12)</f>
        <v>0</v>
      </c>
      <c r="I41" s="1"/>
      <c r="J41" s="1" t="s">
        <v>262</v>
      </c>
      <c r="K41" s="1"/>
      <c r="L41" s="1"/>
    </row>
    <row r="42">
      <c r="B42" s="1" t="s">
        <v>263</v>
      </c>
      <c r="C42" s="1"/>
      <c r="D42" s="1"/>
      <c r="E42" s="1"/>
      <c r="F42" s="1"/>
      <c r="G42" s="1"/>
      <c r="H42" s="13">
        <f>H15-('Balance Sheet'!H25-'Balance Sheet'!G25)</f>
        <v>0</v>
      </c>
      <c r="I42" s="1"/>
      <c r="J42" s="1"/>
      <c r="K42" s="1"/>
      <c r="L42" s="1"/>
    </row>
    <row r="43">
      <c r="B43" s="1" t="s">
        <v>264</v>
      </c>
      <c r="C43" s="1"/>
      <c r="D43" s="1"/>
      <c r="E43" s="1"/>
      <c r="F43" s="1"/>
      <c r="G43" s="1"/>
      <c r="H43" s="13">
        <f>('Balance Sheet'!H17-'Balance Sheet'!G17)+H22+H11+H23</f>
        <v>0</v>
      </c>
      <c r="I43" s="1"/>
      <c r="J43" s="1"/>
      <c r="K43" s="1"/>
      <c r="L43" s="1"/>
    </row>
    <row r="44">
      <c r="B44" s="1" t="s">
        <v>265</v>
      </c>
      <c r="C44" s="1"/>
      <c r="D44" s="1"/>
      <c r="E44" s="1"/>
      <c r="F44" s="1"/>
      <c r="G44" s="1"/>
      <c r="H44" s="13">
        <f>H18+('Balance Sheet'!H22-'Balance Sheet'!G22)</f>
        <v>0</v>
      </c>
      <c r="I44" s="1"/>
      <c r="J44" s="1"/>
      <c r="K44" s="1"/>
      <c r="L44" s="1"/>
    </row>
    <row r="4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B2:L85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10" customWidth="1"/>
    <col min="2" max="2" width="34" customWidth="1"/>
    <col min="3" max="8" width="14" customWidth="1"/>
    <col min="9" max="9" width="3" customWidth="1"/>
    <col min="10" max="10" width="37" customWidth="1"/>
    <col min="11" max="11" width="33" customWidth="1"/>
    <col min="12" max="12" width="20" customWidth="1"/>
  </cols>
  <sheetData>
    <row r="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B3" s="1" t="s">
        <v>266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5" t="s">
        <v>9</v>
      </c>
      <c r="I5" s="1"/>
      <c r="J5" s="1"/>
      <c r="K5" s="1"/>
      <c r="L5" s="1"/>
    </row>
    <row r="6">
      <c r="B6" s="10" t="s">
        <v>10</v>
      </c>
      <c r="C6" s="2">
        <v>45897</v>
      </c>
      <c r="D6" s="2">
        <v>45897</v>
      </c>
      <c r="E6" s="2">
        <v>45988</v>
      </c>
      <c r="F6" s="2">
        <v>46079</v>
      </c>
      <c r="G6" s="2">
        <v>46170</v>
      </c>
      <c r="H6" s="29">
        <v>46268</v>
      </c>
      <c r="I6" s="1"/>
      <c r="J6" s="1"/>
      <c r="K6" s="1"/>
      <c r="L6" s="1"/>
    </row>
    <row r="7">
      <c r="B7" s="10" t="s">
        <v>11</v>
      </c>
      <c r="C7" s="10">
        <v>91</v>
      </c>
      <c r="D7" s="10">
        <v>364</v>
      </c>
      <c r="E7" s="10">
        <v>91</v>
      </c>
      <c r="F7" s="10">
        <v>91</v>
      </c>
      <c r="G7" s="10">
        <v>91</v>
      </c>
      <c r="H7" s="25">
        <v>98</v>
      </c>
      <c r="I7" s="1"/>
      <c r="J7" s="1"/>
      <c r="K7" s="1"/>
      <c r="L7" s="1"/>
    </row>
    <row r="8">
      <c r="B8" s="1"/>
      <c r="C8" s="1"/>
      <c r="D8" s="1"/>
      <c r="E8" s="1"/>
      <c r="F8" s="1"/>
      <c r="G8" s="1"/>
      <c r="H8" s="11"/>
      <c r="I8" s="1"/>
      <c r="J8" s="1"/>
      <c r="K8" s="1"/>
      <c r="L8" s="1"/>
    </row>
    <row r="9">
      <c r="B9" s="1" t="s">
        <v>267</v>
      </c>
      <c r="C9" s="8"/>
      <c r="D9" s="8"/>
      <c r="E9" s="8"/>
      <c r="F9" s="8"/>
      <c r="G9" s="8"/>
      <c r="H9" s="19"/>
      <c r="I9" s="1"/>
      <c r="J9" s="1" t="s">
        <v>34</v>
      </c>
      <c r="K9" s="1"/>
      <c r="L9" s="1"/>
    </row>
    <row r="10">
      <c r="B10" s="1" t="s">
        <v>268</v>
      </c>
      <c r="C10" s="8"/>
      <c r="D10" s="4">
        <v>24113</v>
      </c>
      <c r="E10" s="8"/>
      <c r="F10" s="8"/>
      <c r="G10" s="8"/>
      <c r="H10" s="6">
        <f>'Revenue summary'!H53*D10/D42</f>
        <v>33210.87585717462</v>
      </c>
      <c r="I10" s="1"/>
      <c r="J10" s="1" t="s">
        <v>269</v>
      </c>
      <c r="K10" s="1"/>
      <c r="L10" s="1"/>
    </row>
    <row r="11">
      <c r="B11" s="1" t="s">
        <v>69</v>
      </c>
      <c r="C11" s="8"/>
      <c r="D11" s="5">
        <f>IFERROR(D10/D42,0)</f>
        <v>0.6451120980255766</v>
      </c>
      <c r="E11" s="5"/>
      <c r="F11" s="5"/>
      <c r="G11" s="5"/>
      <c r="H11" s="21">
        <f>IFERROR(H10/H42,0)</f>
        <v>0.6451120980255766</v>
      </c>
      <c r="I11" s="1"/>
      <c r="J11" s="1"/>
      <c r="K11" s="1"/>
      <c r="L11" s="1"/>
    </row>
    <row r="12">
      <c r="B12" s="1" t="s">
        <v>270</v>
      </c>
      <c r="C12" s="5"/>
      <c r="D12" s="5"/>
      <c r="E12" s="5"/>
      <c r="F12" s="5"/>
      <c r="G12" s="5"/>
      <c r="H12" s="21"/>
      <c r="I12" s="1"/>
      <c r="J12" s="1"/>
      <c r="K12" s="1"/>
      <c r="L12" s="1"/>
    </row>
    <row r="13">
      <c r="B13" s="1" t="s">
        <v>271</v>
      </c>
      <c r="C13" s="8"/>
      <c r="D13" s="8"/>
      <c r="E13" s="8"/>
      <c r="F13" s="8"/>
      <c r="G13" s="8"/>
      <c r="H13" s="19">
        <f>(H11-D11)*10000</f>
        <v>0</v>
      </c>
      <c r="I13" s="1"/>
      <c r="J13" s="1"/>
      <c r="K13" s="1"/>
      <c r="L13" s="1"/>
    </row>
    <row r="14">
      <c r="B14" s="1" t="s">
        <v>272</v>
      </c>
      <c r="C14" s="8"/>
      <c r="D14" s="4">
        <v>5672</v>
      </c>
      <c r="E14" s="8"/>
      <c r="F14" s="8"/>
      <c r="G14" s="8"/>
      <c r="H14" s="6">
        <f>'Revenue summary'!H53*D14/D42</f>
        <v>7812.0552341846505</v>
      </c>
      <c r="I14" s="1"/>
      <c r="J14" s="1"/>
      <c r="K14" s="1"/>
      <c r="L14" s="1"/>
    </row>
    <row r="15">
      <c r="B15" s="1" t="s">
        <v>69</v>
      </c>
      <c r="C15" s="8"/>
      <c r="D15" s="5">
        <f>IFERROR(D14/D42,0)</f>
        <v>0.15174701696184922</v>
      </c>
      <c r="E15" s="5"/>
      <c r="F15" s="5"/>
      <c r="G15" s="5"/>
      <c r="H15" s="21">
        <f>IFERROR(H14/H42,0)</f>
        <v>0.15174701696184922</v>
      </c>
      <c r="I15" s="1"/>
      <c r="J15" s="1"/>
      <c r="K15" s="1"/>
      <c r="L15" s="1"/>
    </row>
    <row r="16">
      <c r="B16" s="1" t="s">
        <v>270</v>
      </c>
      <c r="C16" s="5"/>
      <c r="D16" s="5"/>
      <c r="E16" s="5"/>
      <c r="F16" s="5"/>
      <c r="G16" s="5"/>
      <c r="H16" s="21"/>
      <c r="I16" s="1"/>
      <c r="J16" s="1"/>
      <c r="K16" s="1"/>
      <c r="L16" s="1"/>
    </row>
    <row r="17">
      <c r="B17" s="1" t="s">
        <v>271</v>
      </c>
      <c r="C17" s="8"/>
      <c r="D17" s="8"/>
      <c r="E17" s="8"/>
      <c r="F17" s="8"/>
      <c r="G17" s="8"/>
      <c r="H17" s="19">
        <f>(H15-D15)*10000</f>
        <v>0</v>
      </c>
      <c r="I17" s="1"/>
      <c r="J17" s="1"/>
      <c r="K17" s="1"/>
      <c r="L17" s="1"/>
    </row>
    <row r="18">
      <c r="B18" s="1" t="s">
        <v>273</v>
      </c>
      <c r="C18" s="8"/>
      <c r="D18" s="4">
        <v>2639</v>
      </c>
      <c r="E18" s="8"/>
      <c r="F18" s="8"/>
      <c r="G18" s="8"/>
      <c r="H18" s="6">
        <f>'Revenue summary'!H53*D18/D42</f>
        <v>3634.69918247766</v>
      </c>
      <c r="I18" s="1"/>
      <c r="J18" s="1"/>
      <c r="K18" s="1"/>
      <c r="L18" s="1"/>
    </row>
    <row r="19">
      <c r="B19" s="1" t="s">
        <v>69</v>
      </c>
      <c r="C19" s="8"/>
      <c r="D19" s="5">
        <f>IFERROR(D18/D42,0)</f>
        <v>0.07060302851944994</v>
      </c>
      <c r="E19" s="5"/>
      <c r="F19" s="5"/>
      <c r="G19" s="5"/>
      <c r="H19" s="21">
        <f>IFERROR(H18/H42,0)</f>
        <v>0.07060302851944994</v>
      </c>
      <c r="I19" s="1"/>
      <c r="J19" s="1"/>
      <c r="K19" s="1"/>
      <c r="L19" s="1"/>
    </row>
    <row r="20">
      <c r="B20" s="1" t="s">
        <v>270</v>
      </c>
      <c r="C20" s="5"/>
      <c r="D20" s="5"/>
      <c r="E20" s="5"/>
      <c r="F20" s="5"/>
      <c r="G20" s="5"/>
      <c r="H20" s="21"/>
      <c r="I20" s="1"/>
      <c r="J20" s="1"/>
      <c r="K20" s="1"/>
      <c r="L20" s="1"/>
    </row>
    <row r="21">
      <c r="B21" s="1" t="s">
        <v>271</v>
      </c>
      <c r="C21" s="8"/>
      <c r="D21" s="8"/>
      <c r="E21" s="8"/>
      <c r="F21" s="8"/>
      <c r="G21" s="8"/>
      <c r="H21" s="19">
        <f>(H19-D19)*10000</f>
        <v>0</v>
      </c>
      <c r="I21" s="1"/>
      <c r="J21" s="1"/>
      <c r="K21" s="1"/>
      <c r="L21" s="1"/>
    </row>
    <row r="22">
      <c r="B22" s="1" t="s">
        <v>274</v>
      </c>
      <c r="C22" s="8"/>
      <c r="D22" s="4">
        <v>1913</v>
      </c>
      <c r="E22" s="8"/>
      <c r="F22" s="8"/>
      <c r="G22" s="8"/>
      <c r="H22" s="6">
        <f>'Revenue summary'!H53*D22/D42</f>
        <v>2634.7781493292023</v>
      </c>
      <c r="I22" s="1"/>
      <c r="J22" s="1"/>
      <c r="K22" s="1"/>
      <c r="L22" s="1"/>
    </row>
    <row r="23">
      <c r="B23" s="1" t="s">
        <v>69</v>
      </c>
      <c r="C23" s="8"/>
      <c r="D23" s="5">
        <f>IFERROR(D22/D42,0)</f>
        <v>0.05117983840761946</v>
      </c>
      <c r="E23" s="5"/>
      <c r="F23" s="5"/>
      <c r="G23" s="5"/>
      <c r="H23" s="21">
        <f>IFERROR(H22/H42,0)</f>
        <v>0.05117983840761946</v>
      </c>
      <c r="I23" s="1"/>
      <c r="J23" s="1"/>
      <c r="K23" s="1"/>
      <c r="L23" s="1"/>
    </row>
    <row r="24">
      <c r="B24" s="1" t="s">
        <v>270</v>
      </c>
      <c r="C24" s="5"/>
      <c r="D24" s="5"/>
      <c r="E24" s="5"/>
      <c r="F24" s="5"/>
      <c r="G24" s="5"/>
      <c r="H24" s="21"/>
      <c r="I24" s="1"/>
      <c r="J24" s="1"/>
      <c r="K24" s="1"/>
      <c r="L24" s="1"/>
    </row>
    <row r="25">
      <c r="B25" s="1" t="s">
        <v>271</v>
      </c>
      <c r="C25" s="8"/>
      <c r="D25" s="8"/>
      <c r="E25" s="8"/>
      <c r="F25" s="8"/>
      <c r="G25" s="8"/>
      <c r="H25" s="19">
        <f>(H23-D23)*10000</f>
        <v>0</v>
      </c>
      <c r="I25" s="1"/>
      <c r="J25" s="1"/>
      <c r="K25" s="1"/>
      <c r="L25" s="1"/>
    </row>
    <row r="26">
      <c r="B26" s="1" t="s">
        <v>275</v>
      </c>
      <c r="C26" s="8"/>
      <c r="D26" s="4">
        <v>1138</v>
      </c>
      <c r="E26" s="8"/>
      <c r="F26" s="8"/>
      <c r="G26" s="8"/>
      <c r="H26" s="6">
        <f>'Revenue summary'!H53*D26/D42</f>
        <v>1567.3693329517157</v>
      </c>
      <c r="I26" s="1"/>
      <c r="J26" s="1"/>
      <c r="K26" s="1"/>
      <c r="L26" s="1"/>
    </row>
    <row r="27">
      <c r="B27" s="1" t="s">
        <v>69</v>
      </c>
      <c r="C27" s="8"/>
      <c r="D27" s="5">
        <f>IFERROR(D26/D42,0)</f>
        <v>0.03044571673176735</v>
      </c>
      <c r="E27" s="5"/>
      <c r="F27" s="5"/>
      <c r="G27" s="5"/>
      <c r="H27" s="21">
        <f>IFERROR(H26/H42,0)</f>
        <v>0.03044571673176735</v>
      </c>
      <c r="I27" s="1"/>
      <c r="J27" s="1"/>
      <c r="K27" s="1"/>
      <c r="L27" s="1"/>
    </row>
    <row r="28">
      <c r="B28" s="1" t="s">
        <v>270</v>
      </c>
      <c r="C28" s="5"/>
      <c r="D28" s="5"/>
      <c r="E28" s="5"/>
      <c r="F28" s="5"/>
      <c r="G28" s="5"/>
      <c r="H28" s="21"/>
      <c r="I28" s="1"/>
      <c r="J28" s="1"/>
      <c r="K28" s="1"/>
      <c r="L28" s="1"/>
    </row>
    <row r="29">
      <c r="B29" s="1" t="s">
        <v>271</v>
      </c>
      <c r="C29" s="8"/>
      <c r="D29" s="8"/>
      <c r="E29" s="8"/>
      <c r="F29" s="8"/>
      <c r="G29" s="8"/>
      <c r="H29" s="19">
        <f>(H27-D27)*10000</f>
        <v>0</v>
      </c>
      <c r="I29" s="1"/>
      <c r="J29" s="1"/>
      <c r="K29" s="1"/>
      <c r="L29" s="1"/>
    </row>
    <row r="30">
      <c r="B30" s="1" t="s">
        <v>276</v>
      </c>
      <c r="C30" s="8"/>
      <c r="D30" s="4">
        <v>895</v>
      </c>
      <c r="E30" s="8"/>
      <c r="F30" s="8"/>
      <c r="G30" s="8"/>
      <c r="H30" s="6">
        <f>'Revenue summary'!H53*D30/D42</f>
        <v>1232.685020203678</v>
      </c>
      <c r="I30" s="1"/>
      <c r="J30" s="1"/>
      <c r="K30" s="1"/>
      <c r="L30" s="1"/>
    </row>
    <row r="31">
      <c r="B31" s="1" t="s">
        <v>69</v>
      </c>
      <c r="C31" s="8"/>
      <c r="D31" s="5">
        <f>IFERROR(D30/D42,0)</f>
        <v>0.02394456632243566</v>
      </c>
      <c r="E31" s="5"/>
      <c r="F31" s="5"/>
      <c r="G31" s="5"/>
      <c r="H31" s="21">
        <f>IFERROR(H30/H42,0)</f>
        <v>0.02394456632243566</v>
      </c>
      <c r="I31" s="1"/>
      <c r="J31" s="1"/>
      <c r="K31" s="1"/>
      <c r="L31" s="1"/>
    </row>
    <row r="32">
      <c r="B32" s="1" t="s">
        <v>270</v>
      </c>
      <c r="C32" s="5"/>
      <c r="D32" s="5"/>
      <c r="E32" s="5"/>
      <c r="F32" s="5"/>
      <c r="G32" s="5"/>
      <c r="H32" s="21"/>
      <c r="I32" s="1"/>
      <c r="J32" s="1"/>
      <c r="K32" s="1"/>
      <c r="L32" s="1"/>
    </row>
    <row r="33">
      <c r="B33" s="1" t="s">
        <v>271</v>
      </c>
      <c r="C33" s="8"/>
      <c r="D33" s="8"/>
      <c r="E33" s="8"/>
      <c r="F33" s="8"/>
      <c r="G33" s="8"/>
      <c r="H33" s="19">
        <f>(H31-D31)*10000</f>
        <v>0</v>
      </c>
      <c r="I33" s="1"/>
      <c r="J33" s="1"/>
      <c r="K33" s="1"/>
      <c r="L33" s="1"/>
    </row>
    <row r="34">
      <c r="B34" s="1" t="s">
        <v>277</v>
      </c>
      <c r="C34" s="8"/>
      <c r="D34" s="4">
        <v>625</v>
      </c>
      <c r="E34" s="8"/>
      <c r="F34" s="8"/>
      <c r="G34" s="8"/>
      <c r="H34" s="6">
        <f>'Revenue summary'!H53*D34/D42</f>
        <v>860.8135615947472</v>
      </c>
      <c r="I34" s="1"/>
      <c r="J34" s="1"/>
      <c r="K34" s="1"/>
      <c r="L34" s="1"/>
    </row>
    <row r="35">
      <c r="B35" s="1" t="s">
        <v>69</v>
      </c>
      <c r="C35" s="8"/>
      <c r="D35" s="5">
        <f>IFERROR(D34/D42,0)</f>
        <v>0.016721065867622665</v>
      </c>
      <c r="E35" s="5"/>
      <c r="F35" s="5"/>
      <c r="G35" s="5"/>
      <c r="H35" s="21">
        <f>IFERROR(H34/H42,0)</f>
        <v>0.016721065867622665</v>
      </c>
      <c r="I35" s="1"/>
      <c r="J35" s="1"/>
      <c r="K35" s="1"/>
      <c r="L35" s="1"/>
    </row>
    <row r="36">
      <c r="B36" s="1" t="s">
        <v>270</v>
      </c>
      <c r="C36" s="5"/>
      <c r="D36" s="5"/>
      <c r="E36" s="5"/>
      <c r="F36" s="5"/>
      <c r="G36" s="5"/>
      <c r="H36" s="21"/>
      <c r="I36" s="1"/>
      <c r="J36" s="1"/>
      <c r="K36" s="1"/>
      <c r="L36" s="1"/>
    </row>
    <row r="37">
      <c r="B37" s="1" t="s">
        <v>271</v>
      </c>
      <c r="C37" s="8"/>
      <c r="D37" s="8"/>
      <c r="E37" s="8"/>
      <c r="F37" s="8"/>
      <c r="G37" s="8"/>
      <c r="H37" s="19">
        <f>(H35-D35)*10000</f>
        <v>0</v>
      </c>
      <c r="I37" s="1"/>
      <c r="J37" s="1"/>
      <c r="K37" s="1"/>
      <c r="L37" s="1"/>
    </row>
    <row r="38">
      <c r="B38" s="1" t="s">
        <v>278</v>
      </c>
      <c r="C38" s="8"/>
      <c r="D38" s="4">
        <v>383</v>
      </c>
      <c r="E38" s="8"/>
      <c r="F38" s="8"/>
      <c r="G38" s="8"/>
      <c r="H38" s="6">
        <f>'Revenue summary'!H53*D38/D42</f>
        <v>527.5065505452611</v>
      </c>
      <c r="I38" s="1"/>
      <c r="J38" s="1"/>
      <c r="K38" s="1"/>
      <c r="L38" s="1"/>
    </row>
    <row r="39">
      <c r="B39" s="1" t="s">
        <v>69</v>
      </c>
      <c r="C39" s="8"/>
      <c r="D39" s="5">
        <f>IFERROR(D38/D42,0)</f>
        <v>0.010246669163679169</v>
      </c>
      <c r="E39" s="5"/>
      <c r="F39" s="5"/>
      <c r="G39" s="5"/>
      <c r="H39" s="21">
        <f>IFERROR(H38/H42,0)</f>
        <v>0.01024666916367917</v>
      </c>
      <c r="I39" s="1"/>
      <c r="J39" s="1"/>
      <c r="K39" s="1"/>
      <c r="L39" s="1"/>
    </row>
    <row r="40">
      <c r="B40" s="1" t="s">
        <v>270</v>
      </c>
      <c r="C40" s="5"/>
      <c r="D40" s="5"/>
      <c r="E40" s="5"/>
      <c r="F40" s="5"/>
      <c r="G40" s="5"/>
      <c r="H40" s="21"/>
      <c r="I40" s="1"/>
      <c r="J40" s="1"/>
      <c r="K40" s="1"/>
      <c r="L40" s="1"/>
    </row>
    <row r="41">
      <c r="B41" s="1" t="s">
        <v>271</v>
      </c>
      <c r="C41" s="8"/>
      <c r="D41" s="8"/>
      <c r="E41" s="8"/>
      <c r="F41" s="8"/>
      <c r="G41" s="8"/>
      <c r="H41" s="19">
        <f>(H39-D39)*10000</f>
        <v>0</v>
      </c>
      <c r="I41" s="1"/>
      <c r="J41" s="1"/>
      <c r="K41" s="1"/>
      <c r="L41" s="1"/>
    </row>
    <row r="42">
      <c r="B42" s="33" t="s">
        <v>279</v>
      </c>
      <c r="C42" s="12"/>
      <c r="D42" s="12">
        <f>SUM(D10,D14,D18,D22,D26,D30,D34,D38)</f>
        <v>37378</v>
      </c>
      <c r="E42" s="12"/>
      <c r="F42" s="12"/>
      <c r="G42" s="12"/>
      <c r="H42" s="24">
        <f>SUM(H10,H14,H18,H22,H26,H30,H34,H38)</f>
        <v>51480.78288846154</v>
      </c>
      <c r="I42" s="1"/>
      <c r="J42" s="1"/>
      <c r="K42" s="1"/>
      <c r="L42" s="1"/>
    </row>
    <row r="43">
      <c r="B43" s="33" t="s">
        <v>280</v>
      </c>
      <c r="C43" s="12"/>
      <c r="D43" s="57">
        <f>D42-Inputs!L86</f>
        <v>0</v>
      </c>
      <c r="E43" s="12"/>
      <c r="F43" s="12"/>
      <c r="G43" s="12"/>
      <c r="H43" s="56">
        <f>H42-'Revenue summary'!H53</f>
        <v>0</v>
      </c>
      <c r="I43" s="1"/>
      <c r="J43" s="1" t="s">
        <v>281</v>
      </c>
      <c r="K43" s="1"/>
      <c r="L43" s="1"/>
    </row>
    <row r="44">
      <c r="B44" s="1" t="s">
        <v>282</v>
      </c>
      <c r="C44" s="8" t="s">
        <v>44</v>
      </c>
      <c r="D44" s="8"/>
      <c r="E44" s="8" t="s">
        <v>44</v>
      </c>
      <c r="F44" s="8" t="s">
        <v>44</v>
      </c>
      <c r="G44" s="8" t="s">
        <v>44</v>
      </c>
      <c r="H44" s="19"/>
      <c r="I44" s="1"/>
      <c r="J44" s="1"/>
      <c r="K44" s="1"/>
      <c r="L44" s="1"/>
    </row>
    <row r="45">
      <c r="B45" s="1"/>
      <c r="C45" s="8"/>
      <c r="D45" s="8"/>
      <c r="E45" s="8"/>
      <c r="F45" s="8"/>
      <c r="G45" s="8"/>
      <c r="H45" s="19"/>
      <c r="I45" s="1"/>
      <c r="J45" s="1"/>
      <c r="K45" s="1"/>
      <c r="L45" s="1"/>
    </row>
    <row r="46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B2:L85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10" customWidth="1"/>
    <col min="2" max="2" width="34" customWidth="1"/>
    <col min="3" max="8" width="14" customWidth="1"/>
    <col min="9" max="9" width="3" customWidth="1"/>
    <col min="10" max="10" width="37" customWidth="1"/>
    <col min="11" max="11" width="33" customWidth="1"/>
    <col min="12" max="12" width="20" customWidth="1"/>
  </cols>
  <sheetData>
    <row r="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B3" s="1" t="s">
        <v>283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5" t="s">
        <v>9</v>
      </c>
      <c r="I5" s="1"/>
      <c r="J5" s="1"/>
      <c r="K5" s="1"/>
      <c r="L5" s="1"/>
    </row>
    <row r="6">
      <c r="B6" s="10" t="s">
        <v>10</v>
      </c>
      <c r="C6" s="2">
        <v>45897</v>
      </c>
      <c r="D6" s="2">
        <v>45897</v>
      </c>
      <c r="E6" s="2">
        <v>45988</v>
      </c>
      <c r="F6" s="2">
        <v>46079</v>
      </c>
      <c r="G6" s="2">
        <v>46170</v>
      </c>
      <c r="H6" s="29">
        <v>46268</v>
      </c>
      <c r="I6" s="1"/>
      <c r="J6" s="1"/>
      <c r="K6" s="1"/>
      <c r="L6" s="1"/>
    </row>
    <row r="7">
      <c r="B7" s="10" t="s">
        <v>11</v>
      </c>
      <c r="C7" s="10">
        <v>91</v>
      </c>
      <c r="D7" s="10">
        <v>364</v>
      </c>
      <c r="E7" s="10">
        <v>91</v>
      </c>
      <c r="F7" s="10">
        <v>91</v>
      </c>
      <c r="G7" s="10">
        <v>91</v>
      </c>
      <c r="H7" s="25">
        <v>98</v>
      </c>
      <c r="I7" s="1"/>
      <c r="J7" s="1"/>
      <c r="K7" s="1"/>
      <c r="L7" s="1"/>
    </row>
    <row r="8">
      <c r="B8" s="1"/>
      <c r="C8" s="1"/>
      <c r="D8" s="1"/>
      <c r="E8" s="1"/>
      <c r="F8" s="1"/>
      <c r="G8" s="1"/>
      <c r="H8" s="11"/>
      <c r="I8" s="1"/>
      <c r="J8" s="1"/>
      <c r="K8" s="1"/>
      <c r="L8" s="1"/>
    </row>
    <row r="9">
      <c r="B9" s="1" t="s">
        <v>284</v>
      </c>
      <c r="C9" s="8"/>
      <c r="D9" s="8"/>
      <c r="E9" s="8"/>
      <c r="F9" s="8"/>
      <c r="G9" s="8"/>
      <c r="H9" s="19"/>
      <c r="I9" s="1"/>
      <c r="J9" s="1"/>
      <c r="K9" s="1"/>
      <c r="L9" s="1"/>
    </row>
    <row r="10">
      <c r="B10" s="1" t="s">
        <v>285</v>
      </c>
      <c r="C10" s="13">
        <f>'Cash Flow Statement'!C26</f>
        <v>0</v>
      </c>
      <c r="D10" s="13">
        <f>'Cash Flow Statement'!D26</f>
        <v>0</v>
      </c>
      <c r="E10" s="13">
        <f>'Cash Flow Statement'!E26</f>
        <v>-300</v>
      </c>
      <c r="F10" s="13">
        <f>'Cash Flow Statement'!F26</f>
        <v>-350</v>
      </c>
      <c r="G10" s="13">
        <f>'Cash Flow Statement'!G26</f>
        <v>0</v>
      </c>
      <c r="H10" s="6">
        <f>'Cash Flow Statement'!H26</f>
        <v>-200</v>
      </c>
      <c r="I10" s="1"/>
      <c r="J10" s="1"/>
      <c r="K10" s="1"/>
      <c r="L10" s="1"/>
    </row>
    <row r="11">
      <c r="B11" s="1" t="s">
        <v>286</v>
      </c>
      <c r="C11" s="13">
        <f>'Cash Flow Statement'!C27</f>
        <v>0</v>
      </c>
      <c r="D11" s="13">
        <f>'Cash Flow Statement'!D27</f>
        <v>0</v>
      </c>
      <c r="E11" s="13">
        <f>'Cash Flow Statement'!E27</f>
        <v>-367</v>
      </c>
      <c r="F11" s="13">
        <f>'Cash Flow Statement'!F27</f>
        <v>-178</v>
      </c>
      <c r="G11" s="13">
        <f>'Cash Flow Statement'!G27</f>
        <v>-217</v>
      </c>
      <c r="H11" s="6">
        <f>'Cash Flow Statement'!H27</f>
        <v>-200</v>
      </c>
      <c r="I11" s="1"/>
      <c r="J11" s="1"/>
      <c r="K11" s="1"/>
      <c r="L11" s="1"/>
    </row>
    <row r="12">
      <c r="B12" s="1" t="s">
        <v>287</v>
      </c>
      <c r="C12" s="8" t="s">
        <v>44</v>
      </c>
      <c r="D12" s="8" t="s">
        <v>44</v>
      </c>
      <c r="E12" s="8" t="s">
        <v>44</v>
      </c>
      <c r="F12" s="8" t="s">
        <v>44</v>
      </c>
      <c r="G12" s="8" t="s">
        <v>44</v>
      </c>
      <c r="H12" s="19" t="s">
        <v>44</v>
      </c>
      <c r="I12" s="1"/>
      <c r="J12" s="1"/>
      <c r="K12" s="1"/>
      <c r="L12" s="1"/>
    </row>
    <row r="13">
      <c r="B13" s="1" t="s">
        <v>288</v>
      </c>
      <c r="C13" s="8"/>
      <c r="D13" s="8"/>
      <c r="E13" s="8">
        <f>E15-C15</f>
        <v>5</v>
      </c>
      <c r="F13" s="8">
        <f>F15-E15</f>
        <v>1</v>
      </c>
      <c r="G13" s="8">
        <f>G15-F15</f>
        <v>2</v>
      </c>
      <c r="H13" s="19">
        <f>H15-G15</f>
        <v>4</v>
      </c>
      <c r="I13" s="1"/>
      <c r="J13" s="1"/>
      <c r="K13" s="1"/>
      <c r="L13" s="1"/>
    </row>
    <row r="14">
      <c r="B14" s="1" t="s">
        <v>289</v>
      </c>
      <c r="C14" s="8"/>
      <c r="D14" s="8"/>
      <c r="E14" s="8"/>
      <c r="F14" s="8"/>
      <c r="G14" s="8"/>
      <c r="H14" s="19"/>
      <c r="I14" s="1"/>
      <c r="J14" s="1"/>
      <c r="K14" s="1"/>
      <c r="L14" s="1"/>
    </row>
    <row r="15">
      <c r="B15" s="46" t="s">
        <v>171</v>
      </c>
      <c r="C15" s="36">
        <v>1120</v>
      </c>
      <c r="D15" s="36">
        <v>1116</v>
      </c>
      <c r="E15" s="36">
        <v>1125</v>
      </c>
      <c r="F15" s="36">
        <v>1126</v>
      </c>
      <c r="G15" s="36">
        <v>1128</v>
      </c>
      <c r="H15" s="15">
        <f>Inputs!L32</f>
        <v>1132</v>
      </c>
      <c r="I15" s="1"/>
      <c r="J15" s="1"/>
      <c r="K15" s="1"/>
      <c r="L15" s="1"/>
    </row>
    <row r="16">
      <c r="B16" s="1" t="s">
        <v>290</v>
      </c>
      <c r="C16" s="8"/>
      <c r="D16" s="8"/>
      <c r="E16" s="8">
        <f>E15-C15</f>
        <v>5</v>
      </c>
      <c r="F16" s="8">
        <f>F15-E15</f>
        <v>1</v>
      </c>
      <c r="G16" s="8">
        <f>G15-F15</f>
        <v>2</v>
      </c>
      <c r="H16" s="19">
        <f>H15-G15</f>
        <v>4</v>
      </c>
      <c r="I16" s="1"/>
      <c r="J16" s="1"/>
      <c r="K16" s="1"/>
      <c r="L16" s="1"/>
    </row>
    <row r="17">
      <c r="B17" s="1" t="s">
        <v>291</v>
      </c>
      <c r="C17" s="8">
        <f>C18-C15</f>
        <v>11</v>
      </c>
      <c r="D17" s="8">
        <f>D18-D15</f>
        <v>9</v>
      </c>
      <c r="E17" s="8">
        <f>E18-E15</f>
        <v>13</v>
      </c>
      <c r="F17" s="8">
        <f>F18-F15</f>
        <v>16</v>
      </c>
      <c r="G17" s="8">
        <f>G18-G15</f>
        <v>17</v>
      </c>
      <c r="H17" s="6">
        <f>Inputs!L33</f>
        <v>17</v>
      </c>
      <c r="I17" s="1"/>
      <c r="J17" s="1"/>
      <c r="K17" s="1"/>
      <c r="L17" s="1"/>
    </row>
    <row r="18">
      <c r="B18" s="46" t="s">
        <v>172</v>
      </c>
      <c r="C18" s="36">
        <v>1131</v>
      </c>
      <c r="D18" s="36">
        <v>1125</v>
      </c>
      <c r="E18" s="36">
        <v>1138</v>
      </c>
      <c r="F18" s="36">
        <v>1142</v>
      </c>
      <c r="G18" s="36">
        <v>1145</v>
      </c>
      <c r="H18" s="38">
        <f>H15+H17</f>
        <v>1149</v>
      </c>
      <c r="I18" s="1"/>
      <c r="J18" s="1"/>
      <c r="K18" s="1"/>
      <c r="L18" s="1"/>
    </row>
    <row r="19">
      <c r="B19" s="1" t="s">
        <v>292</v>
      </c>
      <c r="C19" s="4">
        <v>14</v>
      </c>
      <c r="D19" s="4">
        <v>18</v>
      </c>
      <c r="E19" s="4">
        <v>10</v>
      </c>
      <c r="F19" s="4">
        <v>7</v>
      </c>
      <c r="G19" s="4">
        <v>4</v>
      </c>
      <c r="H19" s="6">
        <f>Inputs!L34</f>
        <v>4</v>
      </c>
      <c r="I19" s="1"/>
      <c r="J19" s="1"/>
      <c r="K19" s="1"/>
      <c r="L19" s="1"/>
    </row>
    <row r="20">
      <c r="B20" s="46" t="s">
        <v>293</v>
      </c>
      <c r="C20" s="18">
        <f>C18+C19</f>
        <v>1145</v>
      </c>
      <c r="D20" s="18">
        <f>D18+D19</f>
        <v>1143</v>
      </c>
      <c r="E20" s="18">
        <f>E18+E19</f>
        <v>1148</v>
      </c>
      <c r="F20" s="18">
        <f>F18+F19</f>
        <v>1149</v>
      </c>
      <c r="G20" s="18">
        <f>G18+G19</f>
        <v>1149</v>
      </c>
      <c r="H20" s="38">
        <f>H18+H19</f>
        <v>1153</v>
      </c>
      <c r="I20" s="1"/>
      <c r="J20" s="1"/>
      <c r="K20" s="1"/>
      <c r="L20" s="1"/>
    </row>
    <row r="21">
      <c r="B21" s="1" t="s">
        <v>294</v>
      </c>
      <c r="C21" s="8">
        <f>C18-C15</f>
        <v>11</v>
      </c>
      <c r="D21" s="8">
        <f>D18-D15</f>
        <v>9</v>
      </c>
      <c r="E21" s="8">
        <f>E18-E15</f>
        <v>13</v>
      </c>
      <c r="F21" s="8">
        <f>F18-F15</f>
        <v>16</v>
      </c>
      <c r="G21" s="8">
        <f>G18-G15</f>
        <v>17</v>
      </c>
      <c r="H21" s="19">
        <f>H18-H15</f>
        <v>17</v>
      </c>
      <c r="I21" s="1"/>
      <c r="J21" s="1"/>
      <c r="K21" s="1"/>
      <c r="L21" s="1"/>
    </row>
    <row r="22">
      <c r="B22" s="1" t="s">
        <v>295</v>
      </c>
      <c r="C22" s="8">
        <f>C20-C18</f>
        <v>14</v>
      </c>
      <c r="D22" s="8">
        <f>D20-D18</f>
        <v>18</v>
      </c>
      <c r="E22" s="8">
        <f>E20-E18</f>
        <v>10</v>
      </c>
      <c r="F22" s="8">
        <f>F20-F18</f>
        <v>7</v>
      </c>
      <c r="G22" s="8">
        <f>G20-G18</f>
        <v>4</v>
      </c>
      <c r="H22" s="19">
        <f>H20-H18</f>
        <v>4</v>
      </c>
      <c r="I22" s="1"/>
      <c r="J22" s="1"/>
      <c r="K22" s="1"/>
      <c r="L22" s="1"/>
    </row>
    <row r="23">
      <c r="B23" s="1" t="s">
        <v>296</v>
      </c>
      <c r="C23" s="13">
        <f>'Income Statement'!C32/C15</f>
        <v>2.8580357142857142</v>
      </c>
      <c r="D23" s="13">
        <f>'Income Statement'!D32/D15</f>
        <v>7.651433691756273</v>
      </c>
      <c r="E23" s="13">
        <f>'Income Statement'!E32/E15</f>
        <v>4.657777777777778</v>
      </c>
      <c r="F23" s="13">
        <f>'Income Statement'!F32/F15</f>
        <v>12.242451154529308</v>
      </c>
      <c r="G23" s="13">
        <f>'Income Statement'!G32/G15</f>
        <v>25.038120567375888</v>
      </c>
      <c r="H23" s="6">
        <f>'Income Statement'!H32/H15</f>
        <v>31.97324289480616</v>
      </c>
      <c r="I23" s="1"/>
      <c r="J23" s="1"/>
      <c r="K23" s="1"/>
      <c r="L23" s="1"/>
    </row>
    <row r="24">
      <c r="B24" s="1" t="s">
        <v>297</v>
      </c>
      <c r="C24" s="13">
        <f>C18-'Income Statement'!C35</f>
        <v>0</v>
      </c>
      <c r="D24" s="13">
        <f>D18-'Income Statement'!D35</f>
        <v>0</v>
      </c>
      <c r="E24" s="13">
        <f>E18-'Income Statement'!E35</f>
        <v>0</v>
      </c>
      <c r="F24" s="13">
        <f>F18-'Income Statement'!F35</f>
        <v>0</v>
      </c>
      <c r="G24" s="13">
        <f>G18-'Income Statement'!G35</f>
        <v>0</v>
      </c>
      <c r="H24" s="6">
        <f>H18-'Income Statement'!H35</f>
        <v>0</v>
      </c>
      <c r="I24" s="1"/>
      <c r="J24" s="1"/>
      <c r="K24" s="1"/>
      <c r="L24" s="1"/>
    </row>
    <row r="25">
      <c r="B25" s="1" t="s">
        <v>298</v>
      </c>
      <c r="C25" s="13">
        <f>C20-'Income Statement'!C47</f>
        <v>0</v>
      </c>
      <c r="D25" s="13">
        <f>D20-'Income Statement'!D47</f>
        <v>0</v>
      </c>
      <c r="E25" s="13">
        <f>E20-'Income Statement'!E47</f>
        <v>0</v>
      </c>
      <c r="F25" s="13">
        <f>F20-'Income Statement'!F47</f>
        <v>0</v>
      </c>
      <c r="G25" s="13">
        <f>G20-'Income Statement'!G47</f>
        <v>0</v>
      </c>
      <c r="H25" s="6">
        <f>H20-'Income Statement'!H47</f>
        <v>0</v>
      </c>
      <c r="I25" s="1"/>
      <c r="J25" s="1"/>
      <c r="K25" s="1"/>
      <c r="L25" s="1"/>
    </row>
    <row r="26">
      <c r="B26" s="1"/>
      <c r="C26" s="1"/>
      <c r="D26" s="1"/>
      <c r="E26" s="1"/>
      <c r="F26" s="1"/>
      <c r="G26" s="1"/>
      <c r="H26" s="11"/>
      <c r="I26" s="1"/>
      <c r="J26" s="1"/>
      <c r="K26" s="1"/>
      <c r="L26" s="1"/>
    </row>
    <row r="27">
      <c r="B27" s="1"/>
      <c r="C27" s="1"/>
      <c r="D27" s="1"/>
      <c r="E27" s="1"/>
      <c r="F27" s="1"/>
      <c r="G27" s="1"/>
      <c r="H27" s="11"/>
      <c r="I27" s="1"/>
      <c r="J27" s="1"/>
      <c r="K27" s="1"/>
      <c r="L27" s="1"/>
    </row>
    <row r="28">
      <c r="B28" s="1"/>
      <c r="C28" s="1"/>
      <c r="D28" s="1"/>
      <c r="E28" s="1"/>
      <c r="F28" s="1"/>
      <c r="G28" s="1"/>
      <c r="H28" s="11"/>
      <c r="I28" s="1"/>
      <c r="J28" s="1"/>
      <c r="K28" s="1"/>
      <c r="L28" s="1"/>
    </row>
    <row r="29">
      <c r="B29" s="1"/>
      <c r="C29" s="1"/>
      <c r="D29" s="1"/>
      <c r="E29" s="1"/>
      <c r="F29" s="1"/>
      <c r="G29" s="1"/>
      <c r="H29" s="11"/>
      <c r="I29" s="1"/>
      <c r="J29" s="1"/>
      <c r="K29" s="1"/>
      <c r="L29" s="1"/>
    </row>
    <row r="30">
      <c r="B30" s="1"/>
      <c r="C30" s="1"/>
      <c r="D30" s="1"/>
      <c r="E30" s="1"/>
      <c r="F30" s="1"/>
      <c r="G30" s="1"/>
      <c r="H30" s="11"/>
      <c r="I30" s="1"/>
      <c r="J30" s="1"/>
      <c r="K30" s="1"/>
      <c r="L30" s="1"/>
    </row>
    <row r="3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B2:L85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10" customWidth="1"/>
    <col min="2" max="2" width="32" customWidth="1"/>
    <col min="3" max="9" width="15" customWidth="1"/>
    <col min="10" max="10" width="18" customWidth="1"/>
    <col min="11" max="11" width="33" customWidth="1"/>
    <col min="12" max="12" width="20" customWidth="1"/>
  </cols>
  <sheetData>
    <row r="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B3" s="1" t="s">
        <v>299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5" t="s">
        <v>9</v>
      </c>
      <c r="I5" s="1"/>
      <c r="J5" s="1"/>
      <c r="K5" s="1"/>
      <c r="L5" s="1"/>
    </row>
    <row r="6">
      <c r="B6" s="10" t="s">
        <v>10</v>
      </c>
      <c r="C6" s="2">
        <v>45897</v>
      </c>
      <c r="D6" s="2">
        <v>45897</v>
      </c>
      <c r="E6" s="2">
        <v>45988</v>
      </c>
      <c r="F6" s="2">
        <v>46079</v>
      </c>
      <c r="G6" s="2">
        <v>46170</v>
      </c>
      <c r="H6" s="29">
        <v>46268</v>
      </c>
      <c r="I6" s="1"/>
      <c r="J6" s="1"/>
      <c r="K6" s="1"/>
      <c r="L6" s="1"/>
    </row>
    <row r="7">
      <c r="B7" s="10" t="s">
        <v>11</v>
      </c>
      <c r="C7" s="10">
        <v>91</v>
      </c>
      <c r="D7" s="10">
        <v>364</v>
      </c>
      <c r="E7" s="10">
        <v>91</v>
      </c>
      <c r="F7" s="10">
        <v>91</v>
      </c>
      <c r="G7" s="10">
        <v>91</v>
      </c>
      <c r="H7" s="25">
        <v>98</v>
      </c>
      <c r="I7" s="1"/>
      <c r="J7" s="1"/>
      <c r="K7" s="1"/>
      <c r="L7" s="1"/>
    </row>
    <row r="8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>
      <c r="B9" s="31" t="s">
        <v>35</v>
      </c>
      <c r="C9" s="31" t="s">
        <v>300</v>
      </c>
      <c r="D9" s="31" t="s">
        <v>301</v>
      </c>
      <c r="E9" s="31" t="s">
        <v>302</v>
      </c>
      <c r="F9" s="31" t="s">
        <v>303</v>
      </c>
      <c r="G9" s="31" t="s">
        <v>304</v>
      </c>
      <c r="H9" s="31" t="s">
        <v>305</v>
      </c>
      <c r="I9" s="31" t="s">
        <v>306</v>
      </c>
      <c r="J9" s="31" t="s">
        <v>307</v>
      </c>
      <c r="K9" s="1" t="s">
        <v>34</v>
      </c>
      <c r="L9" s="1"/>
    </row>
    <row r="10">
      <c r="B10" s="1" t="s">
        <v>159</v>
      </c>
      <c r="C10" s="3">
        <v>45923</v>
      </c>
      <c r="D10" s="1" t="s">
        <v>6</v>
      </c>
      <c r="E10" s="1" t="s">
        <v>308</v>
      </c>
      <c r="F10" s="4">
        <v>12200</v>
      </c>
      <c r="G10" s="4">
        <v>12800</v>
      </c>
      <c r="H10" s="8">
        <f>AVERAGE(F10:G10)</f>
        <v>12500</v>
      </c>
      <c r="I10" s="13">
        <f>'Income Statement'!E10</f>
        <v>13643</v>
      </c>
      <c r="J10" s="1" t="str">
        <f>IF(I10="","unavailable",IF(I10&gt;H10,"BEAT",IF(I10&lt;H10,"MISS","INLINE")))</f>
        <v>BEAT</v>
      </c>
      <c r="K10" s="1"/>
      <c r="L10" s="1"/>
    </row>
    <row r="11">
      <c r="B11" s="1" t="s">
        <v>309</v>
      </c>
      <c r="C11" s="3">
        <v>45923</v>
      </c>
      <c r="D11" s="1" t="s">
        <v>6</v>
      </c>
      <c r="E11" s="1" t="s">
        <v>308</v>
      </c>
      <c r="F11" s="35">
        <v>0.495</v>
      </c>
      <c r="G11" s="35">
        <v>0.515</v>
      </c>
      <c r="H11" s="5">
        <f>AVERAGE(F11:G11)</f>
        <v>0.505</v>
      </c>
      <c r="I11" s="17">
        <f>'Income Statement'!E15</f>
        <v>0.5604339221578831</v>
      </c>
      <c r="J11" s="44" t="str">
        <f>IF(I11="","unavailable",IF(I11&gt;H11,"BEAT",IF(I11&lt;H11,"MISS","INLINE")))</f>
        <v>BEAT</v>
      </c>
      <c r="K11" s="1"/>
      <c r="L11" s="1"/>
    </row>
    <row r="12">
      <c r="B12" s="1" t="s">
        <v>309</v>
      </c>
      <c r="C12" s="3">
        <v>45923</v>
      </c>
      <c r="D12" s="1" t="s">
        <v>6</v>
      </c>
      <c r="E12" s="1" t="s">
        <v>310</v>
      </c>
      <c r="F12" s="35">
        <v>0.505</v>
      </c>
      <c r="G12" s="35">
        <v>0.525</v>
      </c>
      <c r="H12" s="5">
        <f>AVERAGE(F12:G12)</f>
        <v>0.515</v>
      </c>
      <c r="I12" s="35">
        <v>0.568</v>
      </c>
      <c r="J12" s="1" t="str">
        <f>IF(I12="","unavailable",IF(I12&gt;H12,"BEAT",IF(I12&lt;H12,"MISS","INLINE")))</f>
        <v>BEAT</v>
      </c>
      <c r="K12" s="1"/>
      <c r="L12" s="1"/>
    </row>
    <row r="13">
      <c r="B13" s="1" t="s">
        <v>311</v>
      </c>
      <c r="C13" s="3">
        <v>45923</v>
      </c>
      <c r="D13" s="1" t="s">
        <v>6</v>
      </c>
      <c r="E13" s="1" t="s">
        <v>308</v>
      </c>
      <c r="F13" s="4">
        <v>1470</v>
      </c>
      <c r="G13" s="4">
        <v>1510</v>
      </c>
      <c r="H13" s="8">
        <f>AVERAGE(F13:G13)</f>
        <v>1490</v>
      </c>
      <c r="I13" s="13">
        <f>'Income Statement'!E21</f>
        <v>1510</v>
      </c>
      <c r="J13" s="1" t="str">
        <f>IF(I13="","unavailable",IF(I13&lt;H13,"BEAT",IF(I13&gt;H13,"MISS","INLINE")))</f>
        <v>MISS</v>
      </c>
      <c r="K13" s="1"/>
      <c r="L13" s="1"/>
    </row>
    <row r="14">
      <c r="B14" s="1" t="s">
        <v>311</v>
      </c>
      <c r="C14" s="3">
        <v>45923</v>
      </c>
      <c r="D14" s="1" t="s">
        <v>6</v>
      </c>
      <c r="E14" s="1" t="s">
        <v>310</v>
      </c>
      <c r="F14" s="4">
        <v>1320</v>
      </c>
      <c r="G14" s="4">
        <v>1360</v>
      </c>
      <c r="H14" s="8">
        <f>AVERAGE(F14:G14)</f>
        <v>1340</v>
      </c>
      <c r="I14" s="4">
        <v>1334</v>
      </c>
      <c r="J14" s="1" t="str">
        <f>IF(I14="","unavailable",IF(I14&lt;H14,"BEAT",IF(I14&gt;H14,"MISS","INLINE")))</f>
        <v>BEAT</v>
      </c>
      <c r="K14" s="1"/>
      <c r="L14" s="1"/>
    </row>
    <row r="15">
      <c r="B15" s="1" t="s">
        <v>47</v>
      </c>
      <c r="C15" s="3">
        <v>45923</v>
      </c>
      <c r="D15" s="1" t="s">
        <v>6</v>
      </c>
      <c r="E15" s="1" t="s">
        <v>308</v>
      </c>
      <c r="F15" s="32">
        <v>3.41</v>
      </c>
      <c r="G15" s="32">
        <v>3.71</v>
      </c>
      <c r="H15" s="30">
        <f>AVERAGE(F15:G15)</f>
        <v>3.56</v>
      </c>
      <c r="I15" s="26">
        <f>'Income Statement'!E33</f>
        <v>4.6045694200351495</v>
      </c>
      <c r="J15" s="30" t="str">
        <f>IF(I15="","unavailable",IF(I15&gt;H15,"BEAT",IF(I15&lt;H15,"MISS","INLINE")))</f>
        <v>BEAT</v>
      </c>
      <c r="K15" s="1"/>
      <c r="L15" s="1"/>
    </row>
    <row r="16">
      <c r="B16" s="1" t="s">
        <v>45</v>
      </c>
      <c r="C16" s="3">
        <v>45923</v>
      </c>
      <c r="D16" s="1" t="s">
        <v>6</v>
      </c>
      <c r="E16" s="1" t="s">
        <v>310</v>
      </c>
      <c r="F16" s="32">
        <v>3.6</v>
      </c>
      <c r="G16" s="32">
        <v>3.9</v>
      </c>
      <c r="H16" s="30">
        <f>AVERAGE(F16:G16)</f>
        <v>3.75</v>
      </c>
      <c r="I16" s="26">
        <f>'Income Statement'!E48</f>
        <v>4.775261324041812</v>
      </c>
      <c r="J16" s="30" t="str">
        <f>IF(I16="","unavailable",IF(I16&gt;H16,"BEAT",IF(I16&lt;H16,"MISS","INLINE")))</f>
        <v>BEAT</v>
      </c>
      <c r="K16" s="1"/>
      <c r="L16" s="1"/>
    </row>
    <row r="17">
      <c r="B17" s="1" t="s">
        <v>159</v>
      </c>
      <c r="C17" s="3">
        <v>46008</v>
      </c>
      <c r="D17" s="1" t="s">
        <v>7</v>
      </c>
      <c r="E17" s="1" t="s">
        <v>308</v>
      </c>
      <c r="F17" s="4">
        <v>18300</v>
      </c>
      <c r="G17" s="4">
        <v>19100</v>
      </c>
      <c r="H17" s="8">
        <f>AVERAGE(F17:G17)</f>
        <v>18700</v>
      </c>
      <c r="I17" s="13">
        <f>'Income Statement'!F10</f>
        <v>23860</v>
      </c>
      <c r="J17" s="1" t="str">
        <f>IF(I17="","unavailable",IF(I17&gt;H17,"BEAT",IF(I17&lt;H17,"MISS","INLINE")))</f>
        <v>BEAT</v>
      </c>
      <c r="K17" s="1"/>
      <c r="L17" s="1"/>
    </row>
    <row r="18">
      <c r="B18" s="1" t="s">
        <v>309</v>
      </c>
      <c r="C18" s="3">
        <v>46008</v>
      </c>
      <c r="D18" s="1" t="s">
        <v>7</v>
      </c>
      <c r="E18" s="1" t="s">
        <v>308</v>
      </c>
      <c r="F18" s="35">
        <v>0.66</v>
      </c>
      <c r="G18" s="35">
        <v>0.68</v>
      </c>
      <c r="H18" s="5">
        <f>AVERAGE(F18:G18)</f>
        <v>0.67</v>
      </c>
      <c r="I18" s="17">
        <f>'Income Statement'!F15</f>
        <v>0.7441324392288349</v>
      </c>
      <c r="J18" s="44" t="str">
        <f>IF(I18="","unavailable",IF(I18&gt;H18,"BEAT",IF(I18&lt;H18,"MISS","INLINE")))</f>
        <v>BEAT</v>
      </c>
      <c r="K18" s="1"/>
      <c r="L18" s="1"/>
    </row>
    <row r="19">
      <c r="B19" s="1" t="s">
        <v>309</v>
      </c>
      <c r="C19" s="3">
        <v>46008</v>
      </c>
      <c r="D19" s="1" t="s">
        <v>7</v>
      </c>
      <c r="E19" s="1" t="s">
        <v>310</v>
      </c>
      <c r="F19" s="35">
        <v>0.67</v>
      </c>
      <c r="G19" s="35">
        <v>0.69</v>
      </c>
      <c r="H19" s="5">
        <f>AVERAGE(F19:G19)</f>
        <v>0.6799999999999999</v>
      </c>
      <c r="I19" s="35">
        <v>0.749</v>
      </c>
      <c r="J19" s="1" t="str">
        <f>IF(I19="","unavailable",IF(I19&gt;H19,"BEAT",IF(I19&lt;H19,"MISS","INLINE")))</f>
        <v>BEAT</v>
      </c>
      <c r="K19" s="1"/>
      <c r="L19" s="1"/>
    </row>
    <row r="20">
      <c r="B20" s="1" t="s">
        <v>311</v>
      </c>
      <c r="C20" s="3">
        <v>46008</v>
      </c>
      <c r="D20" s="1" t="s">
        <v>7</v>
      </c>
      <c r="E20" s="1" t="s">
        <v>308</v>
      </c>
      <c r="F20" s="4">
        <v>1540</v>
      </c>
      <c r="G20" s="4">
        <v>1580</v>
      </c>
      <c r="H20" s="8">
        <f>AVERAGE(F20:G20)</f>
        <v>1560</v>
      </c>
      <c r="I20" s="13">
        <f>'Income Statement'!F21</f>
        <v>1620</v>
      </c>
      <c r="J20" s="1" t="str">
        <f>IF(I20="","unavailable",IF(I20&lt;H20,"BEAT",IF(I20&gt;H20,"MISS","INLINE")))</f>
        <v>MISS</v>
      </c>
      <c r="K20" s="1"/>
      <c r="L20" s="1"/>
    </row>
    <row r="21">
      <c r="B21" s="1" t="s">
        <v>311</v>
      </c>
      <c r="C21" s="3">
        <v>46008</v>
      </c>
      <c r="D21" s="1" t="s">
        <v>7</v>
      </c>
      <c r="E21" s="1" t="s">
        <v>310</v>
      </c>
      <c r="F21" s="4">
        <v>1360</v>
      </c>
      <c r="G21" s="4">
        <v>1400</v>
      </c>
      <c r="H21" s="8">
        <f>AVERAGE(F21:G21)</f>
        <v>1380</v>
      </c>
      <c r="I21" s="4">
        <v>1421</v>
      </c>
      <c r="J21" s="1" t="str">
        <f>IF(I21="","unavailable",IF(I21&lt;H21,"BEAT",IF(I21&gt;H21,"MISS","INLINE")))</f>
        <v>MISS</v>
      </c>
      <c r="K21" s="1"/>
      <c r="L21" s="1"/>
    </row>
    <row r="22">
      <c r="B22" s="1" t="s">
        <v>47</v>
      </c>
      <c r="C22" s="3">
        <v>46008</v>
      </c>
      <c r="D22" s="1" t="s">
        <v>7</v>
      </c>
      <c r="E22" s="1" t="s">
        <v>308</v>
      </c>
      <c r="F22" s="32">
        <v>7.99</v>
      </c>
      <c r="G22" s="32">
        <v>8.39</v>
      </c>
      <c r="H22" s="30">
        <f>AVERAGE(F22:G22)</f>
        <v>8.190000000000001</v>
      </c>
      <c r="I22" s="26">
        <f>'Income Statement'!F33</f>
        <v>12.07092819614711</v>
      </c>
      <c r="J22" s="30" t="str">
        <f>IF(I22="","unavailable",IF(I22&gt;H22,"BEAT",IF(I22&lt;H22,"MISS","INLINE")))</f>
        <v>BEAT</v>
      </c>
      <c r="K22" s="1"/>
      <c r="L22" s="1"/>
    </row>
    <row r="23">
      <c r="B23" s="1" t="s">
        <v>45</v>
      </c>
      <c r="C23" s="3">
        <v>46008</v>
      </c>
      <c r="D23" s="1" t="s">
        <v>7</v>
      </c>
      <c r="E23" s="1" t="s">
        <v>310</v>
      </c>
      <c r="F23" s="32">
        <v>8.22</v>
      </c>
      <c r="G23" s="32">
        <v>8.62</v>
      </c>
      <c r="H23" s="30">
        <f>AVERAGE(F23:G23)</f>
        <v>8.42</v>
      </c>
      <c r="I23" s="26">
        <f>'Income Statement'!F48</f>
        <v>12.202785030461271</v>
      </c>
      <c r="J23" s="30" t="str">
        <f>IF(I23="","unavailable",IF(I23&gt;H23,"BEAT",IF(I23&lt;H23,"MISS","INLINE")))</f>
        <v>BEAT</v>
      </c>
      <c r="K23" s="1"/>
      <c r="L23" s="1"/>
    </row>
    <row r="24">
      <c r="B24" s="1" t="s">
        <v>159</v>
      </c>
      <c r="C24" s="3">
        <v>46099</v>
      </c>
      <c r="D24" s="1" t="s">
        <v>8</v>
      </c>
      <c r="E24" s="1" t="s">
        <v>308</v>
      </c>
      <c r="F24" s="4">
        <v>32750</v>
      </c>
      <c r="G24" s="4">
        <v>34250</v>
      </c>
      <c r="H24" s="8">
        <f>AVERAGE(F24:G24)</f>
        <v>33500</v>
      </c>
      <c r="I24" s="13">
        <f>'Income Statement'!G10</f>
        <v>41456</v>
      </c>
      <c r="J24" s="1" t="str">
        <f>IF(I24="","unavailable",IF(I24&gt;H24,"BEAT",IF(I24&lt;H24,"MISS","INLINE")))</f>
        <v>BEAT</v>
      </c>
      <c r="K24" s="1"/>
      <c r="L24" s="1"/>
    </row>
    <row r="25">
      <c r="B25" s="1" t="s">
        <v>309</v>
      </c>
      <c r="C25" s="3">
        <v>46099</v>
      </c>
      <c r="D25" s="1" t="s">
        <v>8</v>
      </c>
      <c r="E25" s="1" t="s">
        <v>308</v>
      </c>
      <c r="F25" s="35">
        <v>0.81</v>
      </c>
      <c r="G25" s="35">
        <v>0.81</v>
      </c>
      <c r="H25" s="5">
        <f>AVERAGE(F25:G25)</f>
        <v>0.81</v>
      </c>
      <c r="I25" s="17">
        <f>'Income Statement'!G15</f>
        <v>0.8456194519490544</v>
      </c>
      <c r="J25" s="44" t="str">
        <f>IF(I25="","unavailable",IF(I25&gt;H25,"BEAT",IF(I25&lt;H25,"MISS","INLINE")))</f>
        <v>BEAT</v>
      </c>
      <c r="K25" s="1"/>
      <c r="L25" s="1"/>
    </row>
    <row r="26">
      <c r="B26" s="1" t="s">
        <v>309</v>
      </c>
      <c r="C26" s="3">
        <v>46099</v>
      </c>
      <c r="D26" s="1" t="s">
        <v>8</v>
      </c>
      <c r="E26" s="1" t="s">
        <v>310</v>
      </c>
      <c r="F26" s="35">
        <v>0.81</v>
      </c>
      <c r="G26" s="35">
        <v>0.81</v>
      </c>
      <c r="H26" s="5">
        <f>AVERAGE(F26:G26)</f>
        <v>0.81</v>
      </c>
      <c r="I26" s="35">
        <v>0.849</v>
      </c>
      <c r="J26" s="1" t="str">
        <f>IF(I26="","unavailable",IF(I26&gt;H26,"BEAT",IF(I26&lt;H26,"MISS","INLINE")))</f>
        <v>BEAT</v>
      </c>
      <c r="K26" s="1"/>
      <c r="L26" s="1"/>
    </row>
    <row r="27">
      <c r="B27" s="1" t="s">
        <v>311</v>
      </c>
      <c r="C27" s="3">
        <v>46099</v>
      </c>
      <c r="D27" s="1" t="s">
        <v>8</v>
      </c>
      <c r="E27" s="1" t="s">
        <v>308</v>
      </c>
      <c r="F27" s="4">
        <v>1600</v>
      </c>
      <c r="G27" s="4">
        <v>1600</v>
      </c>
      <c r="H27" s="8">
        <f>AVERAGE(F27:G27)</f>
        <v>1600</v>
      </c>
      <c r="I27" s="13">
        <f>'Income Statement'!G21</f>
        <v>1738</v>
      </c>
      <c r="J27" s="1" t="str">
        <f>IF(I27="","unavailable",IF(I27&lt;H27,"BEAT",IF(I27&gt;H27,"MISS","INLINE")))</f>
        <v>MISS</v>
      </c>
      <c r="K27" s="1"/>
      <c r="L27" s="1"/>
    </row>
    <row r="28">
      <c r="B28" s="1" t="s">
        <v>311</v>
      </c>
      <c r="C28" s="3">
        <v>46099</v>
      </c>
      <c r="D28" s="1" t="s">
        <v>8</v>
      </c>
      <c r="E28" s="1" t="s">
        <v>310</v>
      </c>
      <c r="F28" s="4">
        <v>1400</v>
      </c>
      <c r="G28" s="4">
        <v>1400</v>
      </c>
      <c r="H28" s="8">
        <f>AVERAGE(F28:G28)</f>
        <v>1400</v>
      </c>
      <c r="I28" s="4">
        <v>1518</v>
      </c>
      <c r="J28" s="1" t="str">
        <f>IF(I28="","unavailable",IF(I28&lt;H28,"BEAT",IF(I28&gt;H28,"MISS","INLINE")))</f>
        <v>MISS</v>
      </c>
      <c r="K28" s="1"/>
      <c r="L28" s="1"/>
    </row>
    <row r="29">
      <c r="B29" s="1" t="s">
        <v>47</v>
      </c>
      <c r="C29" s="3">
        <v>46099</v>
      </c>
      <c r="D29" s="1" t="s">
        <v>8</v>
      </c>
      <c r="E29" s="1" t="s">
        <v>308</v>
      </c>
      <c r="F29" s="32">
        <v>18.5</v>
      </c>
      <c r="G29" s="32">
        <v>19.3</v>
      </c>
      <c r="H29" s="30">
        <f>AVERAGE(F29:G29)</f>
        <v>18.9</v>
      </c>
      <c r="I29" s="26">
        <f>'Income Statement'!G33</f>
        <v>24.66637554585153</v>
      </c>
      <c r="J29" s="30" t="str">
        <f>IF(I29="","unavailable",IF(I29&gt;H29,"BEAT",IF(I29&lt;H29,"MISS","INLINE")))</f>
        <v>BEAT</v>
      </c>
      <c r="K29" s="1"/>
      <c r="L29" s="1"/>
    </row>
    <row r="30">
      <c r="B30" s="1" t="s">
        <v>45</v>
      </c>
      <c r="C30" s="3">
        <v>46099</v>
      </c>
      <c r="D30" s="1" t="s">
        <v>8</v>
      </c>
      <c r="E30" s="1" t="s">
        <v>310</v>
      </c>
      <c r="F30" s="32">
        <v>18.75</v>
      </c>
      <c r="G30" s="32">
        <v>19.55</v>
      </c>
      <c r="H30" s="30">
        <f>AVERAGE(F30:G30)</f>
        <v>19.15</v>
      </c>
      <c r="I30" s="26">
        <f>'Income Statement'!G48</f>
        <v>25.114882506527415</v>
      </c>
      <c r="J30" s="30" t="str">
        <f>IF(I30="","unavailable",IF(I30&gt;H30,"BEAT",IF(I30&lt;H30,"MISS","INLINE")))</f>
        <v>BEAT</v>
      </c>
      <c r="K30" s="1"/>
      <c r="L30" s="1"/>
    </row>
    <row r="31">
      <c r="B31" s="1" t="s">
        <v>159</v>
      </c>
      <c r="C31" s="3">
        <v>46197</v>
      </c>
      <c r="D31" s="1" t="s">
        <v>9</v>
      </c>
      <c r="E31" s="1" t="s">
        <v>308</v>
      </c>
      <c r="F31" s="4">
        <v>49000</v>
      </c>
      <c r="G31" s="4">
        <v>51000</v>
      </c>
      <c r="H31" s="8">
        <f>AVERAGE(F31:G31)</f>
        <v>50000</v>
      </c>
      <c r="I31" s="8"/>
      <c r="J31" s="1" t="str">
        <f>IF(I31="","unavailable",IF(I31&gt;H31,"BEAT",IF(I31&lt;H31,"MISS","INLINE")))</f>
        <v>unavailable</v>
      </c>
      <c r="K31" s="1"/>
      <c r="L31" s="1"/>
    </row>
    <row r="32">
      <c r="B32" s="1" t="s">
        <v>309</v>
      </c>
      <c r="C32" s="3">
        <v>46197</v>
      </c>
      <c r="D32" s="1" t="s">
        <v>9</v>
      </c>
      <c r="E32" s="1" t="s">
        <v>308</v>
      </c>
      <c r="F32" s="35">
        <v>0.86</v>
      </c>
      <c r="G32" s="35">
        <v>0.86</v>
      </c>
      <c r="H32" s="5">
        <f>AVERAGE(F32:G32)</f>
        <v>0.86</v>
      </c>
      <c r="I32" s="5"/>
      <c r="J32" s="1" t="str">
        <f>IF(I32="","unavailable",IF(I32&gt;H32,"BEAT",IF(I32&lt;H32,"MISS","INLINE")))</f>
        <v>unavailable</v>
      </c>
      <c r="K32" s="1"/>
      <c r="L32" s="1"/>
    </row>
    <row r="33">
      <c r="B33" s="1" t="s">
        <v>309</v>
      </c>
      <c r="C33" s="3">
        <v>46197</v>
      </c>
      <c r="D33" s="1" t="s">
        <v>9</v>
      </c>
      <c r="E33" s="1" t="s">
        <v>310</v>
      </c>
      <c r="F33" s="35">
        <v>0.86</v>
      </c>
      <c r="G33" s="35">
        <v>0.86</v>
      </c>
      <c r="H33" s="5">
        <f>AVERAGE(F33:G33)</f>
        <v>0.86</v>
      </c>
      <c r="I33" s="5"/>
      <c r="J33" s="1" t="str">
        <f>IF(I33="","unavailable",IF(I33&gt;H33,"BEAT",IF(I33&lt;H33,"MISS","INLINE")))</f>
        <v>unavailable</v>
      </c>
      <c r="K33" s="1"/>
      <c r="L33" s="1"/>
    </row>
    <row r="34">
      <c r="B34" s="1" t="s">
        <v>311</v>
      </c>
      <c r="C34" s="3">
        <v>46197</v>
      </c>
      <c r="D34" s="1" t="s">
        <v>9</v>
      </c>
      <c r="E34" s="1" t="s">
        <v>308</v>
      </c>
      <c r="F34" s="4">
        <v>1860</v>
      </c>
      <c r="G34" s="4">
        <v>1860</v>
      </c>
      <c r="H34" s="8">
        <f>AVERAGE(F34:G34)</f>
        <v>1860</v>
      </c>
      <c r="I34" s="8"/>
      <c r="J34" s="1" t="str">
        <f>IF(I34="","unavailable",IF(I34&lt;H34,"BEAT",IF(I34&gt;H34,"MISS","INLINE")))</f>
        <v>unavailable</v>
      </c>
      <c r="K34" s="1"/>
      <c r="L34" s="1"/>
    </row>
    <row r="35">
      <c r="B35" s="1" t="s">
        <v>311</v>
      </c>
      <c r="C35" s="3">
        <v>46197</v>
      </c>
      <c r="D35" s="1" t="s">
        <v>9</v>
      </c>
      <c r="E35" s="1" t="s">
        <v>310</v>
      </c>
      <c r="F35" s="4">
        <v>1650</v>
      </c>
      <c r="G35" s="4">
        <v>1650</v>
      </c>
      <c r="H35" s="8">
        <f>AVERAGE(F35:G35)</f>
        <v>1650</v>
      </c>
      <c r="I35" s="8"/>
      <c r="J35" s="1" t="str">
        <f>IF(I35="","unavailable",IF(I35&lt;H35,"BEAT",IF(I35&gt;H35,"MISS","INLINE")))</f>
        <v>unavailable</v>
      </c>
      <c r="K35" s="1"/>
      <c r="L35" s="1"/>
    </row>
    <row r="36">
      <c r="B36" s="1" t="s">
        <v>47</v>
      </c>
      <c r="C36" s="3">
        <v>46197</v>
      </c>
      <c r="D36" s="1" t="s">
        <v>9</v>
      </c>
      <c r="E36" s="1" t="s">
        <v>308</v>
      </c>
      <c r="F36" s="32">
        <v>29.73</v>
      </c>
      <c r="G36" s="32">
        <v>31.73</v>
      </c>
      <c r="H36" s="30">
        <f>AVERAGE(F36:G36)</f>
        <v>30.73</v>
      </c>
      <c r="I36" s="30"/>
      <c r="J36" s="1" t="str">
        <f>IF(I36="","unavailable",IF(I36&gt;H36,"BEAT",IF(I36&lt;H36,"MISS","INLINE")))</f>
        <v>unavailable</v>
      </c>
      <c r="K36" s="1"/>
      <c r="L36" s="1"/>
    </row>
    <row r="37">
      <c r="B37" s="1" t="s">
        <v>45</v>
      </c>
      <c r="C37" s="3">
        <v>46197</v>
      </c>
      <c r="D37" s="1" t="s">
        <v>9</v>
      </c>
      <c r="E37" s="1" t="s">
        <v>310</v>
      </c>
      <c r="F37" s="32">
        <v>30</v>
      </c>
      <c r="G37" s="32">
        <v>32</v>
      </c>
      <c r="H37" s="30">
        <f>AVERAGE(F37:G37)</f>
        <v>31</v>
      </c>
      <c r="I37" s="30"/>
      <c r="J37" s="1" t="str">
        <f>IF(I37="","unavailable",IF(I37&gt;H37,"BEAT",IF(I37&lt;H37,"MISS","INLINE")))</f>
        <v>unavailable</v>
      </c>
      <c r="K37" s="1" t="s">
        <v>312</v>
      </c>
      <c r="L37" s="1"/>
    </row>
    <row r="38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>
      <c r="B40" s="1"/>
      <c r="C40" s="1"/>
      <c r="D40" s="1"/>
      <c r="E40" s="1"/>
      <c r="F40" s="1"/>
      <c r="G40" s="1"/>
      <c r="H40" s="1"/>
      <c r="I40" s="1"/>
      <c r="J40" s="1"/>
      <c r="K40" s="1" t="s">
        <v>313</v>
      </c>
      <c r="L40" s="1"/>
    </row>
    <row r="4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B2:L85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10" customWidth="1"/>
    <col min="2" max="2" width="34" customWidth="1"/>
    <col min="3" max="3" width="19" customWidth="1"/>
    <col min="4" max="4" width="23" customWidth="1"/>
    <col min="5" max="5" width="67" customWidth="1"/>
    <col min="6" max="6" width="53" customWidth="1"/>
    <col min="7" max="8" width="14" customWidth="1"/>
    <col min="9" max="9" width="3" customWidth="1"/>
    <col min="10" max="10" width="37" customWidth="1"/>
    <col min="11" max="11" width="33" customWidth="1"/>
    <col min="12" max="12" width="20" customWidth="1"/>
  </cols>
  <sheetData>
    <row r="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B3" s="1" t="s">
        <v>314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5" t="s">
        <v>9</v>
      </c>
      <c r="I5" s="1"/>
      <c r="J5" s="1"/>
      <c r="K5" s="1"/>
      <c r="L5" s="1"/>
    </row>
    <row r="6">
      <c r="B6" s="10" t="s">
        <v>10</v>
      </c>
      <c r="C6" s="2">
        <v>45897</v>
      </c>
      <c r="D6" s="2">
        <v>45897</v>
      </c>
      <c r="E6" s="2">
        <v>45988</v>
      </c>
      <c r="F6" s="2">
        <v>46079</v>
      </c>
      <c r="G6" s="2">
        <v>46170</v>
      </c>
      <c r="H6" s="29">
        <v>46268</v>
      </c>
      <c r="I6" s="1"/>
      <c r="J6" s="1"/>
      <c r="K6" s="1"/>
      <c r="L6" s="1"/>
    </row>
    <row r="7">
      <c r="B7" s="10" t="s">
        <v>11</v>
      </c>
      <c r="C7" s="10">
        <v>91</v>
      </c>
      <c r="D7" s="10">
        <v>364</v>
      </c>
      <c r="E7" s="10">
        <v>91</v>
      </c>
      <c r="F7" s="10">
        <v>91</v>
      </c>
      <c r="G7" s="10">
        <v>91</v>
      </c>
      <c r="H7" s="25">
        <v>98</v>
      </c>
      <c r="I7" s="1"/>
      <c r="J7" s="1"/>
      <c r="K7" s="1"/>
      <c r="L7" s="1"/>
    </row>
    <row r="8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>
      <c r="B9" s="10" t="s">
        <v>315</v>
      </c>
      <c r="C9" s="10" t="s">
        <v>300</v>
      </c>
      <c r="D9" s="10" t="s">
        <v>316</v>
      </c>
      <c r="E9" s="10" t="s">
        <v>317</v>
      </c>
      <c r="F9" s="10" t="s">
        <v>318</v>
      </c>
      <c r="G9" s="1"/>
      <c r="H9" s="1"/>
      <c r="I9" s="1"/>
      <c r="J9" s="1"/>
      <c r="K9" s="1"/>
      <c r="L9" s="1"/>
    </row>
    <row r="10">
      <c r="B10" s="1" t="s">
        <v>319</v>
      </c>
      <c r="C10" s="3">
        <v>46289</v>
      </c>
      <c r="D10" s="1" t="s">
        <v>320</v>
      </c>
      <c r="E10" s="1" t="s">
        <v>321</v>
      </c>
      <c r="F10" s="1" t="s">
        <v>322</v>
      </c>
      <c r="G10" s="1"/>
      <c r="H10" s="1"/>
      <c r="I10" s="1"/>
      <c r="J10" s="1"/>
      <c r="K10" s="1"/>
      <c r="L10" s="1"/>
    </row>
    <row r="11">
      <c r="B11" s="1" t="s">
        <v>323</v>
      </c>
      <c r="C11" s="3">
        <v>46289</v>
      </c>
      <c r="D11" s="1" t="s">
        <v>320</v>
      </c>
      <c r="E11" s="1" t="s">
        <v>324</v>
      </c>
      <c r="F11" s="1" t="s">
        <v>325</v>
      </c>
      <c r="G11" s="1"/>
      <c r="H11" s="1"/>
      <c r="I11" s="1"/>
      <c r="J11" s="1"/>
      <c r="K11" s="1"/>
      <c r="L11" s="1"/>
    </row>
    <row r="12">
      <c r="B12" s="1" t="s">
        <v>326</v>
      </c>
      <c r="C12" s="3">
        <v>45923</v>
      </c>
      <c r="D12" s="1" t="s">
        <v>327</v>
      </c>
      <c r="E12" s="1" t="s">
        <v>328</v>
      </c>
      <c r="F12" s="1" t="s">
        <v>329</v>
      </c>
      <c r="G12" s="1"/>
      <c r="H12" s="1"/>
      <c r="I12" s="1"/>
      <c r="J12" s="1"/>
      <c r="K12" s="1"/>
      <c r="L12" s="1"/>
    </row>
    <row r="13">
      <c r="B13" s="1" t="s">
        <v>330</v>
      </c>
      <c r="C13" s="3">
        <v>45933</v>
      </c>
      <c r="D13" s="1" t="s">
        <v>327</v>
      </c>
      <c r="E13" s="1" t="s">
        <v>331</v>
      </c>
      <c r="F13" s="1" t="s">
        <v>332</v>
      </c>
      <c r="G13" s="1"/>
      <c r="H13" s="1"/>
      <c r="I13" s="1"/>
      <c r="J13" s="1"/>
      <c r="K13" s="1"/>
      <c r="L13" s="1"/>
    </row>
    <row r="14">
      <c r="B14" s="1" t="s">
        <v>333</v>
      </c>
      <c r="C14" s="3">
        <v>46008</v>
      </c>
      <c r="D14" s="1" t="s">
        <v>327</v>
      </c>
      <c r="E14" s="1" t="s">
        <v>334</v>
      </c>
      <c r="F14" s="1" t="s">
        <v>335</v>
      </c>
      <c r="G14" s="1"/>
      <c r="H14" s="1"/>
      <c r="I14" s="1"/>
      <c r="J14" s="1"/>
      <c r="K14" s="1"/>
      <c r="L14" s="1"/>
    </row>
    <row r="15">
      <c r="B15" s="1" t="s">
        <v>336</v>
      </c>
      <c r="C15" s="3">
        <v>46009</v>
      </c>
      <c r="D15" s="1" t="s">
        <v>327</v>
      </c>
      <c r="E15" s="1" t="s">
        <v>337</v>
      </c>
      <c r="F15" s="1" t="s">
        <v>338</v>
      </c>
      <c r="G15" s="1"/>
      <c r="H15" s="1"/>
      <c r="I15" s="1"/>
      <c r="J15" s="1"/>
      <c r="K15" s="1"/>
      <c r="L15" s="1"/>
    </row>
    <row r="16">
      <c r="B16" s="1" t="s">
        <v>339</v>
      </c>
      <c r="C16" s="3">
        <v>46099</v>
      </c>
      <c r="D16" s="1" t="s">
        <v>327</v>
      </c>
      <c r="E16" s="1" t="s">
        <v>340</v>
      </c>
      <c r="F16" s="1" t="s">
        <v>341</v>
      </c>
      <c r="G16" s="1"/>
      <c r="H16" s="1"/>
      <c r="I16" s="1"/>
      <c r="J16" s="1"/>
      <c r="K16" s="1"/>
      <c r="L16" s="1"/>
    </row>
    <row r="17">
      <c r="B17" s="1" t="s">
        <v>342</v>
      </c>
      <c r="C17" s="3">
        <v>46100</v>
      </c>
      <c r="D17" s="1" t="s">
        <v>327</v>
      </c>
      <c r="E17" s="1" t="s">
        <v>343</v>
      </c>
      <c r="F17" s="1" t="s">
        <v>344</v>
      </c>
      <c r="G17" s="1"/>
      <c r="H17" s="1"/>
      <c r="I17" s="1"/>
      <c r="J17" s="1"/>
      <c r="K17" s="1"/>
      <c r="L17" s="1"/>
    </row>
    <row r="18">
      <c r="B18" s="1" t="s">
        <v>345</v>
      </c>
      <c r="C18" s="3">
        <v>46197</v>
      </c>
      <c r="D18" s="1" t="s">
        <v>327</v>
      </c>
      <c r="E18" s="1" t="s">
        <v>346</v>
      </c>
      <c r="F18" s="1" t="s">
        <v>347</v>
      </c>
      <c r="G18" s="1"/>
      <c r="H18" s="1"/>
      <c r="I18" s="1"/>
      <c r="J18" s="1"/>
      <c r="K18" s="1"/>
      <c r="L18" s="1"/>
    </row>
    <row r="19">
      <c r="B19" s="1" t="s">
        <v>348</v>
      </c>
      <c r="C19" s="3">
        <v>46198</v>
      </c>
      <c r="D19" s="1" t="s">
        <v>327</v>
      </c>
      <c r="E19" s="1" t="s">
        <v>349</v>
      </c>
      <c r="F19" s="1" t="s">
        <v>350</v>
      </c>
      <c r="G19" s="1"/>
      <c r="H19" s="1"/>
      <c r="I19" s="1"/>
      <c r="J19" s="1"/>
      <c r="K19" s="1"/>
      <c r="L19" s="1"/>
    </row>
    <row r="20">
      <c r="B20" s="1" t="s">
        <v>351</v>
      </c>
      <c r="C20" s="3">
        <v>45933</v>
      </c>
      <c r="D20" s="1" t="s">
        <v>327</v>
      </c>
      <c r="E20" s="1" t="s">
        <v>352</v>
      </c>
      <c r="F20" s="1" t="s">
        <v>353</v>
      </c>
      <c r="G20" s="1"/>
      <c r="H20" s="1"/>
      <c r="I20" s="1"/>
      <c r="J20" s="1"/>
      <c r="K20" s="1"/>
      <c r="L20" s="1"/>
    </row>
    <row r="21">
      <c r="B21" s="1" t="s">
        <v>354</v>
      </c>
      <c r="C21" s="3">
        <v>45933</v>
      </c>
      <c r="D21" s="1" t="s">
        <v>327</v>
      </c>
      <c r="E21" s="1" t="s">
        <v>355</v>
      </c>
      <c r="F21" s="1" t="s">
        <v>356</v>
      </c>
      <c r="G21" s="1"/>
      <c r="H21" s="1"/>
      <c r="I21" s="1"/>
      <c r="J21" s="1"/>
      <c r="K21" s="1"/>
      <c r="L21" s="1"/>
    </row>
    <row r="22">
      <c r="B22" s="1" t="s">
        <v>357</v>
      </c>
      <c r="C22" s="3">
        <v>46272</v>
      </c>
      <c r="D22" s="1" t="s">
        <v>358</v>
      </c>
      <c r="E22" s="1" t="s">
        <v>359</v>
      </c>
      <c r="F22" s="1" t="s">
        <v>360</v>
      </c>
      <c r="G22" s="1"/>
      <c r="H22" s="1"/>
      <c r="I22" s="1"/>
      <c r="J22" s="1"/>
      <c r="K22" s="1"/>
      <c r="L22" s="1"/>
    </row>
    <row r="23">
      <c r="B23" s="1" t="s">
        <v>361</v>
      </c>
      <c r="C23" s="3">
        <v>46232</v>
      </c>
      <c r="D23" s="1" t="s">
        <v>362</v>
      </c>
      <c r="E23" s="1" t="s">
        <v>363</v>
      </c>
      <c r="F23" s="1" t="s">
        <v>364</v>
      </c>
      <c r="G23" s="1"/>
      <c r="H23" s="1"/>
      <c r="I23" s="1"/>
      <c r="J23" s="1"/>
      <c r="K23" s="1"/>
      <c r="L23" s="1"/>
    </row>
    <row r="24">
      <c r="B24" s="1" t="s">
        <v>365</v>
      </c>
      <c r="C24" s="3">
        <v>46289</v>
      </c>
      <c r="D24" s="1" t="s">
        <v>366</v>
      </c>
      <c r="E24" s="1" t="s">
        <v>367</v>
      </c>
      <c r="F24" s="1" t="s">
        <v>368</v>
      </c>
      <c r="G24" s="1"/>
      <c r="H24" s="1"/>
      <c r="I24" s="1"/>
      <c r="J24" s="1"/>
      <c r="K24" s="1"/>
      <c r="L24" s="1"/>
    </row>
    <row r="25">
      <c r="B25" s="1" t="s">
        <v>369</v>
      </c>
      <c r="C25" s="3">
        <v>46289</v>
      </c>
      <c r="D25" s="1" t="s">
        <v>370</v>
      </c>
      <c r="E25" s="1" t="s">
        <v>371</v>
      </c>
      <c r="F25" s="1" t="s">
        <v>372</v>
      </c>
      <c r="G25" s="1"/>
      <c r="H25" s="1"/>
      <c r="I25" s="1"/>
      <c r="J25" s="1"/>
      <c r="K25" s="1"/>
      <c r="L25" s="1"/>
    </row>
    <row r="26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>
      <c r="B27" s="31" t="s">
        <v>373</v>
      </c>
      <c r="C27" s="31"/>
      <c r="D27" s="31"/>
      <c r="E27" s="31"/>
      <c r="F27" s="31"/>
      <c r="G27" s="1"/>
      <c r="H27" s="1"/>
      <c r="I27" s="1"/>
      <c r="J27" s="1"/>
      <c r="K27" s="1"/>
      <c r="L27" s="1"/>
    </row>
    <row r="28">
      <c r="B28" s="1" t="s">
        <v>374</v>
      </c>
      <c r="C28" s="1" t="s">
        <v>375</v>
      </c>
      <c r="D28" s="1"/>
      <c r="E28" s="1"/>
      <c r="F28" s="1"/>
      <c r="G28" s="1"/>
      <c r="H28" s="1"/>
      <c r="I28" s="1"/>
      <c r="J28" s="1"/>
      <c r="K28" s="1"/>
      <c r="L28" s="1"/>
    </row>
    <row r="29">
      <c r="B29" s="1" t="s">
        <v>376</v>
      </c>
      <c r="C29" s="1" t="s">
        <v>377</v>
      </c>
      <c r="D29" s="1"/>
      <c r="E29" s="1"/>
      <c r="F29" s="1"/>
      <c r="G29" s="1"/>
      <c r="H29" s="1"/>
      <c r="I29" s="1"/>
      <c r="J29" s="1"/>
      <c r="K29" s="1"/>
      <c r="L29" s="1"/>
    </row>
    <row r="30">
      <c r="B30" s="1" t="s">
        <v>378</v>
      </c>
      <c r="C30" s="48">
        <v>46289</v>
      </c>
      <c r="D30" s="1"/>
      <c r="E30" s="1"/>
      <c r="F30" s="1"/>
      <c r="G30" s="1"/>
      <c r="H30" s="1"/>
      <c r="I30" s="1"/>
      <c r="J30" s="1"/>
      <c r="K30" s="1"/>
      <c r="L30" s="1"/>
    </row>
    <row r="31">
      <c r="B31" s="1" t="s">
        <v>379</v>
      </c>
      <c r="C31" s="1" t="s">
        <v>25</v>
      </c>
      <c r="D31" s="1"/>
      <c r="E31" s="1"/>
      <c r="F31" s="1"/>
      <c r="G31" s="1"/>
      <c r="H31" s="1"/>
      <c r="I31" s="1"/>
      <c r="J31" s="1"/>
      <c r="K31" s="1"/>
      <c r="L31" s="1"/>
    </row>
    <row r="32">
      <c r="B32" s="1" t="s">
        <v>380</v>
      </c>
      <c r="C32" s="1" t="s">
        <v>381</v>
      </c>
      <c r="D32" s="1"/>
      <c r="E32" s="1"/>
      <c r="F32" s="1"/>
      <c r="G32" s="1"/>
      <c r="H32" s="1"/>
      <c r="I32" s="1"/>
      <c r="J32" s="1"/>
      <c r="K32" s="1"/>
      <c r="L32" s="1"/>
    </row>
    <row r="33">
      <c r="B33" s="1" t="s">
        <v>382</v>
      </c>
      <c r="C33" s="1" t="s">
        <v>383</v>
      </c>
      <c r="D33" s="1"/>
      <c r="E33" s="1"/>
      <c r="F33" s="1"/>
      <c r="G33" s="1"/>
      <c r="H33" s="1"/>
      <c r="I33" s="1"/>
      <c r="J33" s="1"/>
      <c r="K33" s="1"/>
      <c r="L33" s="1"/>
    </row>
    <row r="34">
      <c r="B34" s="1" t="s">
        <v>384</v>
      </c>
      <c r="C34" s="1" t="s">
        <v>385</v>
      </c>
      <c r="D34" s="1"/>
      <c r="E34" s="1"/>
      <c r="F34" s="1"/>
      <c r="G34" s="1"/>
      <c r="H34" s="1"/>
      <c r="I34" s="1"/>
      <c r="J34" s="1"/>
      <c r="K34" s="1"/>
      <c r="L34" s="1"/>
    </row>
    <row r="35">
      <c r="B35" s="1" t="s">
        <v>386</v>
      </c>
      <c r="C35" s="1" t="s">
        <v>387</v>
      </c>
      <c r="D35" s="1"/>
      <c r="E35" s="1"/>
      <c r="F35" s="1"/>
      <c r="G35" s="1"/>
      <c r="H35" s="1"/>
      <c r="I35" s="1"/>
      <c r="J35" s="1"/>
      <c r="K35" s="1"/>
      <c r="L35" s="1"/>
    </row>
    <row r="36">
      <c r="B36" s="1" t="s">
        <v>388</v>
      </c>
      <c r="C36" s="1" t="s">
        <v>389</v>
      </c>
      <c r="D36" s="1"/>
      <c r="E36" s="1"/>
      <c r="F36" s="1"/>
      <c r="G36" s="1"/>
      <c r="H36" s="1"/>
      <c r="I36" s="1"/>
      <c r="J36" s="1"/>
      <c r="K36" s="1"/>
      <c r="L36" s="1"/>
    </row>
    <row r="37">
      <c r="B37" s="1" t="s">
        <v>390</v>
      </c>
      <c r="C37" s="1" t="s">
        <v>391</v>
      </c>
      <c r="D37" s="1"/>
      <c r="E37" s="1"/>
      <c r="F37" s="1"/>
      <c r="G37" s="1"/>
      <c r="H37" s="1"/>
      <c r="I37" s="1"/>
      <c r="J37" s="1"/>
      <c r="K37" s="1"/>
      <c r="L37" s="1"/>
    </row>
    <row r="38">
      <c r="B38" s="1" t="s">
        <v>392</v>
      </c>
      <c r="C38" s="1" t="s">
        <v>393</v>
      </c>
      <c r="D38" s="1"/>
      <c r="E38" s="1"/>
      <c r="F38" s="1"/>
      <c r="G38" s="1"/>
      <c r="H38" s="1"/>
      <c r="I38" s="1"/>
      <c r="J38" s="1"/>
      <c r="K38" s="1"/>
      <c r="L38" s="1"/>
    </row>
    <row r="39">
      <c r="B39" s="1" t="s">
        <v>394</v>
      </c>
      <c r="C39" s="1" t="s">
        <v>395</v>
      </c>
      <c r="D39" s="1"/>
      <c r="E39" s="1"/>
      <c r="F39" s="1"/>
      <c r="G39" s="1"/>
      <c r="H39" s="1"/>
      <c r="I39" s="1"/>
      <c r="J39" s="1"/>
      <c r="K39" s="1"/>
      <c r="L39" s="1"/>
    </row>
    <row r="40">
      <c r="B40" s="1" t="s">
        <v>396</v>
      </c>
      <c r="C40" s="1" t="s">
        <v>397</v>
      </c>
      <c r="D40" s="1"/>
      <c r="E40" s="1"/>
      <c r="F40" s="1"/>
      <c r="G40" s="1"/>
      <c r="H40" s="1"/>
      <c r="I40" s="1"/>
      <c r="J40" s="1"/>
      <c r="K40" s="1"/>
      <c r="L40" s="1"/>
    </row>
    <row r="4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dimension ref="B2:Z95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10" customWidth="1"/>
    <col min="2" max="2" width="34" customWidth="1"/>
    <col min="3" max="8" width="14" customWidth="1"/>
    <col min="9" max="9" width="3" customWidth="1"/>
    <col min="10" max="10" width="37" customWidth="1"/>
    <col min="11" max="11" width="33" customWidth="1"/>
    <col min="12" max="13" width="20" customWidth="1"/>
    <col min="14" max="14" width="56" customWidth="1"/>
    <col min="15" max="22" width="16" customWidth="1"/>
  </cols>
  <sheetData>
    <row r="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B3" s="1" t="s">
        <v>398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5" t="s">
        <v>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B6" s="10" t="s">
        <v>10</v>
      </c>
      <c r="C6" s="2">
        <v>45897</v>
      </c>
      <c r="D6" s="2">
        <v>45897</v>
      </c>
      <c r="E6" s="2">
        <v>45988</v>
      </c>
      <c r="F6" s="2">
        <v>46079</v>
      </c>
      <c r="G6" s="2">
        <v>46170</v>
      </c>
      <c r="H6" s="29">
        <v>46268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B7" s="10" t="s">
        <v>11</v>
      </c>
      <c r="C7" s="10">
        <v>91</v>
      </c>
      <c r="D7" s="10">
        <v>364</v>
      </c>
      <c r="E7" s="10">
        <v>91</v>
      </c>
      <c r="F7" s="10">
        <v>91</v>
      </c>
      <c r="G7" s="10">
        <v>91</v>
      </c>
      <c r="H7" s="25">
        <v>98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B9" s="1" t="s">
        <v>10</v>
      </c>
      <c r="C9" s="1" t="s">
        <v>399</v>
      </c>
      <c r="D9" s="1" t="s">
        <v>400</v>
      </c>
      <c r="E9" s="1" t="s">
        <v>401</v>
      </c>
      <c r="F9" s="1" t="s">
        <v>402</v>
      </c>
      <c r="G9" s="1" t="s">
        <v>403</v>
      </c>
      <c r="H9" s="1" t="s">
        <v>404</v>
      </c>
      <c r="I9" s="1" t="s">
        <v>405</v>
      </c>
      <c r="J9" s="1"/>
      <c r="K9" s="1" t="s">
        <v>406</v>
      </c>
      <c r="L9" s="1" t="s">
        <v>407</v>
      </c>
      <c r="M9" s="1"/>
      <c r="N9" s="1" t="s">
        <v>34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B10" s="3">
        <v>45716</v>
      </c>
      <c r="C10" s="48">
        <v>1.42</v>
      </c>
      <c r="D10" s="48">
        <v>1.56</v>
      </c>
      <c r="E10" s="48">
        <v>1.27</v>
      </c>
      <c r="F10" s="48">
        <v>1.41</v>
      </c>
      <c r="G10" s="48">
        <v>7889.25</v>
      </c>
      <c r="H10" s="48">
        <v>8053</v>
      </c>
      <c r="I10" s="3">
        <v>45736</v>
      </c>
      <c r="J10" s="1"/>
      <c r="K10" s="1" t="s">
        <v>408</v>
      </c>
      <c r="L10" s="50">
        <v>0.015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B11" s="3">
        <v>45808</v>
      </c>
      <c r="C11" s="48">
        <v>1.59</v>
      </c>
      <c r="D11" s="48">
        <v>1.91</v>
      </c>
      <c r="E11" s="48">
        <v>1.45</v>
      </c>
      <c r="F11" s="48">
        <v>1.68</v>
      </c>
      <c r="G11" s="48">
        <v>8826.49</v>
      </c>
      <c r="H11" s="48">
        <v>9301</v>
      </c>
      <c r="I11" s="3">
        <v>45833</v>
      </c>
      <c r="J11" s="1"/>
      <c r="K11" s="1" t="s">
        <v>409</v>
      </c>
      <c r="L11" s="50">
        <v>0.149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B12" s="3">
        <v>45900</v>
      </c>
      <c r="C12" s="48">
        <v>2.86</v>
      </c>
      <c r="D12" s="48">
        <v>3.03</v>
      </c>
      <c r="E12" s="48">
        <v>2.69</v>
      </c>
      <c r="F12" s="48">
        <v>2.83</v>
      </c>
      <c r="G12" s="48">
        <v>11155.18</v>
      </c>
      <c r="H12" s="48">
        <v>11315</v>
      </c>
      <c r="I12" s="3">
        <v>45923</v>
      </c>
      <c r="J12" s="1"/>
      <c r="K12" s="1" t="s">
        <v>410</v>
      </c>
      <c r="L12" s="50">
        <v>0.005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B13" s="3">
        <v>45991</v>
      </c>
      <c r="C13" s="48">
        <v>3.96</v>
      </c>
      <c r="D13" s="48">
        <v>4.78</v>
      </c>
      <c r="E13" s="48">
        <v>3.87</v>
      </c>
      <c r="F13" s="48">
        <v>4.6</v>
      </c>
      <c r="G13" s="48">
        <v>12882.26</v>
      </c>
      <c r="H13" s="48">
        <v>13643</v>
      </c>
      <c r="I13" s="3">
        <v>46008</v>
      </c>
      <c r="J13" s="1"/>
      <c r="K13" s="1" t="s">
        <v>411</v>
      </c>
      <c r="L13" s="50">
        <v>0.157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B14" s="3">
        <v>46081</v>
      </c>
      <c r="C14" s="48">
        <v>9.16</v>
      </c>
      <c r="D14" s="48">
        <v>12.2</v>
      </c>
      <c r="E14" s="48">
        <v>9.39</v>
      </c>
      <c r="F14" s="48">
        <v>12.07</v>
      </c>
      <c r="G14" s="48">
        <v>19755.79</v>
      </c>
      <c r="H14" s="48">
        <v>23860</v>
      </c>
      <c r="I14" s="3">
        <v>46099</v>
      </c>
      <c r="J14" s="1"/>
      <c r="K14" s="1" t="s">
        <v>412</v>
      </c>
      <c r="L14" s="50">
        <v>-0.01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B15" s="3">
        <v>46173</v>
      </c>
      <c r="C15" s="48">
        <v>20.69</v>
      </c>
      <c r="D15" s="48">
        <v>25.11</v>
      </c>
      <c r="E15" s="48">
        <v>21.02</v>
      </c>
      <c r="F15" s="48">
        <v>24.67</v>
      </c>
      <c r="G15" s="48">
        <v>35819.81</v>
      </c>
      <c r="H15" s="48">
        <v>41456</v>
      </c>
      <c r="I15" s="3">
        <v>46197</v>
      </c>
      <c r="J15" s="1"/>
      <c r="K15" s="1" t="s">
        <v>413</v>
      </c>
      <c r="L15" s="50">
        <v>0.144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B16" s="1"/>
      <c r="C16" s="1"/>
      <c r="D16" s="1"/>
      <c r="E16" s="1"/>
      <c r="F16" s="1"/>
      <c r="G16" s="1"/>
      <c r="H16" s="1"/>
      <c r="I16" s="1"/>
      <c r="J16" s="1"/>
      <c r="K16" s="1" t="s">
        <v>414</v>
      </c>
      <c r="L16" s="50">
        <v>-0.005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B17" s="1"/>
      <c r="C17" s="1"/>
      <c r="D17" s="1"/>
      <c r="E17" s="1"/>
      <c r="F17" s="1"/>
      <c r="G17" s="1"/>
      <c r="H17" s="1"/>
      <c r="I17" s="1"/>
      <c r="J17" s="1"/>
      <c r="K17" s="1" t="s">
        <v>415</v>
      </c>
      <c r="L17" s="50">
        <v>0.147</v>
      </c>
      <c r="M17" s="1"/>
      <c r="N17" s="1" t="s">
        <v>416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B18" s="1"/>
      <c r="C18" s="1"/>
      <c r="D18" s="1"/>
      <c r="E18" s="1"/>
      <c r="F18" s="1"/>
      <c r="G18" s="1"/>
      <c r="H18" s="1"/>
      <c r="I18" s="1"/>
      <c r="J18" s="1"/>
      <c r="K18" s="1" t="s">
        <v>417</v>
      </c>
      <c r="L18" s="50">
        <v>0.2</v>
      </c>
      <c r="M18" s="1"/>
      <c r="N18" s="1" t="s">
        <v>418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B19" s="1"/>
      <c r="C19" s="1"/>
      <c r="D19" s="1"/>
      <c r="E19" s="1"/>
      <c r="F19" s="1"/>
      <c r="G19" s="1"/>
      <c r="H19" s="1"/>
      <c r="I19" s="1"/>
      <c r="J19" s="1"/>
      <c r="K19" s="1" t="s">
        <v>419</v>
      </c>
      <c r="L19" s="50">
        <v>0.861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B20" s="1" t="s">
        <v>420</v>
      </c>
      <c r="C20" s="1" t="s">
        <v>15</v>
      </c>
      <c r="D20" s="1"/>
      <c r="E20" s="1"/>
      <c r="F20" s="1"/>
      <c r="G20" s="1"/>
      <c r="H20" s="1"/>
      <c r="I20" s="1"/>
      <c r="J20" s="1"/>
      <c r="K20" s="1" t="s">
        <v>421</v>
      </c>
      <c r="L20" s="48">
        <v>1390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B21" s="1" t="s">
        <v>422</v>
      </c>
      <c r="C21" s="1" t="s">
        <v>0</v>
      </c>
      <c r="D21" s="1"/>
      <c r="E21" s="1"/>
      <c r="F21" s="1"/>
      <c r="G21" s="1"/>
      <c r="H21" s="1"/>
      <c r="I21" s="1"/>
      <c r="J21" s="1"/>
      <c r="K21" s="1" t="s">
        <v>423</v>
      </c>
      <c r="L21" s="48">
        <v>440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B22" s="1" t="s">
        <v>424</v>
      </c>
      <c r="C22" s="1" t="s">
        <v>425</v>
      </c>
      <c r="D22" s="1"/>
      <c r="E22" s="1"/>
      <c r="F22" s="1"/>
      <c r="G22" s="1"/>
      <c r="H22" s="1"/>
      <c r="I22" s="1"/>
      <c r="J22" s="1"/>
      <c r="K22" s="1" t="s">
        <v>426</v>
      </c>
      <c r="L22" s="48">
        <v>30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B23" s="1" t="s">
        <v>427</v>
      </c>
      <c r="C23" s="48">
        <v>289030</v>
      </c>
      <c r="D23" s="1"/>
      <c r="E23" s="1"/>
      <c r="F23" s="1"/>
      <c r="G23" s="1"/>
      <c r="H23" s="1"/>
      <c r="I23" s="1"/>
      <c r="J23" s="1"/>
      <c r="K23" s="1" t="s">
        <v>163</v>
      </c>
      <c r="L23" s="48">
        <v>225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B24" s="1" t="s">
        <v>428</v>
      </c>
      <c r="C24" s="48">
        <v>51</v>
      </c>
      <c r="D24" s="1"/>
      <c r="E24" s="1"/>
      <c r="F24" s="1"/>
      <c r="G24" s="1"/>
      <c r="H24" s="1"/>
      <c r="I24" s="1"/>
      <c r="J24" s="1"/>
      <c r="K24" s="1" t="s">
        <v>429</v>
      </c>
      <c r="L24" s="48">
        <v>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B25" s="1" t="s">
        <v>430</v>
      </c>
      <c r="C25" s="1" t="s">
        <v>431</v>
      </c>
      <c r="D25" s="1"/>
      <c r="E25" s="1"/>
      <c r="F25" s="1"/>
      <c r="G25" s="1"/>
      <c r="H25" s="1"/>
      <c r="I25" s="1"/>
      <c r="J25" s="1"/>
      <c r="K25" s="1" t="s">
        <v>432</v>
      </c>
      <c r="L25" s="48">
        <v>-115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B26" s="1" t="s">
        <v>433</v>
      </c>
      <c r="C26" s="1" t="s">
        <v>434</v>
      </c>
      <c r="D26" s="1"/>
      <c r="E26" s="1"/>
      <c r="F26" s="1"/>
      <c r="G26" s="1"/>
      <c r="H26" s="1"/>
      <c r="I26" s="1"/>
      <c r="J26" s="1"/>
      <c r="K26" s="1" t="s">
        <v>435</v>
      </c>
      <c r="L26" s="48">
        <v>5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B27" s="1" t="s">
        <v>436</v>
      </c>
      <c r="C27" s="3">
        <v>46265</v>
      </c>
      <c r="D27" s="1"/>
      <c r="E27" s="1"/>
      <c r="F27" s="1"/>
      <c r="G27" s="1"/>
      <c r="H27" s="1"/>
      <c r="I27" s="1"/>
      <c r="J27" s="1"/>
      <c r="K27" s="1" t="s">
        <v>437</v>
      </c>
      <c r="L27" s="50">
        <v>0.15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B28" s="1" t="s">
        <v>438</v>
      </c>
      <c r="C28" s="3">
        <v>46295</v>
      </c>
      <c r="D28" s="1"/>
      <c r="E28" s="1"/>
      <c r="F28" s="1"/>
      <c r="G28" s="1"/>
      <c r="H28" s="1"/>
      <c r="I28" s="1"/>
      <c r="J28" s="1"/>
      <c r="K28" s="1" t="s">
        <v>439</v>
      </c>
      <c r="L28" s="48">
        <v>355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B29" s="1" t="s">
        <v>440</v>
      </c>
      <c r="C29" s="48">
        <v>31.6</v>
      </c>
      <c r="D29" s="1"/>
      <c r="E29" s="1"/>
      <c r="F29" s="1"/>
      <c r="G29" s="1"/>
      <c r="H29" s="1"/>
      <c r="I29" s="1"/>
      <c r="J29" s="1"/>
      <c r="K29" s="1" t="s">
        <v>441</v>
      </c>
      <c r="L29" s="48">
        <v>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B30" s="1" t="s">
        <v>442</v>
      </c>
      <c r="C30" s="48">
        <v>31.2</v>
      </c>
      <c r="D30" s="1"/>
      <c r="E30" s="1"/>
      <c r="F30" s="1"/>
      <c r="G30" s="1"/>
      <c r="H30" s="1"/>
      <c r="I30" s="1"/>
      <c r="J30" s="1"/>
      <c r="K30" s="1" t="s">
        <v>443</v>
      </c>
      <c r="L30" s="48">
        <v>25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B31" s="1" t="s">
        <v>444</v>
      </c>
      <c r="C31" s="48">
        <v>37.44</v>
      </c>
      <c r="D31" s="1"/>
      <c r="E31" s="1"/>
      <c r="F31" s="1"/>
      <c r="G31" s="1"/>
      <c r="H31" s="1"/>
      <c r="I31" s="1"/>
      <c r="J31" s="1"/>
      <c r="K31" s="1" t="s">
        <v>445</v>
      </c>
      <c r="L31" s="48">
        <v>-80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B32" s="1" t="s">
        <v>446</v>
      </c>
      <c r="C32" s="48">
        <v>28.04</v>
      </c>
      <c r="D32" s="1"/>
      <c r="E32" s="1"/>
      <c r="F32" s="1"/>
      <c r="G32" s="1"/>
      <c r="H32" s="1"/>
      <c r="I32" s="1"/>
      <c r="J32" s="1"/>
      <c r="K32" s="1" t="s">
        <v>447</v>
      </c>
      <c r="L32" s="48">
        <v>1132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B33" s="1" t="s">
        <v>448</v>
      </c>
      <c r="C33" s="48">
        <v>1.41</v>
      </c>
      <c r="D33" s="1"/>
      <c r="E33" s="1"/>
      <c r="F33" s="1"/>
      <c r="G33" s="1"/>
      <c r="H33" s="1"/>
      <c r="I33" s="1"/>
      <c r="J33" s="1"/>
      <c r="K33" s="1" t="s">
        <v>449</v>
      </c>
      <c r="L33" s="48">
        <v>17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B34" s="1" t="s">
        <v>450</v>
      </c>
      <c r="C34" s="48">
        <v>33</v>
      </c>
      <c r="D34" s="1"/>
      <c r="E34" s="1"/>
      <c r="F34" s="1"/>
      <c r="G34" s="1"/>
      <c r="H34" s="1"/>
      <c r="I34" s="1"/>
      <c r="J34" s="1"/>
      <c r="K34" s="1" t="s">
        <v>451</v>
      </c>
      <c r="L34" s="48">
        <v>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B35" s="1" t="s">
        <v>452</v>
      </c>
      <c r="C35" s="1"/>
      <c r="D35" s="1"/>
      <c r="E35" s="1"/>
      <c r="F35" s="1"/>
      <c r="G35" s="1"/>
      <c r="H35" s="1"/>
      <c r="I35" s="1"/>
      <c r="J35" s="1"/>
      <c r="K35" s="1"/>
      <c r="L35" s="48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B36" s="1" t="s">
        <v>453</v>
      </c>
      <c r="C36" s="48">
        <v>30</v>
      </c>
      <c r="D36" s="1"/>
      <c r="E36" s="1"/>
      <c r="F36" s="1"/>
      <c r="G36" s="1"/>
      <c r="H36" s="1"/>
      <c r="I36" s="1"/>
      <c r="J36" s="1"/>
      <c r="K36" s="1"/>
      <c r="L36" s="48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B37" s="1" t="s">
        <v>454</v>
      </c>
      <c r="C37" s="48">
        <v>32</v>
      </c>
      <c r="D37" s="1"/>
      <c r="E37" s="1"/>
      <c r="F37" s="1"/>
      <c r="G37" s="1"/>
      <c r="H37" s="1"/>
      <c r="I37" s="1"/>
      <c r="J37" s="1"/>
      <c r="K37" s="1"/>
      <c r="L37" s="48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B38" s="1" t="s">
        <v>455</v>
      </c>
      <c r="C38" s="48">
        <v>31.58</v>
      </c>
      <c r="D38" s="1"/>
      <c r="E38" s="1"/>
      <c r="F38" s="1"/>
      <c r="G38" s="1"/>
      <c r="H38" s="1"/>
      <c r="I38" s="1"/>
      <c r="J38" s="1"/>
      <c r="K38" s="1" t="s">
        <v>456</v>
      </c>
      <c r="L38" s="48" t="s">
        <v>407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B39" s="1" t="s">
        <v>457</v>
      </c>
      <c r="C39" s="48">
        <v>31.01</v>
      </c>
      <c r="D39" s="1"/>
      <c r="E39" s="1"/>
      <c r="F39" s="1"/>
      <c r="G39" s="1"/>
      <c r="H39" s="1"/>
      <c r="I39" s="1"/>
      <c r="J39" s="1"/>
      <c r="K39" s="1" t="s">
        <v>230</v>
      </c>
      <c r="L39" s="48">
        <v>2500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B40" s="1" t="s">
        <v>458</v>
      </c>
      <c r="C40" s="48">
        <v>37.7</v>
      </c>
      <c r="D40" s="1"/>
      <c r="E40" s="1"/>
      <c r="F40" s="1"/>
      <c r="G40" s="1"/>
      <c r="H40" s="1"/>
      <c r="I40" s="1"/>
      <c r="J40" s="1"/>
      <c r="K40" s="1" t="s">
        <v>459</v>
      </c>
      <c r="L40" s="48">
        <v>1500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B41" s="1" t="s">
        <v>460</v>
      </c>
      <c r="C41" s="48">
        <v>27.99</v>
      </c>
      <c r="D41" s="1"/>
      <c r="E41" s="1"/>
      <c r="F41" s="1"/>
      <c r="G41" s="1"/>
      <c r="H41" s="1"/>
      <c r="I41" s="1"/>
      <c r="J41" s="1"/>
      <c r="K41" s="1" t="s">
        <v>461</v>
      </c>
      <c r="L41" s="48">
        <v>-9600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B42" s="1" t="s">
        <v>462</v>
      </c>
      <c r="C42" s="48">
        <v>2.03</v>
      </c>
      <c r="D42" s="1"/>
      <c r="E42" s="1"/>
      <c r="F42" s="1"/>
      <c r="G42" s="1"/>
      <c r="H42" s="1"/>
      <c r="I42" s="1"/>
      <c r="J42" s="1"/>
      <c r="K42" s="1" t="s">
        <v>463</v>
      </c>
      <c r="L42" s="48">
        <v>-600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B43" s="1" t="s">
        <v>464</v>
      </c>
      <c r="C43" s="48">
        <v>18</v>
      </c>
      <c r="D43" s="1"/>
      <c r="E43" s="1"/>
      <c r="F43" s="1"/>
      <c r="G43" s="1"/>
      <c r="H43" s="1"/>
      <c r="I43" s="1"/>
      <c r="J43" s="1"/>
      <c r="K43" s="1" t="s">
        <v>465</v>
      </c>
      <c r="L43" s="48">
        <v>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B44" s="1" t="s">
        <v>466</v>
      </c>
      <c r="C44" s="48">
        <v>29.73</v>
      </c>
      <c r="D44" s="1"/>
      <c r="E44" s="1"/>
      <c r="F44" s="1"/>
      <c r="G44" s="1"/>
      <c r="H44" s="1"/>
      <c r="I44" s="1"/>
      <c r="J44" s="1"/>
      <c r="K44" s="1" t="s">
        <v>247</v>
      </c>
      <c r="L44" s="48">
        <v>-170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B45" s="1" t="s">
        <v>467</v>
      </c>
      <c r="C45" s="48">
        <v>31.73</v>
      </c>
      <c r="D45" s="1"/>
      <c r="E45" s="1"/>
      <c r="F45" s="1"/>
      <c r="G45" s="1"/>
      <c r="H45" s="1"/>
      <c r="I45" s="1"/>
      <c r="J45" s="1"/>
      <c r="K45" s="1"/>
      <c r="L45" s="48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B46" s="1" t="s">
        <v>468</v>
      </c>
      <c r="C46" s="48">
        <v>51250.26</v>
      </c>
      <c r="D46" s="1"/>
      <c r="E46" s="1"/>
      <c r="F46" s="1"/>
      <c r="G46" s="1"/>
      <c r="H46" s="1"/>
      <c r="I46" s="1"/>
      <c r="J46" s="1"/>
      <c r="K46" s="1" t="s">
        <v>469</v>
      </c>
      <c r="L46" s="48">
        <v>4000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B47" s="1" t="s">
        <v>470</v>
      </c>
      <c r="C47" s="48">
        <v>50792</v>
      </c>
      <c r="D47" s="1"/>
      <c r="E47" s="1"/>
      <c r="F47" s="1"/>
      <c r="G47" s="1"/>
      <c r="H47" s="1"/>
      <c r="I47" s="1"/>
      <c r="J47" s="1"/>
      <c r="K47" s="1" t="s">
        <v>471</v>
      </c>
      <c r="L47" s="55">
        <v>0.57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B48" s="1" t="s">
        <v>472</v>
      </c>
      <c r="C48" s="48">
        <v>59805</v>
      </c>
      <c r="D48" s="1"/>
      <c r="E48" s="1"/>
      <c r="F48" s="1"/>
      <c r="G48" s="1"/>
      <c r="H48" s="1"/>
      <c r="I48" s="1"/>
      <c r="J48" s="1"/>
      <c r="K48" s="1" t="s">
        <v>473</v>
      </c>
      <c r="L48" s="50">
        <v>0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B49" s="1" t="s">
        <v>474</v>
      </c>
      <c r="C49" s="48">
        <v>46911</v>
      </c>
      <c r="D49" s="1"/>
      <c r="E49" s="1"/>
      <c r="F49" s="1"/>
      <c r="G49" s="1"/>
      <c r="H49" s="1"/>
      <c r="I49" s="1"/>
      <c r="J49" s="1"/>
      <c r="K49" s="1" t="s">
        <v>475</v>
      </c>
      <c r="L49" s="50">
        <v>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B50" s="1" t="s">
        <v>476</v>
      </c>
      <c r="C50" s="48">
        <v>2044.89</v>
      </c>
      <c r="D50" s="1"/>
      <c r="E50" s="1"/>
      <c r="F50" s="1"/>
      <c r="G50" s="1"/>
      <c r="H50" s="1"/>
      <c r="I50" s="1"/>
      <c r="J50" s="1"/>
      <c r="K50" s="1" t="s">
        <v>477</v>
      </c>
      <c r="L50" s="50">
        <v>0.852</v>
      </c>
      <c r="M50" s="1"/>
      <c r="N50" s="1" t="s">
        <v>478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B51" s="1" t="s">
        <v>479</v>
      </c>
      <c r="C51" s="48">
        <v>35</v>
      </c>
      <c r="D51" s="1"/>
      <c r="E51" s="1"/>
      <c r="F51" s="1"/>
      <c r="G51" s="1"/>
      <c r="H51" s="1"/>
      <c r="I51" s="1"/>
      <c r="J51" s="1"/>
      <c r="K51" s="1" t="s">
        <v>480</v>
      </c>
      <c r="L51" s="50">
        <v>0.885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B52" s="1" t="s">
        <v>481</v>
      </c>
      <c r="C52" s="48">
        <v>49000</v>
      </c>
      <c r="D52" s="1"/>
      <c r="E52" s="1"/>
      <c r="F52" s="1"/>
      <c r="G52" s="1"/>
      <c r="H52" s="1"/>
      <c r="I52" s="1"/>
      <c r="J52" s="1"/>
      <c r="K52" s="1" t="s">
        <v>482</v>
      </c>
      <c r="L52" s="50">
        <v>0.882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B53" s="1" t="s">
        <v>483</v>
      </c>
      <c r="C53" s="48">
        <v>51000</v>
      </c>
      <c r="D53" s="1"/>
      <c r="E53" s="1"/>
      <c r="F53" s="1"/>
      <c r="G53" s="1"/>
      <c r="H53" s="1"/>
      <c r="I53" s="1"/>
      <c r="J53" s="1"/>
      <c r="K53" s="1" t="s">
        <v>484</v>
      </c>
      <c r="L53" s="50">
        <v>0.805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B54" s="1" t="s">
        <v>485</v>
      </c>
      <c r="C54" s="48">
        <v>44723.44</v>
      </c>
      <c r="D54" s="1"/>
      <c r="E54" s="1"/>
      <c r="F54" s="1"/>
      <c r="G54" s="1"/>
      <c r="H54" s="1"/>
      <c r="I54" s="1"/>
      <c r="J54" s="1"/>
      <c r="K54" s="1" t="s">
        <v>486</v>
      </c>
      <c r="L54" s="50">
        <v>0.15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B55" s="1" t="s">
        <v>487</v>
      </c>
      <c r="C55" s="48">
        <v>42194.19</v>
      </c>
      <c r="D55" s="1"/>
      <c r="E55" s="1"/>
      <c r="F55" s="1"/>
      <c r="G55" s="1"/>
      <c r="H55" s="1"/>
      <c r="I55" s="1"/>
      <c r="J55" s="1"/>
      <c r="K55" s="1" t="s">
        <v>488</v>
      </c>
      <c r="L55" s="50">
        <v>0.17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B56" s="1" t="s">
        <v>489</v>
      </c>
      <c r="C56" s="48">
        <v>35951.27</v>
      </c>
      <c r="D56" s="1"/>
      <c r="E56" s="1"/>
      <c r="F56" s="1"/>
      <c r="G56" s="1"/>
      <c r="H56" s="1"/>
      <c r="I56" s="1"/>
      <c r="J56" s="1"/>
      <c r="K56" s="1" t="s">
        <v>490</v>
      </c>
      <c r="L56" s="48">
        <v>-10500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B57" s="1" t="s">
        <v>491</v>
      </c>
      <c r="C57" s="48">
        <v>36026.28</v>
      </c>
      <c r="D57" s="1"/>
      <c r="E57" s="1"/>
      <c r="F57" s="1"/>
      <c r="G57" s="1"/>
      <c r="H57" s="1"/>
      <c r="I57" s="1"/>
      <c r="J57" s="1"/>
      <c r="K57" s="1" t="s">
        <v>492</v>
      </c>
      <c r="L57" s="48">
        <v>-200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B58" s="1" t="s">
        <v>493</v>
      </c>
      <c r="C58" s="48">
        <v>86.5</v>
      </c>
      <c r="D58" s="1"/>
      <c r="E58" s="1"/>
      <c r="F58" s="1"/>
      <c r="G58" s="1"/>
      <c r="H58" s="1"/>
      <c r="I58" s="1"/>
      <c r="J58" s="1"/>
      <c r="K58" s="1" t="s">
        <v>494</v>
      </c>
      <c r="L58" s="48">
        <v>-200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B59" s="1" t="s">
        <v>495</v>
      </c>
      <c r="C59" s="48">
        <v>15.04</v>
      </c>
      <c r="D59" s="1"/>
      <c r="E59" s="1"/>
      <c r="F59" s="1"/>
      <c r="G59" s="1"/>
      <c r="H59" s="1"/>
      <c r="I59" s="1"/>
      <c r="J59" s="1"/>
      <c r="K59" s="1" t="s">
        <v>496</v>
      </c>
      <c r="L59" s="50">
        <v>0.65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B60" s="1" t="s">
        <v>497</v>
      </c>
      <c r="C60" s="48">
        <v>-10269.33</v>
      </c>
      <c r="D60" s="1"/>
      <c r="E60" s="1"/>
      <c r="F60" s="1"/>
      <c r="G60" s="1"/>
      <c r="H60" s="1"/>
      <c r="I60" s="1"/>
      <c r="J60" s="1"/>
      <c r="K60" s="1" t="s">
        <v>498</v>
      </c>
      <c r="L60" s="48">
        <v>1000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B61" s="1" t="s">
        <v>499</v>
      </c>
      <c r="C61" s="48">
        <v>23822.36</v>
      </c>
      <c r="D61" s="1"/>
      <c r="E61" s="1"/>
      <c r="F61" s="1"/>
      <c r="G61" s="1"/>
      <c r="H61" s="1"/>
      <c r="I61" s="1"/>
      <c r="J61" s="1"/>
      <c r="K61" s="1" t="s">
        <v>500</v>
      </c>
      <c r="L61" s="1" t="s">
        <v>501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B62" s="1" t="s">
        <v>502</v>
      </c>
      <c r="C62" s="48">
        <v>33535.42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B63" s="1" t="s">
        <v>503</v>
      </c>
      <c r="C63" s="48">
        <v>2660.54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B64" s="1" t="s">
        <v>504</v>
      </c>
      <c r="C64" s="1" t="s">
        <v>505</v>
      </c>
      <c r="D64" s="1"/>
      <c r="E64" s="1"/>
      <c r="F64" s="1"/>
      <c r="G64" s="1"/>
      <c r="H64" s="1"/>
      <c r="I64" s="1"/>
      <c r="J64" s="1"/>
      <c r="K64" s="1" t="s">
        <v>506</v>
      </c>
      <c r="L64" s="48">
        <v>1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B65" s="1" t="s">
        <v>507</v>
      </c>
      <c r="C65" s="48">
        <v>1.37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B66" s="1" t="s">
        <v>508</v>
      </c>
      <c r="C66" s="48">
        <v>1080.53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B67" s="1" t="s">
        <v>509</v>
      </c>
      <c r="C67" s="1" t="s">
        <v>510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B68" s="1" t="s">
        <v>511</v>
      </c>
      <c r="C68" s="48">
        <v>1515.54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B69" s="1" t="s">
        <v>512</v>
      </c>
      <c r="C69" s="48">
        <v>1545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B70" s="1" t="s">
        <v>513</v>
      </c>
      <c r="C70" s="48">
        <v>2200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B71" s="1" t="s">
        <v>514</v>
      </c>
      <c r="C71" s="48">
        <v>361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B72" s="1" t="s">
        <v>515</v>
      </c>
      <c r="C72" s="48">
        <v>325.2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B73" s="1" t="s">
        <v>516</v>
      </c>
      <c r="C73" s="48">
        <v>46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 t="s">
        <v>517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B80" s="1"/>
      <c r="C80" s="1"/>
      <c r="D80" s="1"/>
      <c r="E80" s="1"/>
      <c r="F80" s="1"/>
      <c r="G80" s="1"/>
      <c r="H80" s="1"/>
      <c r="I80" s="1"/>
      <c r="J80" s="1"/>
      <c r="K80" s="1" t="s">
        <v>518</v>
      </c>
      <c r="L80" s="48">
        <v>82798</v>
      </c>
      <c r="M80" s="1" t="s">
        <v>519</v>
      </c>
      <c r="N80" s="1" t="s">
        <v>520</v>
      </c>
      <c r="O80" s="1" t="s">
        <v>521</v>
      </c>
      <c r="P80" s="1" t="s">
        <v>522</v>
      </c>
      <c r="Q80" s="1" t="s">
        <v>523</v>
      </c>
      <c r="R80" s="1" t="s">
        <v>524</v>
      </c>
      <c r="S80" s="1" t="s">
        <v>525</v>
      </c>
      <c r="T80" s="1" t="s">
        <v>526</v>
      </c>
      <c r="U80" s="1" t="s">
        <v>73</v>
      </c>
      <c r="V80" s="1" t="s">
        <v>527</v>
      </c>
      <c r="W80" s="1" t="s">
        <v>528</v>
      </c>
      <c r="X80" s="1" t="s">
        <v>529</v>
      </c>
      <c r="Y80" s="1" t="s">
        <v>530</v>
      </c>
      <c r="Z80" s="1" t="s">
        <v>531</v>
      </c>
    </row>
    <row r="81">
      <c r="B81" s="1"/>
      <c r="C81" s="1"/>
      <c r="D81" s="1"/>
      <c r="E81" s="1"/>
      <c r="F81" s="1"/>
      <c r="G81" s="1"/>
      <c r="H81" s="1"/>
      <c r="I81" s="1"/>
      <c r="J81" s="1"/>
      <c r="K81" s="1" t="s">
        <v>532</v>
      </c>
      <c r="L81" s="48">
        <v>85971</v>
      </c>
      <c r="M81" s="1" t="s">
        <v>533</v>
      </c>
      <c r="N81" s="48">
        <v>6400</v>
      </c>
      <c r="O81" s="48">
        <v>2241</v>
      </c>
      <c r="P81" s="48">
        <v>68</v>
      </c>
      <c r="Q81" s="48">
        <v>2648</v>
      </c>
      <c r="R81" s="48">
        <v>2292</v>
      </c>
      <c r="S81" s="48">
        <v>2608</v>
      </c>
      <c r="T81" s="48">
        <v>1158</v>
      </c>
      <c r="U81" s="48">
        <v>3</v>
      </c>
      <c r="V81" s="48">
        <v>8709</v>
      </c>
      <c r="W81" s="48">
        <v>1066</v>
      </c>
      <c r="X81" s="48">
        <v>871</v>
      </c>
      <c r="Y81" s="48">
        <v>379</v>
      </c>
      <c r="Z81" s="48">
        <v>78</v>
      </c>
    </row>
    <row r="82">
      <c r="B82" s="1"/>
      <c r="C82" s="1"/>
      <c r="D82" s="1"/>
      <c r="E82" s="1"/>
      <c r="F82" s="1"/>
      <c r="G82" s="1"/>
      <c r="H82" s="1"/>
      <c r="I82" s="1"/>
      <c r="J82" s="1"/>
      <c r="K82" s="1" t="s">
        <v>534</v>
      </c>
      <c r="L82" s="48">
        <v>101509</v>
      </c>
      <c r="M82" s="1" t="s">
        <v>535</v>
      </c>
      <c r="N82" s="48">
        <v>6123</v>
      </c>
      <c r="O82" s="48">
        <v>1855</v>
      </c>
      <c r="P82" s="48">
        <v>75</v>
      </c>
      <c r="Q82" s="48">
        <v>2947</v>
      </c>
      <c r="R82" s="48">
        <v>1830</v>
      </c>
      <c r="S82" s="48">
        <v>2236</v>
      </c>
      <c r="T82" s="48">
        <v>1034</v>
      </c>
      <c r="U82" s="48">
        <v>6</v>
      </c>
      <c r="V82" s="48">
        <v>8053</v>
      </c>
      <c r="W82" s="48">
        <v>1320</v>
      </c>
      <c r="X82" s="48">
        <v>611</v>
      </c>
      <c r="Y82" s="48">
        <v>16</v>
      </c>
      <c r="Z82" s="48">
        <v>61</v>
      </c>
    </row>
    <row r="83">
      <c r="B83" s="1"/>
      <c r="C83" s="1"/>
      <c r="D83" s="1"/>
      <c r="E83" s="1"/>
      <c r="F83" s="1"/>
      <c r="G83" s="1"/>
      <c r="H83" s="1"/>
      <c r="I83" s="1"/>
      <c r="J83" s="1"/>
      <c r="K83" s="1" t="s">
        <v>536</v>
      </c>
      <c r="L83" s="48">
        <v>134112</v>
      </c>
      <c r="M83" s="1" t="s">
        <v>537</v>
      </c>
      <c r="N83" s="48">
        <v>7071</v>
      </c>
      <c r="O83" s="48">
        <v>2155</v>
      </c>
      <c r="P83" s="48">
        <v>75</v>
      </c>
      <c r="Q83" s="48">
        <v>3386</v>
      </c>
      <c r="R83" s="48">
        <v>1530</v>
      </c>
      <c r="S83" s="48">
        <v>3255</v>
      </c>
      <c r="T83" s="48">
        <v>1127</v>
      </c>
      <c r="U83" s="48">
        <v>3</v>
      </c>
      <c r="V83" s="48">
        <v>9301</v>
      </c>
      <c r="W83" s="48">
        <v>1573</v>
      </c>
      <c r="X83" s="48">
        <v>307</v>
      </c>
      <c r="Y83" s="48">
        <v>482</v>
      </c>
      <c r="Z83" s="48">
        <v>126</v>
      </c>
    </row>
    <row r="84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 t="s">
        <v>538</v>
      </c>
      <c r="N84" s="48">
        <v>17603</v>
      </c>
      <c r="O84" s="48">
        <v>7227</v>
      </c>
      <c r="P84" s="48">
        <v>281</v>
      </c>
      <c r="Q84" s="48">
        <v>3792</v>
      </c>
      <c r="R84" s="48">
        <v>4984</v>
      </c>
      <c r="S84" s="48">
        <v>11667</v>
      </c>
      <c r="T84" s="48">
        <v>4631</v>
      </c>
      <c r="U84" s="48">
        <v>37</v>
      </c>
      <c r="V84" s="48">
        <v>25111</v>
      </c>
      <c r="W84" s="48">
        <v>244</v>
      </c>
      <c r="X84" s="48">
        <v>255</v>
      </c>
      <c r="Y84" s="48">
        <v>-1</v>
      </c>
      <c r="Z84" s="48">
        <v>432</v>
      </c>
    </row>
    <row r="8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 t="s">
        <v>539</v>
      </c>
      <c r="N85" s="1"/>
      <c r="O85" s="1"/>
      <c r="P85" s="1"/>
      <c r="Q85" s="48">
        <v>1449</v>
      </c>
      <c r="R85" s="48">
        <v>2048</v>
      </c>
      <c r="S85" s="48">
        <v>3019</v>
      </c>
      <c r="T85" s="48">
        <v>1230</v>
      </c>
      <c r="U85" s="48">
        <v>4</v>
      </c>
      <c r="V85" s="48">
        <v>7750</v>
      </c>
      <c r="W85" s="1"/>
      <c r="X85" s="1"/>
      <c r="Y85" s="1"/>
      <c r="Z85" s="1"/>
    </row>
    <row r="86">
      <c r="B86" s="1"/>
      <c r="C86" s="1"/>
      <c r="D86" s="1"/>
      <c r="E86" s="1"/>
      <c r="F86" s="1"/>
      <c r="G86" s="1"/>
      <c r="H86" s="1"/>
      <c r="I86" s="1"/>
      <c r="J86" s="1"/>
      <c r="K86" s="1" t="s">
        <v>540</v>
      </c>
      <c r="L86" s="4">
        <v>37378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 t="s">
        <v>541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K89" s="1"/>
      <c r="L89" s="1"/>
      <c r="M89" s="1" t="s">
        <v>542</v>
      </c>
      <c r="N89" s="1" t="s">
        <v>543</v>
      </c>
      <c r="O89" s="1" t="s">
        <v>524</v>
      </c>
      <c r="P89" s="1" t="s">
        <v>525</v>
      </c>
      <c r="Q89" s="1" t="s">
        <v>526</v>
      </c>
      <c r="R89" s="1"/>
      <c r="S89" s="1"/>
      <c r="T89" s="1"/>
      <c r="U89" s="1"/>
      <c r="V89" s="1"/>
      <c r="W89" s="1"/>
      <c r="X89" s="1"/>
      <c r="Y89" s="1"/>
      <c r="Z89" s="1"/>
    </row>
    <row r="90">
      <c r="K90" s="1"/>
      <c r="L90" s="1"/>
      <c r="M90" s="1" t="s">
        <v>125</v>
      </c>
      <c r="N90" s="48">
        <v>4025</v>
      </c>
      <c r="O90" s="48">
        <v>3072</v>
      </c>
      <c r="P90" s="48">
        <v>6260</v>
      </c>
      <c r="Q90" s="48">
        <v>2579</v>
      </c>
      <c r="R90" s="1"/>
      <c r="S90" s="1"/>
      <c r="T90" s="1"/>
      <c r="U90" s="1"/>
      <c r="V90" s="1"/>
      <c r="W90" s="1"/>
      <c r="X90" s="1"/>
      <c r="Y90" s="1"/>
      <c r="Z90" s="1"/>
    </row>
    <row r="91">
      <c r="K91" s="1"/>
      <c r="L91" s="1"/>
      <c r="M91" s="1" t="s">
        <v>129</v>
      </c>
      <c r="N91" s="48">
        <v>851</v>
      </c>
      <c r="O91" s="48">
        <v>644</v>
      </c>
      <c r="P91" s="48">
        <v>671</v>
      </c>
      <c r="Q91" s="48">
        <v>330</v>
      </c>
      <c r="R91" s="1"/>
      <c r="S91" s="1"/>
      <c r="T91" s="1"/>
      <c r="U91" s="1"/>
      <c r="V91" s="1"/>
      <c r="W91" s="1"/>
      <c r="X91" s="1"/>
      <c r="Y91" s="1"/>
      <c r="Z91" s="1"/>
    </row>
    <row r="92">
      <c r="K92" s="1"/>
      <c r="L92" s="1"/>
      <c r="M92" s="1" t="s">
        <v>544</v>
      </c>
      <c r="N92" s="48">
        <v>146</v>
      </c>
      <c r="O92" s="48">
        <v>147</v>
      </c>
      <c r="P92" s="48">
        <v>290</v>
      </c>
      <c r="Q92" s="48">
        <v>144</v>
      </c>
      <c r="R92" s="1"/>
      <c r="S92" s="1"/>
      <c r="T92" s="1"/>
      <c r="U92" s="1"/>
      <c r="V92" s="1"/>
      <c r="W92" s="1"/>
      <c r="X92" s="1"/>
      <c r="Y92" s="1"/>
      <c r="Z92" s="1"/>
    </row>
    <row r="93">
      <c r="K93" s="1"/>
      <c r="L93" s="1"/>
      <c r="M93" s="1" t="s">
        <v>131</v>
      </c>
      <c r="N93" s="48">
        <v>0</v>
      </c>
      <c r="O93" s="48">
        <v>0</v>
      </c>
      <c r="P93" s="48">
        <v>1</v>
      </c>
      <c r="Q93" s="48">
        <v>1</v>
      </c>
      <c r="R93" s="1"/>
      <c r="S93" s="1"/>
      <c r="T93" s="1"/>
      <c r="U93" s="1"/>
      <c r="V93" s="1"/>
      <c r="W93" s="1"/>
      <c r="X93" s="1"/>
      <c r="Y93" s="1"/>
      <c r="Z93" s="1"/>
    </row>
    <row r="94">
      <c r="K94" s="1"/>
      <c r="L94" s="1"/>
      <c r="M94" s="1" t="s">
        <v>162</v>
      </c>
      <c r="N94" s="48">
        <v>3959</v>
      </c>
      <c r="O94" s="48">
        <v>1789</v>
      </c>
      <c r="P94" s="48">
        <v>877</v>
      </c>
      <c r="Q94" s="48">
        <v>265</v>
      </c>
      <c r="R94" s="1"/>
      <c r="S94" s="1"/>
      <c r="T94" s="1"/>
      <c r="U94" s="1"/>
      <c r="V94" s="1"/>
      <c r="W94" s="1"/>
      <c r="X94" s="1"/>
      <c r="Y94" s="1"/>
      <c r="Z94" s="1"/>
    </row>
    <row r="95"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</sheetData>
</worksheet>
</file>