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North America" sheetId="3" r:id="rId4"/>
    <sheet name="Segment - EMEA" sheetId="4" r:id="rId5"/>
    <sheet name="Segment - Greater China" sheetId="5" r:id="rId6"/>
    <sheet name="Segment - APLA" sheetId="6" r:id="rId7"/>
    <sheet name="Segment - Converse" sheetId="7" r:id="rId8"/>
    <sheet name="Income Statement" sheetId="8" r:id="rId9"/>
    <sheet name="Balance Sheet" sheetId="9" r:id="rId10"/>
    <sheet name="Cash Flow Statement" sheetId="10" r:id="rId11"/>
    <sheet name="Geo" sheetId="11" r:id="rId12"/>
    <sheet name="Share Count" sheetId="12" r:id="rId13"/>
    <sheet name="Guidance" sheetId="13" r:id="rId14"/>
    <sheet name="Sources" sheetId="14" r:id="rId15"/>
    <sheet name="Inputs" sheetId="15" r:id="rId16"/>
  </sheets>
  <calcPr calcId="0"/>
</workbook>
</file>

<file path=xl/sharedStrings.xml><?xml version="1.0" encoding="utf-8"?>
<sst xmlns="http://schemas.openxmlformats.org/spreadsheetml/2006/main" count="1125" uniqueCount="449">
  <si>
    <t>NIKE, Inc.</t>
  </si>
  <si>
    <t>Company Model — built by Shortcut</t>
  </si>
  <si>
    <t>$ millions, except per share</t>
  </si>
  <si>
    <t>Period</t>
  </si>
  <si>
    <t>1Q26A</t>
  </si>
  <si>
    <t>2Q26A</t>
  </si>
  <si>
    <t>3Q26A</t>
  </si>
  <si>
    <t>4Q26A</t>
  </si>
  <si>
    <t>FY26A</t>
  </si>
  <si>
    <t>1Q27E</t>
  </si>
  <si>
    <t>Period ending</t>
  </si>
  <si>
    <t>Days in period</t>
  </si>
  <si>
    <t>NIKE, Inc. | 1Q27 ending August 31, 2026</t>
  </si>
  <si>
    <t>FORECAST AT SEPTEMBER 26, 2026 INFORMATION CUTOFF</t>
  </si>
  <si>
    <t>Metric</t>
  </si>
  <si>
    <t>Shortcut estimate</t>
  </si>
  <si>
    <t>CapIQ Sep 24 consensus</t>
  </si>
  <si>
    <t>Issuer guide midpoint</t>
  </si>
  <si>
    <t>Estimate vs consensus</t>
  </si>
  <si>
    <t>Revenue, USD millions</t>
  </si>
  <si>
    <t>S16 consensus captured 2026-09-24, not 2026-09-26.</t>
  </si>
  <si>
    <t>Normalized net income, USD millions</t>
  </si>
  <si>
    <t>Not guided</t>
  </si>
  <si>
    <t>Normalized diluted EPS, USD/share</t>
  </si>
  <si>
    <t>S15 UBS channel checks forecast a 5c shortfall vs 44c consensus.</t>
  </si>
  <si>
    <t>GAAP diluted EPS, USD/share</t>
  </si>
  <si>
    <t>P(beat consensus EPS)</t>
  </si>
  <si>
    <t>Beat probability below half aligns with point estimate below 44c consensus.</t>
  </si>
  <si>
    <t>Confidence</t>
  </si>
  <si>
    <t>medium</t>
  </si>
  <si>
    <t>Overall check result</t>
  </si>
  <si>
    <t>Exchange</t>
  </si>
  <si>
    <t>NYSE:NKE</t>
  </si>
  <si>
    <t>Fiscal year end</t>
  </si>
  <si>
    <t>May 31</t>
  </si>
  <si>
    <t>Reporting currency</t>
  </si>
  <si>
    <t>USD</t>
  </si>
  <si>
    <t>EPS basis</t>
  </si>
  <si>
    <t>Normalized diluted USD per common share</t>
  </si>
  <si>
    <t>Information cutoff (UTC)</t>
  </si>
  <si>
    <t>2026-09-26T18:44:22.240587+00:00</t>
  </si>
  <si>
    <t>Expected report date</t>
  </si>
  <si>
    <t>Consensus capture</t>
  </si>
  <si>
    <t>2026-09-24; date only, not September 26</t>
  </si>
  <si>
    <t>Principal forecast risk</t>
  </si>
  <si>
    <t>China/lifestyle demand and promotional markdowns</t>
  </si>
  <si>
    <t>EPS normalization</t>
  </si>
  <si>
    <t>No Q1 tariff-refund gain assumed; 4Q26 $0.52/share excluded</t>
  </si>
  <si>
    <t>Not a reported result: August-quarter numbers remain unpublished at cutoff</t>
  </si>
  <si>
    <t>Revenue summary</t>
  </si>
  <si>
    <t>North America</t>
  </si>
  <si>
    <t xml:space="preserve">  Y/Y change</t>
  </si>
  <si>
    <t xml:space="preserve">  Q/Q change</t>
  </si>
  <si>
    <t xml:space="preserve">  % of total revenue</t>
  </si>
  <si>
    <t xml:space="preserve">  Organic growth</t>
  </si>
  <si>
    <t xml:space="preserve">  M&amp;A / scope</t>
  </si>
  <si>
    <t xml:space="preserve">  FX translation</t>
  </si>
  <si>
    <t xml:space="preserve">  Total Y/Y growth</t>
  </si>
  <si>
    <t>EMEA</t>
  </si>
  <si>
    <t>Greater China</t>
  </si>
  <si>
    <t>APLA</t>
  </si>
  <si>
    <t>Global Brand Divisions</t>
  </si>
  <si>
    <t>S01–S04; Global Brand Divisions licensing, not a reportable operating segment.</t>
  </si>
  <si>
    <t>Converse</t>
  </si>
  <si>
    <t>Corporate hedge revenue</t>
  </si>
  <si>
    <t>S01–S04; corporate revenue includes hedging gains/losses.</t>
  </si>
  <si>
    <t>TOTAL NIKE, INC. REVENUE</t>
  </si>
  <si>
    <t>S01–S09, S06; SUM of five reported segments plus licensing and corporate hedges.</t>
  </si>
  <si>
    <t xml:space="preserve">  Reported segments less total</t>
  </si>
  <si>
    <t>Product mix | NIKE Brand and Converse</t>
  </si>
  <si>
    <t>Footwear</t>
  </si>
  <si>
    <t>Apparel</t>
  </si>
  <si>
    <t>Equipment</t>
  </si>
  <si>
    <t>Licensing and other</t>
  </si>
  <si>
    <t>Corporate FX hedge revenue</t>
  </si>
  <si>
    <t>PRODUCT RECONCILIATION</t>
  </si>
  <si>
    <t>Wholesale, NIKE Brand + Converse</t>
  </si>
  <si>
    <t>Direct to consumer, NIKE Brand + Converse</t>
  </si>
  <si>
    <t>Licensing and corporate revenue</t>
  </si>
  <si>
    <t>CHANNEL RECONCILIATION</t>
  </si>
  <si>
    <t>PRODUCT / CHANNEL REVENUE DRIVER DETAIL — LINKED TO LINES ABOVE</t>
  </si>
  <si>
    <t>S01–S09, S06; product / channel data linked above. Quarter Y/Y requires FY25 comparable not retained in four-quarter timeline.</t>
  </si>
  <si>
    <t xml:space="preserve">  Y/Y growth</t>
  </si>
  <si>
    <t xml:space="preserve">  Sequential movement, $m</t>
  </si>
  <si>
    <t xml:space="preserve">  Share of total revenue</t>
  </si>
  <si>
    <t>Licensing / brand other</t>
  </si>
  <si>
    <t>Wholesale customer revenue</t>
  </si>
  <si>
    <t>Direct-to-consumer revenue</t>
  </si>
  <si>
    <t>Segment - North America</t>
  </si>
  <si>
    <t>S07–S09 / S06: SEC product-by-reported-segment revenue; 4Q derived FY minus 9M.</t>
  </si>
  <si>
    <t xml:space="preserve">  Sequential change, $m</t>
  </si>
  <si>
    <t>TOTAL SEGMENT REVENUE</t>
  </si>
  <si>
    <t>Issuer reports five operating segments, product lines and wholesale/direct; no unit count/ASP.</t>
  </si>
  <si>
    <t>S07–S09 / S06: reported wholesale revenue; forecast by segment channel assumption.</t>
  </si>
  <si>
    <t>Direct channel growth calibrated to product forecast at cutoff; independent channel reconciliation detects later assumption changes.</t>
  </si>
  <si>
    <t>Licensing and other revenue</t>
  </si>
  <si>
    <t>Segment EBIT (reported / modeled)</t>
  </si>
  <si>
    <t>S01–S04 EBIT by segment, 1Q27 EBIT modeled as revenue x margin assumption.</t>
  </si>
  <si>
    <t xml:space="preserve">  EBIT margin</t>
  </si>
  <si>
    <t xml:space="preserve">  Margin change, bps</t>
  </si>
  <si>
    <t>Unit and ASP drivers: not disclosed</t>
  </si>
  <si>
    <t>FY26 Form 10-K and available quarterly 10-Q do not disclose segment-level units, customer openings/adds/terminations, ASP or ARPU.</t>
  </si>
  <si>
    <t>CHANNEL DRIVER DETAIL — WHOLESALE AND DIRECT</t>
  </si>
  <si>
    <t>S06–S09: reported channel. Current quarter mix and growth assumptions are modeled, not published units or ASP.</t>
  </si>
  <si>
    <t xml:space="preserve">  Share of segment revenue</t>
  </si>
  <si>
    <t>Segment - EMEA</t>
  </si>
  <si>
    <t>Segment - Greater China</t>
  </si>
  <si>
    <t>Segment - APLA</t>
  </si>
  <si>
    <t>Segment - Converse</t>
  </si>
  <si>
    <t>Licensing / other</t>
  </si>
  <si>
    <t>Licensing / other revenue</t>
  </si>
  <si>
    <t>Income Statement</t>
  </si>
  <si>
    <t>TOTAL REVENUE</t>
  </si>
  <si>
    <t>S01–S04; links to Revenue summary.</t>
  </si>
  <si>
    <t>Cost of sales</t>
  </si>
  <si>
    <t>S01–S04; Q1 forecast gross-margin assumption below.</t>
  </si>
  <si>
    <t>GROSS PROFIT</t>
  </si>
  <si>
    <t xml:space="preserve">  Gross margin</t>
  </si>
  <si>
    <t>Demand creation expense</t>
  </si>
  <si>
    <t>S14: Q1 demand creation expected high-single-digit increase.</t>
  </si>
  <si>
    <t>Operating overhead expense</t>
  </si>
  <si>
    <t>S14: operating overhead expected lower, flat total SG&amp;A.</t>
  </si>
  <si>
    <t>TOTAL SELLING &amp; ADMINISTRATIVE</t>
  </si>
  <si>
    <t xml:space="preserve">  SG&amp;A / revenue</t>
  </si>
  <si>
    <t xml:space="preserve">  SG&amp;A Y/Y change</t>
  </si>
  <si>
    <t>OPERATING PROFIT (EBIT)</t>
  </si>
  <si>
    <t>Interest expense (income), net</t>
  </si>
  <si>
    <t>Other expense (income), net</t>
  </si>
  <si>
    <t>INCOME BEFORE TAX</t>
  </si>
  <si>
    <t xml:space="preserve">  Effective tax rate</t>
  </si>
  <si>
    <t>S14: full-year tax low 20% range.</t>
  </si>
  <si>
    <t>Income tax expense</t>
  </si>
  <si>
    <t>GAAP NET INCOME</t>
  </si>
  <si>
    <t xml:space="preserve">  Net margin</t>
  </si>
  <si>
    <t xml:space="preserve">  Net income Y/Y change</t>
  </si>
  <si>
    <t>Weighted-average basic shares</t>
  </si>
  <si>
    <t>Weighted-average diluted shares</t>
  </si>
  <si>
    <t>GAAP DILUTED EPS, USD/common share</t>
  </si>
  <si>
    <t xml:space="preserve">  EPS * shares less net income</t>
  </si>
  <si>
    <t>(-) IEEPA tariff-recovery benefit, net of tax</t>
  </si>
  <si>
    <t>S04 + Inputs: 4Q26 IEEPA recovery $986m pre-tax, $0.52/share; excluded from normalized.</t>
  </si>
  <si>
    <t>Other normalization adjustments (none identified)</t>
  </si>
  <si>
    <t>NORMALIZED NET INCOME</t>
  </si>
  <si>
    <t>NORMALIZED DILUTED EPS</t>
  </si>
  <si>
    <t>S16: primary CapIQ normalized diluted earnings comparator; 17 contributing EPS estimates.</t>
  </si>
  <si>
    <t>CapIQ normalized diluted EPS actual</t>
  </si>
  <si>
    <t>CapIQ GAAP diluted EPS actual</t>
  </si>
  <si>
    <t>CapIQ reported actual revenue</t>
  </si>
  <si>
    <t>Reported less CapIQ revenue</t>
  </si>
  <si>
    <t>3Q26 SEC reported $11,279m; supplied Capital IQ history lists $11,269m. Preserve vendor file and issuer actual: $10m difference.</t>
  </si>
  <si>
    <t>Normalized EPS less CapIQ actual, $</t>
  </si>
  <si>
    <t>Forecast gross margin assumption</t>
  </si>
  <si>
    <t>Assumption 42.3% vs 1Q26 reported 42.2%; guidance slight expansion, UBS promotional risk S15.</t>
  </si>
  <si>
    <t>Demand creation Y/Y growth assumption</t>
  </si>
  <si>
    <t>Overhead Y/Y growth assumption</t>
  </si>
  <si>
    <t>Balance Sheet</t>
  </si>
  <si>
    <t>Cash and equivalents</t>
  </si>
  <si>
    <t>Short-term investments</t>
  </si>
  <si>
    <t>Accounts receivable, net</t>
  </si>
  <si>
    <t>Inventories</t>
  </si>
  <si>
    <t>Prepaid expenses and other current assets</t>
  </si>
  <si>
    <t>TOTAL CURRENT ASSETS</t>
  </si>
  <si>
    <t>Property, plant and equipment, net</t>
  </si>
  <si>
    <t>Operating lease right-of-use assets, net</t>
  </si>
  <si>
    <t>Identifiable intangible assets, net</t>
  </si>
  <si>
    <t>Goodwill</t>
  </si>
  <si>
    <t>Deferred income taxes and other assets</t>
  </si>
  <si>
    <t>TOTAL ASSETS</t>
  </si>
  <si>
    <t>Current portion of long-term debt</t>
  </si>
  <si>
    <t>Notes payable</t>
  </si>
  <si>
    <t>Accounts payable</t>
  </si>
  <si>
    <t>Current portion of operating lease liabilities</t>
  </si>
  <si>
    <t>Accrued liabilities</t>
  </si>
  <si>
    <t>Income taxes payable</t>
  </si>
  <si>
    <t>TOTAL CURRENT LIABILITIES</t>
  </si>
  <si>
    <t>Long-term debt</t>
  </si>
  <si>
    <t>Operating lease liabilities</t>
  </si>
  <si>
    <t>Deferred income taxes and other liabilities</t>
  </si>
  <si>
    <t>TOTAL LIABILITIES</t>
  </si>
  <si>
    <t>Shareholders’ equity</t>
  </si>
  <si>
    <t>Independent equity roll-forward: prior equity + net income - dividends + stock issuance + stock compensation + other OCI assumption.</t>
  </si>
  <si>
    <t>ASSETS - LIABILITIES - EQUITY</t>
  </si>
  <si>
    <t>Other equity / OCI assumption, $m</t>
  </si>
  <si>
    <t>Analyst -$45m assumed other-equity/OCI movement; not specifically guided, reconciles working capital, assets and cash forecast.</t>
  </si>
  <si>
    <t>Accounts payable forecast increase</t>
  </si>
  <si>
    <t>Accrued liabilities forecast increase</t>
  </si>
  <si>
    <t>Cash Flow Statement</t>
  </si>
  <si>
    <t>CASH, BEGINNING OF PERIOD</t>
  </si>
  <si>
    <t>GAAP net income</t>
  </si>
  <si>
    <t>Depreciation and amortization</t>
  </si>
  <si>
    <t>Deferred income taxes</t>
  </si>
  <si>
    <t>Stock-based compensation</t>
  </si>
  <si>
    <t>Impairment and other</t>
  </si>
  <si>
    <t>Net foreign currency adjustments</t>
  </si>
  <si>
    <t>(Increase) decrease in accounts receivable</t>
  </si>
  <si>
    <t>(Increase) decrease in inventories</t>
  </si>
  <si>
    <t>Other prepaid / lease / asset change</t>
  </si>
  <si>
    <t>Other payables / accrual / lease change</t>
  </si>
  <si>
    <t>NET CASH FROM OPERATIONS</t>
  </si>
  <si>
    <t>S10–S13 cumulative 10-Q/FY10-K cash flow; quarterly values by subtraction.</t>
  </si>
  <si>
    <t>Purchases of short-term investments</t>
  </si>
  <si>
    <t>Maturities of short-term investments</t>
  </si>
  <si>
    <t>Sales of short-term investments</t>
  </si>
  <si>
    <t>Additions to property, plant and equipment</t>
  </si>
  <si>
    <t>Other investing activities</t>
  </si>
  <si>
    <t>NET CASH FROM INVESTING</t>
  </si>
  <si>
    <t>Increase (decrease) in notes payable, net</t>
  </si>
  <si>
    <t>Repayment of borrowings</t>
  </si>
  <si>
    <t>Proceeds from exercise of stock options and other stock issuances</t>
  </si>
  <si>
    <t>Repurchase of common stock</t>
  </si>
  <si>
    <t>Dividends — common and preferred</t>
  </si>
  <si>
    <t>Other financing activities</t>
  </si>
  <si>
    <t>NET CASH FROM FINANCING</t>
  </si>
  <si>
    <t>Effect of exchange rate changes on cash and equivalents</t>
  </si>
  <si>
    <t>CHANGE IN CASH</t>
  </si>
  <si>
    <t>CASH, END OF PERIOD</t>
  </si>
  <si>
    <t>Forecast cash rolls forward from FY26 beginning; BS cash formula-linked.</t>
  </si>
  <si>
    <t>Cash Flow less Balance Sheet cash</t>
  </si>
  <si>
    <t>Geo</t>
  </si>
  <si>
    <t xml:space="preserve">  Share of total</t>
  </si>
  <si>
    <t>TOTAL GEOGRAPHIC REVENUE</t>
  </si>
  <si>
    <t>S01–S09, S06; NIKE regions plus Global Brand Divisions, Converse and corporate.</t>
  </si>
  <si>
    <t>Geo less reported revenue</t>
  </si>
  <si>
    <t>United States share of global sales</t>
  </si>
  <si>
    <t>S05 FY26 NIKE 10-K reports United States approximately 44% of revenues; quarterly country sales are not disclosed.</t>
  </si>
  <si>
    <t>U.S. revenue, approximate annual disclosure</t>
  </si>
  <si>
    <t>FY26 annual $ amount estimated from issuer approximate 44% share; Q1 forecast extrapolates FY26 mix, not issuer guidance.</t>
  </si>
  <si>
    <t>Non-U.S. revenue, annual / estimated</t>
  </si>
  <si>
    <t>U.S. + non-U.S. less total</t>
  </si>
  <si>
    <t>Share Count</t>
  </si>
  <si>
    <t>Cash spent on share repurchases, $m</t>
  </si>
  <si>
    <t>Cash from stock options / issuance, $m</t>
  </si>
  <si>
    <t>Shares repurchased, million</t>
  </si>
  <si>
    <t>Shares issued, million (not fully disclosed)</t>
  </si>
  <si>
    <t>Share count issued in millions not fully disclosed each quarter; blanks are unavailable, not zero.</t>
  </si>
  <si>
    <t>Weighted-average basic shares, million</t>
  </si>
  <si>
    <t xml:space="preserve">  Sequential change, million</t>
  </si>
  <si>
    <t>Dilutive shares, million</t>
  </si>
  <si>
    <t xml:space="preserve">  Dilution Y/Y change</t>
  </si>
  <si>
    <t>S01–S04 diluted shares as reported, 1Q27 estimated from latest run rate.</t>
  </si>
  <si>
    <t xml:space="preserve">  Dilution sequential change, million</t>
  </si>
  <si>
    <t>WEIGHTED-AVERAGE DILUTED SHARES</t>
  </si>
  <si>
    <t xml:space="preserve">  Diluted shares Y/Y change</t>
  </si>
  <si>
    <t xml:space="preserve">  Diluted shares sequential change, million</t>
  </si>
  <si>
    <t>EPS diluted share denominator</t>
  </si>
  <si>
    <t>Share issuance data availability</t>
  </si>
  <si>
    <t>Full issued-share roll-forward is not disclosed for each quarter; issuer cash-flow issuance and weighted basic/diluted shares are modeled.</t>
  </si>
  <si>
    <t>Guidance</t>
  </si>
  <si>
    <t>Date</t>
  </si>
  <si>
    <t>Fiscal period</t>
  </si>
  <si>
    <t>Low</t>
  </si>
  <si>
    <t>High</t>
  </si>
  <si>
    <t>Midpoint</t>
  </si>
  <si>
    <t>Reported actual</t>
  </si>
  <si>
    <t>Beat / miss</t>
  </si>
  <si>
    <t>Notes</t>
  </si>
  <si>
    <t>1Q27</t>
  </si>
  <si>
    <t>Revenue Y/Y growth</t>
  </si>
  <si>
    <t>S14: 1Q27 qualitative revenue low-to-mid-single-digit contraction; low/high analyst interpretation.</t>
  </si>
  <si>
    <t>Revenue, $m</t>
  </si>
  <si>
    <t>Derived from verbal growth guidance</t>
  </si>
  <si>
    <t>Gross margin Y/Y bps</t>
  </si>
  <si>
    <t>Slightly positive: numerical bound not provided</t>
  </si>
  <si>
    <t>SG&amp;A dollars Y/Y</t>
  </si>
  <si>
    <t>Management: flat</t>
  </si>
  <si>
    <t>Demand creation Y/Y</t>
  </si>
  <si>
    <t>Management: high-single-digit growth; numeric range not supplied</t>
  </si>
  <si>
    <t>FY27</t>
  </si>
  <si>
    <t>Effective tax rate</t>
  </si>
  <si>
    <t>Low 20% range; no numeric endpoints provided</t>
  </si>
  <si>
    <t>Capital IQ supplied revenue guidance range</t>
  </si>
  <si>
    <t>Third-party compiled range, not NIKE issuer guidance</t>
  </si>
  <si>
    <t>Sources</t>
  </si>
  <si>
    <t>ID</t>
  </si>
  <si>
    <t>Published</t>
  </si>
  <si>
    <t>Publisher</t>
  </si>
  <si>
    <t>URL / supplied input</t>
  </si>
  <si>
    <t>Feeds / evidence</t>
  </si>
  <si>
    <t>S01</t>
  </si>
  <si>
    <t>NIKE / SEC</t>
  </si>
  <si>
    <t>https://www.sec.gov/Archives/edgar/data/320187/000032018725000091/q1fy26exhibit991er.htm</t>
  </si>
  <si>
    <t>1Q26 income, balance, segment EBIT, geographical products</t>
  </si>
  <si>
    <t>S02</t>
  </si>
  <si>
    <t>https://www.sec.gov/Archives/edgar/data/320187/000032018725000138/q2fy26exhibit991er.htm</t>
  </si>
  <si>
    <t>2Q26 income, balance, segment EBIT</t>
  </si>
  <si>
    <t>S03</t>
  </si>
  <si>
    <t>https://www.sec.gov/Archives/edgar/data/320187/000032018726000026/q3fy26exhibit991er.htm</t>
  </si>
  <si>
    <t>3Q26 income, balance, segment EBIT</t>
  </si>
  <si>
    <t>S04</t>
  </si>
  <si>
    <t>https://www.sec.gov/Archives/edgar/data/320187/000032018726000076/q4fy26exhibit991er.htm</t>
  </si>
  <si>
    <t>4Q26 and FY26 statements; one-time tariff recovery</t>
  </si>
  <si>
    <t>S05</t>
  </si>
  <si>
    <t>https://www.sec.gov/Archives/edgar/data/320187/000032018726000088/nke-20260531.htm</t>
  </si>
  <si>
    <t>10-K: USD/common-share basis, five reportable segments, non-U.S. exposure</t>
  </si>
  <si>
    <t>S06</t>
  </si>
  <si>
    <t>https://www.sec.gov/Archives/edgar/data/320187/000032018726000088/R23.htm</t>
  </si>
  <si>
    <t>FY26 product/channel segment revenue</t>
  </si>
  <si>
    <t>S07</t>
  </si>
  <si>
    <t>https://www.sec.gov/Archives/edgar/data/320187/000032018725000097/R30.htm</t>
  </si>
  <si>
    <t>1Q26 product/channel revenue</t>
  </si>
  <si>
    <t>S08</t>
  </si>
  <si>
    <t>https://www.sec.gov/Archives/edgar/data/320187/000032018725000151/R30.htm</t>
  </si>
  <si>
    <t>2Q26 product/channel revenue</t>
  </si>
  <si>
    <t>S09</t>
  </si>
  <si>
    <t>https://www.sec.gov/Archives/edgar/data/320187/000032018726000037/R31.htm</t>
  </si>
  <si>
    <t>3Q26 product/channel revenue</t>
  </si>
  <si>
    <t>S10</t>
  </si>
  <si>
    <t>https://www.sec.gov/Archives/edgar/data/320187/000032018725000097/R6.htm</t>
  </si>
  <si>
    <t>1Q26 cash flow</t>
  </si>
  <si>
    <t>S11</t>
  </si>
  <si>
    <t>https://www.sec.gov/Archives/edgar/data/320187/000032018725000151/R6.htm</t>
  </si>
  <si>
    <t>2Q26 YTD cash flow; quarter by subtraction</t>
  </si>
  <si>
    <t>S12</t>
  </si>
  <si>
    <t>https://www.sec.gov/Archives/edgar/data/320187/000032018726000037/R6.htm</t>
  </si>
  <si>
    <t>3Q26 YTD cash flow; quarter by subtraction</t>
  </si>
  <si>
    <t>S13</t>
  </si>
  <si>
    <t>https://www.sec.gov/Archives/edgar/data/320187/000032018726000088/R7.htm</t>
  </si>
  <si>
    <t>FY26 cash flow; fourth quarter by subtraction</t>
  </si>
  <si>
    <t>S14</t>
  </si>
  <si>
    <t>NIKE earnings call</t>
  </si>
  <si>
    <t>https://exa.ai/library/markets/stocks/NKE/earnings/FY2026/Q4/transcript</t>
  </si>
  <si>
    <t>1Q27 verbal outlook: sales, margin, marketing, tax</t>
  </si>
  <si>
    <t>S15</t>
  </si>
  <si>
    <t>UBS via Yahoo Finance</t>
  </si>
  <si>
    <t>https://finance.yahoo.com/markets/stocks/articles/ubs-sees-negative-catalyst-ahead-143604307.html</t>
  </si>
  <si>
    <t>Channel checks, promotions and 5-cent below-consensus EPS call</t>
  </si>
  <si>
    <t>S16</t>
  </si>
  <si>
    <t>S&amp;P Capital IQ</t>
  </si>
  <si>
    <t>NKE_consensus.json</t>
  </si>
  <si>
    <t>Full supplied 1Q27 summary; September 24 capture, timestamp unknown</t>
  </si>
  <si>
    <t>S17</t>
  </si>
  <si>
    <t>supplied history</t>
  </si>
  <si>
    <t>NKE_history.csv</t>
  </si>
  <si>
    <t>Six historical quarters, reported actual/consensus EPS and revenue</t>
  </si>
  <si>
    <t>S18</t>
  </si>
  <si>
    <t>Baptista Research</t>
  </si>
  <si>
    <t>https://baptistaresearch.com/nike-earnings-preview-full-price-demand-turnaround/</t>
  </si>
  <si>
    <t>Public forecast/turnaround risks</t>
  </si>
  <si>
    <t>S19</t>
  </si>
  <si>
    <t>Stifel via Benzinga</t>
  </si>
  <si>
    <t>https://www.benzinga.com/analyst-stock-ratings/price-target/26/09/61901577/nike-faces-300m-world-cup-boost-but-stifel-sees-a-bigger-margin-squeeze</t>
  </si>
  <si>
    <t>World Cup sales upside vs promotional gross-margin risk (search-index excerpt)</t>
  </si>
  <si>
    <t>S20</t>
  </si>
  <si>
    <t>DICK'S / SEC</t>
  </si>
  <si>
    <t>https://www.sec.gov/Archives/edgar/data/1089063/000108906326000033/dks-2026801xex991earningsr.htm</t>
  </si>
  <si>
    <t>Foot Locker comps -3.6%; promotional footwear; World Cup lift</t>
  </si>
  <si>
    <t>S21</t>
  </si>
  <si>
    <t>JD Sports Fashion</t>
  </si>
  <si>
    <t>https://www.jdplc.com/half-year-results-2026-27/</t>
  </si>
  <si>
    <t>Half-year footwear -3% and gross margin -20bps; promotional market</t>
  </si>
  <si>
    <t>S22</t>
  </si>
  <si>
    <t>US Census Bureau</t>
  </si>
  <si>
    <t>https://www.census.gov/retail/sales.html?stream=business</t>
  </si>
  <si>
    <t>August US all-retail +6% Y/Y; broad category, not Nike-specific</t>
  </si>
  <si>
    <t>S23</t>
  </si>
  <si>
    <t>NIKE IR</t>
  </si>
  <si>
    <t>https://investors.nike.com/investors/news-events-and-reports/investor-news/investor-news-details/2026/NIKE-Inc--Announces-First-Quarter-Fiscal-2027-Earnings-and-Conference-Call/default.aspx</t>
  </si>
  <si>
    <t>Confirms Oct 1 reporting ~1:15pm Pacific / 4:15pm ET</t>
  </si>
  <si>
    <t>NKE_history.csv SHA256</t>
  </si>
  <si>
    <t>07e6e2b9401a407b28700ffa818e0a532a0e76348bf33e77db46831886ae358a</t>
  </si>
  <si>
    <t>NKE_consensus.json SHA256</t>
  </si>
  <si>
    <t>bbc2c3aeae9651f8a2e43539e23a2a57be0cca5c6b749cb1dc7cafa275a5c677</t>
  </si>
  <si>
    <t>No other operating segment</t>
  </si>
  <si>
    <t>FY26 NIKE 10-K identifies five reportable segments; GBD and corporate are revenue reconciliations.</t>
  </si>
  <si>
    <t>Product units and ASP unavailable</t>
  </si>
  <si>
    <t>FY26 10-K and FY26 quarterly filings omit NIKE unit counts, customer flows, price realization and ARPU.</t>
  </si>
  <si>
    <t>CapIQ historical revenue exception</t>
  </si>
  <si>
    <t>3Q26 issuer reported $11,279m; supplied CapIQ history lists $11,269m. Preserved issuer and input: Income Statement!F46 = $10m.</t>
  </si>
  <si>
    <t>Inputs</t>
  </si>
  <si>
    <t>History from NKE_history.csv — source as supplied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</si>
  <si>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</si>
  <si>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</si>
  <si>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</si>
  <si>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</si>
  <si>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</si>
  <si>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</si>
  <si>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</si>
  <si>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</si>
  <si>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Full supplied summary row (target-price fields excluded: malformed range columns)</t>
  </si>
  <si>
    <t>S&amp;P Capital IQ, captured September 24, 2026</t>
  </si>
  <si>
    <t>ticker</t>
  </si>
  <si>
    <t>NKE</t>
  </si>
  <si>
    <t>company</t>
  </si>
  <si>
    <t>exchange_ticker</t>
  </si>
  <si>
    <t>capiq_company_id</t>
  </si>
  <si>
    <t>analyst_count</t>
  </si>
  <si>
    <t>fiscal_year_end</t>
  </si>
  <si>
    <t>May-31</t>
  </si>
  <si>
    <t>forward_quarter_label</t>
  </si>
  <si>
    <t>FQ1 2027 -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</si>
  <si>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</si>
  <si>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</si>
  <si>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</si>
  <si>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</si>
  <si>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</si>
  <si>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</si>
  <si>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</si>
  <si>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</si>
  <si>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</si>
  <si>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</si>
  <si>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</si>
  <si>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</si>
  <si>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</si>
  <si>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</si>
  <si>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</si>
  <si>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</si>
  <si>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</si>
  <si>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</si>
  <si>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</si>
  <si>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</si>
  <si>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</si>
  <si>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</si>
  <si>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</si>
  <si>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</si>
  <si>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</si>
  <si>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</si>
  <si>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</si>
  <si>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</si>
  <si>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</si>
  <si>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</si>
  <si>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</si>
  <si>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</si>
  <si>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</si>
  <si>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</si>
  <si>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</si>
  <si>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</si>
  <si>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recommendation</t>
  </si>
  <si>
    <t>Hold</t>
  </si>
  <si>
    <t>recommendation_score</t>
  </si>
  <si>
    <t>last_close_price</t>
  </si>
  <si>
    <t>notes</t>
  </si>
  <si>
    <t>Results approx 4:15 p.m. Oct 1. 52wk range 76.97/35.35. FY2027 ends May-31-2027; upcoming quarter is FQ1 2027 (Aug 2026).</t>
  </si>
  <si>
    <t>ARCHIVE ONLY — supplied target-price fields; malformed ranges / not used in estimate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</si>
  <si>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</si>
  <si>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</si>
  <si>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</si>
  <si>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</si>
  <si>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</si>
  <si>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</si>
  <si>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NIKE SEC 10-Q / 10-K cash flows, cumulative year to date ($m)</t>
  </si>
  <si>
    <t>Filed cash-flow category</t>
  </si>
  <si>
    <t>1Q26 YTD</t>
  </si>
  <si>
    <t>2Q26 YTD</t>
  </si>
  <si>
    <t>3Q26 YTD</t>
  </si>
  <si>
    <t>FY26 YTD</t>
  </si>
  <si>
    <t>(Increase) decrease in prepaid expenses, operating lease right-of-use assets and other current and non-current assets</t>
  </si>
  <si>
    <t>Increase (decrease) in accounts payable, accrued liabilities, operating lease liabilities and other current and non-current liabilities</t>
  </si>
  <si>
    <t>Issuer-reported consolidated revenue (SEC press releases), independent of segment sum</t>
  </si>
  <si>
    <t>Consolidated revenue, $m</t>
  </si>
</sst>
</file>

<file path=xl/styles.xml><?xml version="1.0" encoding="utf-8"?>
<styleSheet xmlns="http://schemas.openxmlformats.org/spreadsheetml/2006/main">
  <numFmts count="5">
    <numFmt numFmtId="164" formatCode="#,##0.0_);(#,##0.0);–_)"/>
    <numFmt numFmtId="165" formatCode="yyyy-mm-dd"/>
    <numFmt numFmtId="166" formatCode="0.0%_);(0.0%);–_)"/>
    <numFmt numFmtId="167" formatCode="$0.00"/>
    <numFmt numFmtId="168" formatCode="0.0%"/>
  </numFmts>
  <fonts count="13">
    <font>
      <sz val="11"/>
      <name val="Calibri"/>
    </font>
    <font>
      <b val="0"/>
      <i val="0"/>
      <strike val="0"/>
      <sz val="10"/>
      <color rgb="FF000000"/>
      <name val="Aptos Narrow"/>
    </font>
    <font>
      <b/>
      <i val="0"/>
      <strike val="0"/>
      <sz val="10"/>
      <color rgb="FF242933"/>
      <name val="Aptos Narrow"/>
    </font>
    <font>
      <b/>
      <i val="0"/>
      <strike val="0"/>
      <sz val="10"/>
      <color rgb="FF000000"/>
      <name val="Aptos Narrow"/>
    </font>
    <font>
      <b val="0"/>
      <i val="0"/>
      <strike val="0"/>
      <sz val="10"/>
      <color rgb="FF0000FF"/>
      <name val="Aptos Narrow"/>
    </font>
    <font>
      <b val="0"/>
      <i val="0"/>
      <strike val="0"/>
      <sz val="10"/>
      <color rgb="FF006100"/>
      <name val="Aptos Narrow"/>
    </font>
    <font>
      <b/>
      <i val="0"/>
      <strike val="0"/>
      <sz val="11"/>
      <color rgb="FF000000"/>
      <name val="Aptos Narrow"/>
    </font>
    <font>
      <b val="0"/>
      <i/>
      <strike val="0"/>
      <sz val="10"/>
      <color rgb="FF000000"/>
      <name val="Aptos Narrow"/>
    </font>
    <font>
      <b/>
      <i val="0"/>
      <strike val="0"/>
      <sz val="12"/>
      <color rgb="FF000000"/>
      <name val="Aptos Narrow"/>
    </font>
    <font>
      <b/>
      <i val="0"/>
      <strike val="0"/>
      <sz val="10"/>
      <color rgb="FF006100"/>
      <name val="Aptos Narrow"/>
    </font>
    <font>
      <b/>
      <i val="0"/>
      <strike val="0"/>
      <sz val="10"/>
      <color rgb="FF0000FF"/>
      <name val="Aptos Narrow"/>
    </font>
    <font>
      <b val="0"/>
      <i/>
      <strike val="0"/>
      <sz val="10"/>
      <color rgb="FF0000FF"/>
      <name val="Aptos Narrow"/>
    </font>
    <font>
      <b val="0"/>
      <i/>
      <strike val="0"/>
      <sz val="10"/>
      <color rgb="FF0061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1F6FB"/>
      </patternFill>
    </fill>
    <fill>
      <patternFill patternType="solid">
        <fgColor rgb="FFECEFF2"/>
      </patternFill>
    </fill>
  </fills>
  <borders count="4">
    <border>
      <left/>
      <right/>
      <top/>
      <bottom/>
      <diagonal/>
    </border>
    <border>
      <top style="thin">
        <color rgb="FFABB2B9"/>
      </top>
      <bottom style="thin">
        <color rgb="FFABB2B9"/>
      </bottom>
    </border>
    <border>
      <top style="thin">
        <color rgb="FF9BA4AD"/>
      </top>
    </border>
    <border>
      <top style="thin">
        <color rgb="FF9BA4AD"/>
      </top>
      <bottom style="thin">
        <color rgb="FF9BA4AD"/>
      </bottom>
    </border>
  </borders>
  <cellStyleXfs count="1">
    <xf numFmtId="0" fontId="0" fillId="0" borderId="0"/>
  </cellStyleXfs>
  <cellXfs count="48">
    <xf numFmtId="0" fontId="0" fillId="0" borderId="0" xfId="0"/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0" fontId="3" fillId="3" borderId="1" xfId="0" applyFont="1" applyFill="1" applyBorder="1" applyAlignment="1" applyProtection="1">
      <alignment horizontal="general" vertical="top" wrapText="1"/>
      <protection locked="1" hidden="0"/>
    </xf>
    <xf numFmtId="165" fontId="2" fillId="3" borderId="1" xfId="0" applyNumberFormat="1" applyFont="1" applyFill="1" applyBorder="1" applyAlignment="1" applyProtection="1">
      <alignment horizontal="general" vertical="bottom"/>
      <protection locked="1" hidden="0"/>
    </xf>
    <xf numFmtId="164" fontId="3" fillId="3" borderId="1" xfId="0" applyNumberFormat="1" applyFont="1" applyFill="1" applyBorder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0" fontId="3" fillId="0" borderId="2" xfId="0" applyFont="1" applyFill="1" applyBorder="1" applyAlignment="1" applyProtection="1">
      <alignment horizontal="general" vertical="bottom"/>
      <protection locked="1" hidden="0"/>
    </xf>
    <xf numFmtId="166" fontId="7" fillId="2" borderId="0" xfId="0" applyNumberFormat="1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4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166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164" fontId="9" fillId="0" borderId="2" xfId="0" applyNumberFormat="1" applyFont="1" applyFill="1" applyBorder="1" applyAlignment="1" applyProtection="1">
      <alignment horizontal="general" vertical="bottom"/>
      <protection locked="1" hidden="0"/>
    </xf>
    <xf numFmtId="167" fontId="9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top" wrapText="1"/>
      <protection locked="1" hidden="0"/>
    </xf>
    <xf numFmtId="164" fontId="4" fillId="2" borderId="0" xfId="0" applyNumberFormat="1" applyFont="1" applyFill="1" applyAlignment="1" applyProtection="1">
      <alignment horizontal="general" vertical="bottom"/>
      <protection locked="1" hidden="0"/>
    </xf>
    <xf numFmtId="164" fontId="10" fillId="0" borderId="2" xfId="0" applyNumberFormat="1" applyFont="1" applyFill="1" applyBorder="1" applyAlignment="1" applyProtection="1">
      <alignment horizontal="general" vertical="bottom"/>
      <protection locked="1" hidden="0"/>
    </xf>
    <xf numFmtId="168" fontId="4" fillId="0" borderId="0" xfId="0" applyNumberFormat="1" applyFont="1" applyFill="1" applyAlignment="1" applyProtection="1">
      <alignment horizontal="general" vertical="bottom"/>
      <protection locked="1" hidden="0"/>
    </xf>
    <xf numFmtId="164" fontId="5" fillId="2" borderId="0" xfId="0" applyNumberFormat="1" applyFont="1" applyFill="1" applyAlignment="1" applyProtection="1">
      <alignment horizontal="general" vertical="bottom"/>
      <protection locked="1" hidden="0"/>
    </xf>
    <xf numFmtId="167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general" vertical="bottom"/>
      <protection locked="1" hidden="0"/>
    </xf>
    <xf numFmtId="166" fontId="11" fillId="2" borderId="0" xfId="0" applyNumberFormat="1" applyFont="1" applyFill="1" applyAlignment="1" applyProtection="1">
      <alignment horizontal="general" vertical="bottom"/>
      <protection locked="1" hidden="0"/>
    </xf>
    <xf numFmtId="164" fontId="3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67" fontId="3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6" fontId="12" fillId="0" borderId="0" xfId="0" applyNumberFormat="1" applyFont="1" applyFill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4" fontId="9" fillId="2" borderId="2" xfId="0" applyNumberFormat="1" applyFont="1" applyFill="1" applyBorder="1" applyAlignment="1" applyProtection="1">
      <alignment horizontal="general" vertical="bottom"/>
      <protection locked="1" hidden="0"/>
    </xf>
    <xf numFmtId="166" fontId="12" fillId="2" borderId="0" xfId="0" applyNumberFormat="1" applyFont="1" applyFill="1" applyAlignment="1" applyProtection="1">
      <alignment horizontal="general" vertical="bottom"/>
      <protection locked="1" hidden="0"/>
    </xf>
    <xf numFmtId="168" fontId="7" fillId="2" borderId="0" xfId="0" applyNumberFormat="1" applyFont="1" applyFill="1" applyAlignment="1" applyProtection="1">
      <alignment horizontal="general" vertical="bottom"/>
      <protection locked="1" hidden="0"/>
    </xf>
    <xf numFmtId="0" fontId="3" fillId="3" borderId="3" xfId="0" applyFont="1" applyFill="1" applyBorder="1" applyAlignment="1" applyProtection="1">
      <alignment horizontal="general" vertical="bottom"/>
      <protection locked="1" hidden="0"/>
    </xf>
    <xf numFmtId="168" fontId="11" fillId="0" borderId="0" xfId="0" applyNumberFormat="1" applyFont="1" applyFill="1" applyAlignment="1" applyProtection="1">
      <alignment horizontal="general" vertical="bottom"/>
      <protection locked="1" hidden="0"/>
    </xf>
    <xf numFmtId="167" fontId="4" fillId="0" borderId="0" xfId="0" applyNumberFormat="1" applyFont="1" applyFill="1" applyAlignment="1" applyProtection="1">
      <alignment horizontal="general" vertical="bottom"/>
      <protection locked="1" hidden="0"/>
    </xf>
    <xf numFmtId="0" fontId="3" fillId="3" borderId="0" xfId="0" applyFont="1" applyFill="1" applyAlignment="1" applyProtection="1">
      <alignment horizontal="general" vertical="bottom"/>
      <protection locked="1" hidden="0"/>
    </xf>
    <xf numFmtId="164" fontId="10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3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theme" Target="theme/theme1.xml"/><Relationship Id="rId1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85725</xdr:colOff>
      <xdr:row>0</xdr:row>
      <xdr:rowOff>66675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6"/>
  <sheetViews>
    <sheetView showGridLines="0" workbookViewId="0">
      <pane xSplit="3" ySplit="7" topLeftCell="D8" activePane="bottomRight" state="frozen"/>
    </sheetView>
  </sheetViews>
  <sheetFormatPr defaultRowHeight="15"/>
  <cols>
    <col min="1" max="1" width="2.8" customWidth="1"/>
    <col min="2" max="2" width="36" customWidth="1"/>
    <col min="3" max="3" width="2.5" customWidth="1"/>
    <col min="4" max="4" width="21" customWidth="1"/>
    <col min="5" max="5" width="23" customWidth="1"/>
    <col min="6" max="6" width="21" customWidth="1"/>
    <col min="7" max="7" width="19" customWidth="1"/>
    <col min="8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12</v>
      </c>
      <c r="C9" s="2"/>
      <c r="D9" s="1"/>
      <c r="E9" s="1"/>
      <c r="F9" s="1"/>
      <c r="G9" s="1"/>
      <c r="H9" s="1"/>
      <c r="I9" s="3"/>
      <c r="J9" s="2"/>
    </row>
    <row r="10">
      <c r="B10" s="2"/>
      <c r="C10" s="2"/>
      <c r="D10" s="1"/>
      <c r="E10" s="1"/>
      <c r="F10" s="1"/>
      <c r="G10" s="1"/>
      <c r="H10" s="1"/>
      <c r="I10" s="3"/>
      <c r="J10" s="2"/>
    </row>
    <row r="11">
      <c r="B11" s="2" t="s">
        <v>13</v>
      </c>
      <c r="C11" s="2"/>
      <c r="D11" s="1"/>
      <c r="E11" s="1"/>
      <c r="F11" s="1"/>
      <c r="G11" s="1"/>
      <c r="H11" s="1"/>
      <c r="I11" s="3"/>
      <c r="J11" s="2"/>
    </row>
    <row r="12">
      <c r="B12" s="2" t="s">
        <v>14</v>
      </c>
      <c r="C12" s="2"/>
      <c r="D12" s="1" t="s">
        <v>15</v>
      </c>
      <c r="E12" s="1" t="s">
        <v>16</v>
      </c>
      <c r="F12" s="1" t="s">
        <v>17</v>
      </c>
      <c r="G12" s="1" t="s">
        <v>18</v>
      </c>
      <c r="H12" s="1"/>
      <c r="I12" s="3"/>
      <c r="J12" s="2"/>
    </row>
    <row r="13">
      <c r="B13" s="14" t="s">
        <v>19</v>
      </c>
      <c r="C13" s="14"/>
      <c r="D13" s="21">
        <f>'Income Statement'!I9</f>
        <v>11285.7</v>
      </c>
      <c r="E13" s="21">
        <f>Inputs!D48</f>
        <v>11328.63</v>
      </c>
      <c r="F13" s="21">
        <f>Guidance!G11</f>
        <v>11309.8</v>
      </c>
      <c r="G13" s="19">
        <f>D13/E13-1</f>
        <v>-0.003789513824707713</v>
      </c>
      <c r="H13" s="1"/>
      <c r="I13" s="3"/>
      <c r="J13" s="2" t="s">
        <v>20</v>
      </c>
    </row>
    <row r="14">
      <c r="B14" s="14" t="s">
        <v>21</v>
      </c>
      <c r="C14" s="14"/>
      <c r="D14" s="21">
        <f>'Income Statement'!I41</f>
        <v>596.1862023000007</v>
      </c>
      <c r="E14" s="21">
        <f>Inputs!D58</f>
        <v>654.36</v>
      </c>
      <c r="F14" s="18" t="s">
        <v>22</v>
      </c>
      <c r="G14" s="19">
        <f>D14/E14-1</f>
        <v>-0.0889018242251961</v>
      </c>
      <c r="H14" s="1"/>
      <c r="I14" s="3"/>
      <c r="J14" s="2"/>
    </row>
    <row r="15">
      <c r="B15" s="14" t="s">
        <v>23</v>
      </c>
      <c r="C15" s="14"/>
      <c r="D15" s="22">
        <f>'Income Statement'!I42</f>
        <v>0.40147219010101054</v>
      </c>
      <c r="E15" s="22">
        <f>Inputs!D31</f>
        <v>0.44</v>
      </c>
      <c r="F15" s="18" t="s">
        <v>22</v>
      </c>
      <c r="G15" s="28">
        <f>D15-E15</f>
        <v>-0.03852780989898946</v>
      </c>
      <c r="H15" s="1"/>
      <c r="I15" s="3"/>
      <c r="J15" s="2" t="s">
        <v>24</v>
      </c>
    </row>
    <row r="16">
      <c r="B16" s="14" t="s">
        <v>25</v>
      </c>
      <c r="C16" s="14"/>
      <c r="D16" s="22">
        <f>'Income Statement'!I35</f>
        <v>0.40147219010101054</v>
      </c>
      <c r="E16" s="22">
        <f>Inputs!D40</f>
        <v>0.44</v>
      </c>
      <c r="F16" s="18" t="s">
        <v>22</v>
      </c>
      <c r="G16" s="28">
        <f>D16-E16</f>
        <v>-0.03852780989898946</v>
      </c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26</v>
      </c>
      <c r="C18" s="2"/>
      <c r="D18" s="26">
        <v>0.37</v>
      </c>
      <c r="E18" s="1"/>
      <c r="F18" s="1"/>
      <c r="G18" s="1"/>
      <c r="H18" s="1"/>
      <c r="I18" s="3"/>
      <c r="J18" s="2" t="s">
        <v>27</v>
      </c>
    </row>
    <row r="19">
      <c r="B19" s="2" t="s">
        <v>28</v>
      </c>
      <c r="C19" s="2"/>
      <c r="D19" s="10" t="s">
        <v>29</v>
      </c>
      <c r="E19" s="1"/>
      <c r="F19" s="1"/>
      <c r="G19" s="1"/>
      <c r="H19" s="1"/>
      <c r="I19" s="3"/>
      <c r="J19" s="2"/>
    </row>
    <row r="20">
      <c r="B20" s="2"/>
      <c r="C20" s="2"/>
      <c r="D20" s="1"/>
      <c r="E20" s="1"/>
      <c r="F20" s="1"/>
      <c r="G20" s="1"/>
      <c r="H20" s="1"/>
      <c r="I20" s="3"/>
      <c r="J20" s="2"/>
    </row>
    <row r="21">
      <c r="B21" s="14" t="s">
        <v>30</v>
      </c>
      <c r="C21" s="14"/>
      <c r="D21" s="21" t="str">
        <f>IF(AND('Revenue summary'!I69=0,'Revenue summary'!I85=0,'Balance Sheet'!I38=0,'Cash Flow Statement'!I40=0,Geo!I54=0,'Income Statement'!I36=0,D13='Income Statement'!I9,D14='Income Statement'!I41,D15='Income Statement'!I42),"PASS","FAIL")</f>
        <v>PASS</v>
      </c>
      <c r="E21" s="18"/>
      <c r="F21" s="18"/>
      <c r="G21" s="18"/>
      <c r="H21" s="1"/>
      <c r="I21" s="3"/>
      <c r="J21" s="2"/>
    </row>
    <row r="22">
      <c r="B22" s="2"/>
      <c r="C22" s="2"/>
      <c r="D22" s="1"/>
      <c r="E22" s="1"/>
      <c r="F22" s="1"/>
      <c r="G22" s="1"/>
      <c r="H22" s="1"/>
      <c r="I22" s="3"/>
      <c r="J22" s="2"/>
    </row>
    <row r="23">
      <c r="B23" s="2"/>
      <c r="C23" s="2"/>
      <c r="D23" s="1"/>
      <c r="E23" s="1"/>
      <c r="F23" s="1"/>
      <c r="G23" s="1"/>
      <c r="H23" s="1"/>
      <c r="I23" s="3"/>
      <c r="J23" s="2"/>
    </row>
    <row r="24">
      <c r="B24" s="2" t="s">
        <v>31</v>
      </c>
      <c r="C24" s="2"/>
      <c r="D24" s="1" t="s">
        <v>32</v>
      </c>
      <c r="E24" s="1"/>
      <c r="F24" s="1"/>
      <c r="G24" s="1"/>
      <c r="H24" s="1"/>
      <c r="I24" s="3"/>
      <c r="J24" s="2"/>
    </row>
    <row r="25">
      <c r="B25" s="2" t="s">
        <v>33</v>
      </c>
      <c r="C25" s="2"/>
      <c r="D25" s="10" t="s">
        <v>34</v>
      </c>
      <c r="E25" s="1"/>
      <c r="F25" s="1"/>
      <c r="G25" s="1"/>
      <c r="H25" s="1"/>
      <c r="I25" s="3"/>
      <c r="J25" s="2"/>
    </row>
    <row r="26">
      <c r="B26" s="2" t="s">
        <v>35</v>
      </c>
      <c r="C26" s="2"/>
      <c r="D26" s="1" t="s">
        <v>36</v>
      </c>
      <c r="E26" s="1"/>
      <c r="F26" s="1"/>
      <c r="G26" s="1"/>
      <c r="H26" s="1"/>
      <c r="I26" s="3"/>
      <c r="J26" s="2"/>
    </row>
    <row r="27">
      <c r="B27" s="2" t="s">
        <v>37</v>
      </c>
      <c r="C27" s="2"/>
      <c r="D27" s="1" t="s">
        <v>38</v>
      </c>
      <c r="E27" s="1"/>
      <c r="F27" s="1"/>
      <c r="G27" s="1"/>
      <c r="H27" s="1"/>
      <c r="I27" s="3"/>
      <c r="J27" s="2"/>
    </row>
    <row r="28">
      <c r="B28" s="2" t="s">
        <v>39</v>
      </c>
      <c r="C28" s="2"/>
      <c r="D28" s="1" t="s">
        <v>40</v>
      </c>
      <c r="E28" s="1"/>
      <c r="F28" s="1"/>
      <c r="G28" s="1"/>
      <c r="H28" s="1"/>
      <c r="I28" s="3"/>
      <c r="J28" s="2"/>
    </row>
    <row r="29">
      <c r="B29" s="2" t="s">
        <v>41</v>
      </c>
      <c r="C29" s="2"/>
      <c r="D29" s="37">
        <f>Inputs!D30</f>
        <v>46296</v>
      </c>
      <c r="E29" s="1"/>
      <c r="F29" s="1"/>
      <c r="G29" s="1"/>
      <c r="H29" s="1"/>
      <c r="I29" s="3"/>
      <c r="J29" s="2"/>
    </row>
    <row r="30">
      <c r="B30" s="2" t="s">
        <v>42</v>
      </c>
      <c r="C30" s="2"/>
      <c r="D30" s="1" t="s">
        <v>43</v>
      </c>
      <c r="E30" s="1"/>
      <c r="F30" s="1"/>
      <c r="G30" s="1"/>
      <c r="H30" s="1"/>
      <c r="I30" s="3"/>
      <c r="J30" s="2"/>
    </row>
    <row r="31">
      <c r="B31" s="2"/>
      <c r="C31" s="2"/>
      <c r="D31" s="1"/>
      <c r="E31" s="1"/>
      <c r="F31" s="1"/>
      <c r="G31" s="1"/>
      <c r="H31" s="1"/>
      <c r="I31" s="3"/>
      <c r="J31" s="2"/>
    </row>
    <row r="32">
      <c r="B32" s="2" t="s">
        <v>44</v>
      </c>
      <c r="C32" s="2"/>
      <c r="D32" s="1" t="s">
        <v>45</v>
      </c>
      <c r="E32" s="1"/>
      <c r="F32" s="1"/>
      <c r="G32" s="1"/>
      <c r="H32" s="1"/>
      <c r="I32" s="3"/>
      <c r="J32" s="2"/>
    </row>
    <row r="33">
      <c r="B33" s="2" t="s">
        <v>46</v>
      </c>
      <c r="C33" s="2"/>
      <c r="D33" s="1" t="s">
        <v>47</v>
      </c>
      <c r="E33" s="1"/>
      <c r="F33" s="1"/>
      <c r="G33" s="1"/>
      <c r="H33" s="1"/>
      <c r="I33" s="3"/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 t="s">
        <v>48</v>
      </c>
      <c r="C35" s="2"/>
      <c r="D35" s="1"/>
      <c r="E35" s="1"/>
      <c r="F35" s="1"/>
      <c r="G35" s="1"/>
      <c r="H35" s="1"/>
      <c r="I35" s="3"/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160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49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50</v>
      </c>
      <c r="C9" s="2"/>
      <c r="D9" s="11">
        <f>'Segment - North America'!D45</f>
        <v>5020</v>
      </c>
      <c r="E9" s="11">
        <f>'Segment - North America'!E45</f>
        <v>5633</v>
      </c>
      <c r="F9" s="11">
        <f>'Segment - North America'!F45</f>
        <v>5026</v>
      </c>
      <c r="G9" s="11">
        <f>'Segment - North America'!G45</f>
        <v>4832</v>
      </c>
      <c r="H9" s="11">
        <f>'Segment - North America'!H45</f>
        <v>20511</v>
      </c>
      <c r="I9" s="27">
        <f>'Segment - North America'!I45</f>
        <v>5135.14</v>
      </c>
      <c r="J9" s="2"/>
    </row>
    <row r="10">
      <c r="B10" s="2" t="s">
        <v>51</v>
      </c>
      <c r="C10" s="2"/>
      <c r="D10" s="29"/>
      <c r="E10" s="29"/>
      <c r="F10" s="29"/>
      <c r="G10" s="29"/>
      <c r="H10" s="29"/>
      <c r="I10" s="15">
        <f>I9/D9-1</f>
        <v>0.022936254980079784</v>
      </c>
      <c r="J10" s="2"/>
    </row>
    <row r="11">
      <c r="B11" s="2" t="s">
        <v>52</v>
      </c>
      <c r="C11" s="2"/>
      <c r="D11" s="29"/>
      <c r="E11" s="29">
        <f>E9/D9-1</f>
        <v>0.1221115537848605</v>
      </c>
      <c r="F11" s="29">
        <f>F9/E9-1</f>
        <v>-0.10775785549440797</v>
      </c>
      <c r="G11" s="29">
        <f>G9/F9-1</f>
        <v>-0.03859928372463195</v>
      </c>
      <c r="H11" s="29"/>
      <c r="I11" s="15">
        <f>I9/G9-1</f>
        <v>0.06273592715231802</v>
      </c>
      <c r="J11" s="2"/>
    </row>
    <row r="12">
      <c r="B12" s="2" t="s">
        <v>53</v>
      </c>
      <c r="C12" s="2"/>
      <c r="D12" s="29">
        <f>D9/D66</f>
        <v>0.4283276450511945</v>
      </c>
      <c r="E12" s="29">
        <f>E9/E66</f>
        <v>0.4532871972318339</v>
      </c>
      <c r="F12" s="29">
        <f>F9/F66</f>
        <v>0.44560688004255694</v>
      </c>
      <c r="G12" s="29">
        <f>G9/G66</f>
        <v>0.44039372949325556</v>
      </c>
      <c r="H12" s="29">
        <f>H9/H66</f>
        <v>0.4420664683822579</v>
      </c>
      <c r="I12" s="15">
        <f>I9/I66</f>
        <v>0.45501298102908994</v>
      </c>
      <c r="J12" s="2"/>
    </row>
    <row r="13">
      <c r="B13" s="2" t="s">
        <v>54</v>
      </c>
      <c r="C13" s="2"/>
      <c r="D13" s="29"/>
      <c r="E13" s="29"/>
      <c r="F13" s="29"/>
      <c r="G13" s="29"/>
      <c r="H13" s="29"/>
      <c r="I13" s="15">
        <f>(1+I16)/((1+I14)*(1+I15))-1</f>
        <v>0.022936254980079784</v>
      </c>
      <c r="J13" s="2"/>
    </row>
    <row r="14">
      <c r="B14" s="2" t="s">
        <v>55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56</v>
      </c>
      <c r="C15" s="2"/>
      <c r="D15" s="29"/>
      <c r="E15" s="29"/>
      <c r="F15" s="29"/>
      <c r="G15" s="29"/>
      <c r="H15" s="29"/>
      <c r="I15" s="30">
        <v>0</v>
      </c>
      <c r="J15" s="2"/>
    </row>
    <row r="16">
      <c r="B16" s="2" t="s">
        <v>57</v>
      </c>
      <c r="C16" s="2"/>
      <c r="D16" s="29"/>
      <c r="E16" s="29"/>
      <c r="F16" s="29"/>
      <c r="G16" s="29"/>
      <c r="H16" s="29"/>
      <c r="I16" s="15">
        <f>I9/D9-1</f>
        <v>0.022936254980079784</v>
      </c>
      <c r="J16" s="2"/>
    </row>
    <row r="17">
      <c r="B17" s="2" t="s">
        <v>58</v>
      </c>
      <c r="C17" s="2"/>
      <c r="D17" s="11">
        <f>'Segment - EMEA'!D45</f>
        <v>3331</v>
      </c>
      <c r="E17" s="11">
        <f>'Segment - EMEA'!E45</f>
        <v>3392</v>
      </c>
      <c r="F17" s="11">
        <f>'Segment - EMEA'!F45</f>
        <v>2874</v>
      </c>
      <c r="G17" s="11">
        <f>'Segment - EMEA'!G45</f>
        <v>2975</v>
      </c>
      <c r="H17" s="11">
        <f>'Segment - EMEA'!H45</f>
        <v>12572</v>
      </c>
      <c r="I17" s="27">
        <f>'Segment - EMEA'!I45</f>
        <v>3135.09</v>
      </c>
      <c r="J17" s="2"/>
    </row>
    <row r="18">
      <c r="B18" s="2" t="s">
        <v>51</v>
      </c>
      <c r="C18" s="2"/>
      <c r="D18" s="29"/>
      <c r="E18" s="29"/>
      <c r="F18" s="29"/>
      <c r="G18" s="29"/>
      <c r="H18" s="29"/>
      <c r="I18" s="15">
        <f>I17/D17-1</f>
        <v>-0.05881416991894317</v>
      </c>
      <c r="J18" s="2"/>
    </row>
    <row r="19">
      <c r="B19" s="2" t="s">
        <v>52</v>
      </c>
      <c r="C19" s="2"/>
      <c r="D19" s="29"/>
      <c r="E19" s="29">
        <f>E17/D17-1</f>
        <v>0.018312818973281297</v>
      </c>
      <c r="F19" s="29">
        <f>F17/E17-1</f>
        <v>-0.1527122641509434</v>
      </c>
      <c r="G19" s="29">
        <f>G17/F17-1</f>
        <v>0.03514265831593599</v>
      </c>
      <c r="H19" s="29"/>
      <c r="I19" s="15">
        <f>I17/G17-1</f>
        <v>0.05381176470588245</v>
      </c>
      <c r="J19" s="2"/>
    </row>
    <row r="20">
      <c r="B20" s="2" t="s">
        <v>53</v>
      </c>
      <c r="C20" s="2"/>
      <c r="D20" s="29">
        <f>D17/D66</f>
        <v>0.2842150170648464</v>
      </c>
      <c r="E20" s="29">
        <f>E17/E66</f>
        <v>0.27295405166170433</v>
      </c>
      <c r="F20" s="29">
        <f>F17/F66</f>
        <v>0.25480982356591897</v>
      </c>
      <c r="G20" s="29">
        <f>G17/G66</f>
        <v>0.271144732045206</v>
      </c>
      <c r="H20" s="29">
        <f>H17/H66</f>
        <v>0.2709599551704815</v>
      </c>
      <c r="I20" s="15">
        <f>I17/I66</f>
        <v>0.27779313644700815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-0.05881416991894317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I17/D17-1</f>
        <v>-0.05881416991894317</v>
      </c>
      <c r="J24" s="2"/>
    </row>
    <row r="25">
      <c r="B25" s="2" t="s">
        <v>59</v>
      </c>
      <c r="C25" s="2"/>
      <c r="D25" s="11">
        <f>'Segment - Greater China'!D45</f>
        <v>1512</v>
      </c>
      <c r="E25" s="11">
        <f>'Segment - Greater China'!E45</f>
        <v>1423</v>
      </c>
      <c r="F25" s="11">
        <f>'Segment - Greater China'!F45</f>
        <v>1615</v>
      </c>
      <c r="G25" s="11">
        <f>'Segment - Greater China'!G45</f>
        <v>1297</v>
      </c>
      <c r="H25" s="11">
        <f>'Segment - Greater China'!H45</f>
        <v>5847</v>
      </c>
      <c r="I25" s="27">
        <f>'Segment - Greater China'!I45</f>
        <v>1270.0300000000002</v>
      </c>
      <c r="J25" s="2"/>
    </row>
    <row r="26">
      <c r="B26" s="2" t="s">
        <v>51</v>
      </c>
      <c r="C26" s="2"/>
      <c r="D26" s="29"/>
      <c r="E26" s="29"/>
      <c r="F26" s="29"/>
      <c r="G26" s="29"/>
      <c r="H26" s="29"/>
      <c r="I26" s="15">
        <f>I25/D25-1</f>
        <v>-0.16003306878306867</v>
      </c>
      <c r="J26" s="2"/>
    </row>
    <row r="27">
      <c r="B27" s="2" t="s">
        <v>52</v>
      </c>
      <c r="C27" s="2"/>
      <c r="D27" s="29"/>
      <c r="E27" s="29">
        <f>E25/D25-1</f>
        <v>-0.05886243386243384</v>
      </c>
      <c r="F27" s="29">
        <f>F25/E25-1</f>
        <v>0.13492621222768797</v>
      </c>
      <c r="G27" s="29">
        <f>G25/F25-1</f>
        <v>-0.1969040247678019</v>
      </c>
      <c r="H27" s="29"/>
      <c r="I27" s="15">
        <f>I25/G25-1</f>
        <v>-0.020794140323824095</v>
      </c>
      <c r="J27" s="2"/>
    </row>
    <row r="28">
      <c r="B28" s="2" t="s">
        <v>53</v>
      </c>
      <c r="C28" s="2"/>
      <c r="D28" s="29">
        <f>D25/D66</f>
        <v>0.12901023890784982</v>
      </c>
      <c r="E28" s="29">
        <f>E25/E66</f>
        <v>0.11450873098897561</v>
      </c>
      <c r="F28" s="29">
        <f>F25/F66</f>
        <v>0.14318645269970742</v>
      </c>
      <c r="G28" s="29">
        <f>G25/G66</f>
        <v>0.11820998906306963</v>
      </c>
      <c r="H28" s="29">
        <f>H25/H66</f>
        <v>0.12601836286046814</v>
      </c>
      <c r="I28" s="15">
        <f>I25/I66</f>
        <v>0.1125344462461345</v>
      </c>
      <c r="J28" s="2"/>
    </row>
    <row r="29">
      <c r="B29" s="2" t="s">
        <v>54</v>
      </c>
      <c r="C29" s="2"/>
      <c r="D29" s="29"/>
      <c r="E29" s="29"/>
      <c r="F29" s="29"/>
      <c r="G29" s="29"/>
      <c r="H29" s="29"/>
      <c r="I29" s="15">
        <f>(1+I32)/((1+I30)*(1+I31))-1</f>
        <v>-0.16003306878306867</v>
      </c>
      <c r="J29" s="2"/>
    </row>
    <row r="30">
      <c r="B30" s="2" t="s">
        <v>55</v>
      </c>
      <c r="C30" s="2"/>
      <c r="D30" s="29"/>
      <c r="E30" s="29"/>
      <c r="F30" s="29"/>
      <c r="G30" s="29"/>
      <c r="H30" s="29"/>
      <c r="I30" s="30">
        <v>0</v>
      </c>
      <c r="J30" s="2"/>
    </row>
    <row r="31">
      <c r="B31" s="2" t="s">
        <v>56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57</v>
      </c>
      <c r="C32" s="2"/>
      <c r="D32" s="29"/>
      <c r="E32" s="29"/>
      <c r="F32" s="29"/>
      <c r="G32" s="29"/>
      <c r="H32" s="29"/>
      <c r="I32" s="15">
        <f>I25/D25-1</f>
        <v>-0.16003306878306867</v>
      </c>
      <c r="J32" s="2"/>
    </row>
    <row r="33">
      <c r="B33" s="2" t="s">
        <v>60</v>
      </c>
      <c r="C33" s="2"/>
      <c r="D33" s="11">
        <f>'Segment - APLA'!D45</f>
        <v>1490</v>
      </c>
      <c r="E33" s="11">
        <f>'Segment - APLA'!E45</f>
        <v>1667</v>
      </c>
      <c r="F33" s="11">
        <f>'Segment - APLA'!F45</f>
        <v>1490</v>
      </c>
      <c r="G33" s="11">
        <f>'Segment - APLA'!G45</f>
        <v>1596</v>
      </c>
      <c r="H33" s="11">
        <f>'Segment - APLA'!H45</f>
        <v>6243</v>
      </c>
      <c r="I33" s="27">
        <f>'Segment - APLA'!I45</f>
        <v>1469.59</v>
      </c>
      <c r="J33" s="2"/>
    </row>
    <row r="34">
      <c r="B34" s="2" t="s">
        <v>51</v>
      </c>
      <c r="C34" s="2"/>
      <c r="D34" s="29"/>
      <c r="E34" s="29"/>
      <c r="F34" s="29"/>
      <c r="G34" s="29"/>
      <c r="H34" s="29"/>
      <c r="I34" s="15">
        <f>I33/D33-1</f>
        <v>-0.013697986577181243</v>
      </c>
      <c r="J34" s="2"/>
    </row>
    <row r="35">
      <c r="B35" s="2" t="s">
        <v>52</v>
      </c>
      <c r="C35" s="2"/>
      <c r="D35" s="29"/>
      <c r="E35" s="29">
        <f>E33/D33-1</f>
        <v>0.1187919463087248</v>
      </c>
      <c r="F35" s="29">
        <f>F33/E33-1</f>
        <v>-0.10617876424715056</v>
      </c>
      <c r="G35" s="29">
        <f>G33/F33-1</f>
        <v>0.07114093959731549</v>
      </c>
      <c r="H35" s="29"/>
      <c r="I35" s="15">
        <f>I33/G33-1</f>
        <v>-0.07920426065162911</v>
      </c>
      <c r="J35" s="2"/>
    </row>
    <row r="36">
      <c r="B36" s="2" t="s">
        <v>53</v>
      </c>
      <c r="C36" s="2"/>
      <c r="D36" s="29">
        <f>D33/D66</f>
        <v>0.12713310580204779</v>
      </c>
      <c r="E36" s="29">
        <f>E33/E66</f>
        <v>0.13414339744105577</v>
      </c>
      <c r="F36" s="29">
        <f>F33/F66</f>
        <v>0.1321039099210923</v>
      </c>
      <c r="G36" s="29">
        <f>G33/G66</f>
        <v>0.14546117389719285</v>
      </c>
      <c r="H36" s="29">
        <f>H33/H66</f>
        <v>0.13455321350058191</v>
      </c>
      <c r="I36" s="15">
        <f>I33/I66</f>
        <v>0.1302170002746839</v>
      </c>
      <c r="J36" s="2"/>
    </row>
    <row r="37">
      <c r="B37" s="2" t="s">
        <v>54</v>
      </c>
      <c r="C37" s="2"/>
      <c r="D37" s="29"/>
      <c r="E37" s="29"/>
      <c r="F37" s="29"/>
      <c r="G37" s="29"/>
      <c r="H37" s="29"/>
      <c r="I37" s="15">
        <f>(1+I40)/((1+I38)*(1+I39))-1</f>
        <v>-0.013697986577181243</v>
      </c>
      <c r="J37" s="2"/>
    </row>
    <row r="38">
      <c r="B38" s="2" t="s">
        <v>55</v>
      </c>
      <c r="C38" s="2"/>
      <c r="D38" s="29"/>
      <c r="E38" s="29"/>
      <c r="F38" s="29"/>
      <c r="G38" s="29"/>
      <c r="H38" s="29"/>
      <c r="I38" s="30">
        <v>0</v>
      </c>
      <c r="J38" s="2"/>
    </row>
    <row r="39">
      <c r="B39" s="2" t="s">
        <v>56</v>
      </c>
      <c r="C39" s="2"/>
      <c r="D39" s="29"/>
      <c r="E39" s="29"/>
      <c r="F39" s="29"/>
      <c r="G39" s="29"/>
      <c r="H39" s="29"/>
      <c r="I39" s="30">
        <v>0</v>
      </c>
      <c r="J39" s="2"/>
    </row>
    <row r="40">
      <c r="B40" s="2" t="s">
        <v>57</v>
      </c>
      <c r="C40" s="2"/>
      <c r="D40" s="29"/>
      <c r="E40" s="29"/>
      <c r="F40" s="29"/>
      <c r="G40" s="29"/>
      <c r="H40" s="29"/>
      <c r="I40" s="15">
        <f>I33/D33-1</f>
        <v>-0.013697986577181243</v>
      </c>
      <c r="J40" s="2"/>
    </row>
    <row r="41">
      <c r="B41" s="2" t="s">
        <v>61</v>
      </c>
      <c r="C41" s="2"/>
      <c r="D41" s="10">
        <v>9</v>
      </c>
      <c r="E41" s="10">
        <v>9</v>
      </c>
      <c r="F41" s="10">
        <v>7</v>
      </c>
      <c r="G41" s="10">
        <v>24</v>
      </c>
      <c r="H41" s="1">
        <f>SUM(D41:G41)</f>
        <v>49</v>
      </c>
      <c r="I41" s="3">
        <f>D41*(1+I42)</f>
        <v>9.9</v>
      </c>
      <c r="J41" s="2" t="s">
        <v>62</v>
      </c>
    </row>
    <row r="42">
      <c r="B42" s="2" t="s">
        <v>51</v>
      </c>
      <c r="C42" s="2"/>
      <c r="D42" s="29"/>
      <c r="E42" s="29"/>
      <c r="F42" s="29"/>
      <c r="G42" s="29"/>
      <c r="H42" s="29"/>
      <c r="I42" s="30">
        <v>0.1</v>
      </c>
      <c r="J42" s="2"/>
    </row>
    <row r="43">
      <c r="B43" s="2" t="s">
        <v>52</v>
      </c>
      <c r="C43" s="2"/>
      <c r="D43" s="29"/>
      <c r="E43" s="29">
        <f>E41/D41-1</f>
        <v>0</v>
      </c>
      <c r="F43" s="29">
        <f>F41/E41-1</f>
        <v>-0.2222222222222222</v>
      </c>
      <c r="G43" s="29">
        <f>G41/F41-1</f>
        <v>2.4285714285714284</v>
      </c>
      <c r="H43" s="29"/>
      <c r="I43" s="15">
        <f>I41/G41-1</f>
        <v>-0.5874999999999999</v>
      </c>
      <c r="J43" s="2"/>
    </row>
    <row r="44">
      <c r="B44" s="2" t="s">
        <v>53</v>
      </c>
      <c r="C44" s="2"/>
      <c r="D44" s="29">
        <f>D41/D66</f>
        <v>0.0007679180887372013</v>
      </c>
      <c r="E44" s="29">
        <f>E41/E66</f>
        <v>0.0007242295002816448</v>
      </c>
      <c r="F44" s="29">
        <f>F41/F66</f>
        <v>0.000620622395602447</v>
      </c>
      <c r="G44" s="29">
        <f>G41/G66</f>
        <v>0.002187386073641998</v>
      </c>
      <c r="H44" s="29">
        <f>H41/H66</f>
        <v>0.0010560800034484245</v>
      </c>
      <c r="I44" s="15">
        <f>I41/I66</f>
        <v>0.0008772163002737978</v>
      </c>
      <c r="J44" s="2"/>
    </row>
    <row r="45">
      <c r="B45" s="2" t="s">
        <v>54</v>
      </c>
      <c r="C45" s="2"/>
      <c r="D45" s="29"/>
      <c r="E45" s="29"/>
      <c r="F45" s="29"/>
      <c r="G45" s="29"/>
      <c r="H45" s="29"/>
      <c r="I45" s="15">
        <f>(1+I48)/((1+I46)*(1+I47))-1</f>
        <v>0.10000000000000009</v>
      </c>
      <c r="J45" s="2"/>
    </row>
    <row r="46">
      <c r="B46" s="2" t="s">
        <v>55</v>
      </c>
      <c r="C46" s="2"/>
      <c r="D46" s="29"/>
      <c r="E46" s="29"/>
      <c r="F46" s="29"/>
      <c r="G46" s="29"/>
      <c r="H46" s="29"/>
      <c r="I46" s="30">
        <v>0</v>
      </c>
      <c r="J46" s="2"/>
    </row>
    <row r="47">
      <c r="B47" s="2" t="s">
        <v>56</v>
      </c>
      <c r="C47" s="2"/>
      <c r="D47" s="29"/>
      <c r="E47" s="29"/>
      <c r="F47" s="29"/>
      <c r="G47" s="29"/>
      <c r="H47" s="29"/>
      <c r="I47" s="30">
        <v>0</v>
      </c>
      <c r="J47" s="2"/>
    </row>
    <row r="48">
      <c r="B48" s="2" t="s">
        <v>57</v>
      </c>
      <c r="C48" s="2"/>
      <c r="D48" s="29"/>
      <c r="E48" s="29"/>
      <c r="F48" s="29"/>
      <c r="G48" s="29"/>
      <c r="H48" s="29"/>
      <c r="I48" s="15">
        <f>I41/D41-1</f>
        <v>0.10000000000000009</v>
      </c>
      <c r="J48" s="2"/>
    </row>
    <row r="49">
      <c r="B49" s="2" t="s">
        <v>63</v>
      </c>
      <c r="C49" s="2"/>
      <c r="D49" s="11">
        <f>'Segment - Converse'!D45</f>
        <v>366</v>
      </c>
      <c r="E49" s="11">
        <f>'Segment - Converse'!E45</f>
        <v>300</v>
      </c>
      <c r="F49" s="11">
        <f>'Segment - Converse'!F45</f>
        <v>264</v>
      </c>
      <c r="G49" s="11">
        <f>'Segment - Converse'!G45</f>
        <v>244</v>
      </c>
      <c r="H49" s="11">
        <f>'Segment - Converse'!H45</f>
        <v>1174</v>
      </c>
      <c r="I49" s="27">
        <f>'Segment - Converse'!I45</f>
        <v>273.95</v>
      </c>
      <c r="J49" s="2"/>
    </row>
    <row r="50">
      <c r="B50" s="2" t="s">
        <v>51</v>
      </c>
      <c r="C50" s="2"/>
      <c r="D50" s="29"/>
      <c r="E50" s="29"/>
      <c r="F50" s="29"/>
      <c r="G50" s="29"/>
      <c r="H50" s="29"/>
      <c r="I50" s="15">
        <f>I49/D49-1</f>
        <v>-0.2515027322404372</v>
      </c>
      <c r="J50" s="2"/>
    </row>
    <row r="51">
      <c r="B51" s="2" t="s">
        <v>52</v>
      </c>
      <c r="C51" s="2"/>
      <c r="D51" s="29"/>
      <c r="E51" s="29">
        <f>E49/D49-1</f>
        <v>-0.180327868852459</v>
      </c>
      <c r="F51" s="29">
        <f>F49/E49-1</f>
        <v>-0.12</v>
      </c>
      <c r="G51" s="29">
        <f>G49/F49-1</f>
        <v>-0.0757575757575758</v>
      </c>
      <c r="H51" s="29"/>
      <c r="I51" s="15">
        <f>I49/G49-1</f>
        <v>0.12274590163934418</v>
      </c>
      <c r="J51" s="2"/>
    </row>
    <row r="52">
      <c r="B52" s="2" t="s">
        <v>53</v>
      </c>
      <c r="C52" s="2"/>
      <c r="D52" s="29">
        <f>D49/D66</f>
        <v>0.031228668941979523</v>
      </c>
      <c r="E52" s="29">
        <f>E49/E66</f>
        <v>0.024140983342721495</v>
      </c>
      <c r="F52" s="29">
        <f>F49/F66</f>
        <v>0.023406330348435145</v>
      </c>
      <c r="G52" s="29">
        <f>G49/G66</f>
        <v>0.022238425082026978</v>
      </c>
      <c r="H52" s="29">
        <f>H49/H66</f>
        <v>0.025302814776498986</v>
      </c>
      <c r="I52" s="15">
        <f>I49/I66</f>
        <v>0.024274081359596654</v>
      </c>
      <c r="J52" s="2"/>
    </row>
    <row r="53">
      <c r="B53" s="2" t="s">
        <v>54</v>
      </c>
      <c r="C53" s="2"/>
      <c r="D53" s="29"/>
      <c r="E53" s="29"/>
      <c r="F53" s="29"/>
      <c r="G53" s="29"/>
      <c r="H53" s="29"/>
      <c r="I53" s="15">
        <f>(1+I56)/((1+I54)*(1+I55))-1</f>
        <v>-0.2515027322404372</v>
      </c>
      <c r="J53" s="2"/>
    </row>
    <row r="54">
      <c r="B54" s="2" t="s">
        <v>55</v>
      </c>
      <c r="C54" s="2"/>
      <c r="D54" s="29"/>
      <c r="E54" s="29"/>
      <c r="F54" s="29"/>
      <c r="G54" s="29"/>
      <c r="H54" s="29"/>
      <c r="I54" s="30">
        <v>0</v>
      </c>
      <c r="J54" s="2"/>
    </row>
    <row r="55">
      <c r="B55" s="2" t="s">
        <v>56</v>
      </c>
      <c r="C55" s="2"/>
      <c r="D55" s="29"/>
      <c r="E55" s="29"/>
      <c r="F55" s="29"/>
      <c r="G55" s="29"/>
      <c r="H55" s="29"/>
      <c r="I55" s="30">
        <v>0</v>
      </c>
      <c r="J55" s="2"/>
    </row>
    <row r="56">
      <c r="B56" s="2" t="s">
        <v>57</v>
      </c>
      <c r="C56" s="2"/>
      <c r="D56" s="29"/>
      <c r="E56" s="29"/>
      <c r="F56" s="29"/>
      <c r="G56" s="29"/>
      <c r="H56" s="29"/>
      <c r="I56" s="15">
        <f>I49/D49-1</f>
        <v>-0.2515027322404372</v>
      </c>
      <c r="J56" s="2"/>
    </row>
    <row r="57">
      <c r="B57" s="2" t="s">
        <v>64</v>
      </c>
      <c r="C57" s="2"/>
      <c r="D57" s="10">
        <v>-8</v>
      </c>
      <c r="E57" s="10">
        <v>3</v>
      </c>
      <c r="F57" s="10">
        <v>3</v>
      </c>
      <c r="G57" s="10">
        <v>4</v>
      </c>
      <c r="H57" s="1">
        <f>SUM(D57:G57)</f>
        <v>2</v>
      </c>
      <c r="I57" s="3">
        <f>D57</f>
        <v>-8</v>
      </c>
      <c r="J57" s="2" t="s">
        <v>65</v>
      </c>
    </row>
    <row r="58">
      <c r="B58" s="2" t="s">
        <v>51</v>
      </c>
      <c r="C58" s="2"/>
      <c r="D58" s="29"/>
      <c r="E58" s="29"/>
      <c r="F58" s="29"/>
      <c r="G58" s="29"/>
      <c r="H58" s="29"/>
      <c r="I58" s="15">
        <f>I57/D57-1</f>
        <v>0</v>
      </c>
      <c r="J58" s="2"/>
    </row>
    <row r="59">
      <c r="B59" s="2" t="s">
        <v>52</v>
      </c>
      <c r="C59" s="2"/>
      <c r="D59" s="29"/>
      <c r="E59" s="29">
        <f>E57/D57-1</f>
        <v>-1.375</v>
      </c>
      <c r="F59" s="29">
        <f>F57/E57-1</f>
        <v>0</v>
      </c>
      <c r="G59" s="29">
        <f>G57/F57-1</f>
        <v>0.33333333333333326</v>
      </c>
      <c r="H59" s="29"/>
      <c r="I59" s="15">
        <f>I57/G57-1</f>
        <v>-3</v>
      </c>
      <c r="J59" s="2"/>
    </row>
    <row r="60">
      <c r="B60" s="2" t="s">
        <v>53</v>
      </c>
      <c r="C60" s="2"/>
      <c r="D60" s="29">
        <f>D57/D66</f>
        <v>-0.0006825938566552901</v>
      </c>
      <c r="E60" s="29">
        <f>E57/E66</f>
        <v>0.00024140983342721493</v>
      </c>
      <c r="F60" s="29">
        <f>F57/F66</f>
        <v>0.00026598102668676303</v>
      </c>
      <c r="G60" s="29">
        <f>G57/G66</f>
        <v>0.0003645643456069996</v>
      </c>
      <c r="H60" s="29">
        <f>H57/H66</f>
        <v>0.000043105306263201</v>
      </c>
      <c r="I60" s="15">
        <f>I57/I66</f>
        <v>-0.0007088616567869073</v>
      </c>
      <c r="J60" s="2"/>
    </row>
    <row r="61">
      <c r="B61" s="2" t="s">
        <v>54</v>
      </c>
      <c r="C61" s="2"/>
      <c r="D61" s="29"/>
      <c r="E61" s="29"/>
      <c r="F61" s="29"/>
      <c r="G61" s="29"/>
      <c r="H61" s="29"/>
      <c r="I61" s="15">
        <f>(1+I64)/((1+I62)*(1+I63))-1</f>
        <v>0</v>
      </c>
      <c r="J61" s="2"/>
    </row>
    <row r="62">
      <c r="B62" s="2" t="s">
        <v>55</v>
      </c>
      <c r="C62" s="2"/>
      <c r="D62" s="29"/>
      <c r="E62" s="29"/>
      <c r="F62" s="29"/>
      <c r="G62" s="29"/>
      <c r="H62" s="29"/>
      <c r="I62" s="30">
        <v>0</v>
      </c>
      <c r="J62" s="2"/>
    </row>
    <row r="63">
      <c r="B63" s="2" t="s">
        <v>56</v>
      </c>
      <c r="C63" s="2"/>
      <c r="D63" s="29"/>
      <c r="E63" s="29"/>
      <c r="F63" s="29"/>
      <c r="G63" s="29"/>
      <c r="H63" s="29"/>
      <c r="I63" s="30">
        <v>0</v>
      </c>
      <c r="J63" s="2"/>
    </row>
    <row r="64">
      <c r="B64" s="2" t="s">
        <v>57</v>
      </c>
      <c r="C64" s="2"/>
      <c r="D64" s="29"/>
      <c r="E64" s="29"/>
      <c r="F64" s="29"/>
      <c r="G64" s="29"/>
      <c r="H64" s="29"/>
      <c r="I64" s="15">
        <f>I57/D57-1</f>
        <v>0</v>
      </c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66</v>
      </c>
      <c r="C66" s="14"/>
      <c r="D66" s="18">
        <f>SUM(D9,D17,D25,D33,D41,D49,D57)</f>
        <v>11720</v>
      </c>
      <c r="E66" s="18">
        <f>SUM(E9,E17,E25,E33,E41,E49,E57)</f>
        <v>12427</v>
      </c>
      <c r="F66" s="18">
        <f>SUM(F9,F17,F25,F33,F41,F49,F57)</f>
        <v>11279</v>
      </c>
      <c r="G66" s="18">
        <f>SUM(G9,G17,G25,G33,G41,G49,G57)</f>
        <v>10972</v>
      </c>
      <c r="H66" s="18">
        <f>SUM(H9,H17,H25,H33,H41,H49,H57)</f>
        <v>46398</v>
      </c>
      <c r="I66" s="31">
        <f>SUM(I9,I17,I25,I33,I41,I49,I57)</f>
        <v>11285.7</v>
      </c>
      <c r="J66" s="2" t="s">
        <v>67</v>
      </c>
    </row>
    <row r="67">
      <c r="B67" s="2" t="s">
        <v>51</v>
      </c>
      <c r="C67" s="2"/>
      <c r="D67" s="29"/>
      <c r="E67" s="29"/>
      <c r="F67" s="29"/>
      <c r="G67" s="29"/>
      <c r="H67" s="29"/>
      <c r="I67" s="15">
        <f>I66/D66-1</f>
        <v>-0.037056313993173995</v>
      </c>
      <c r="J67" s="2"/>
    </row>
    <row r="68">
      <c r="B68" s="2" t="s">
        <v>52</v>
      </c>
      <c r="C68" s="2"/>
      <c r="D68" s="29"/>
      <c r="E68" s="29"/>
      <c r="F68" s="29"/>
      <c r="G68" s="29"/>
      <c r="H68" s="29"/>
      <c r="I68" s="15">
        <f>I66/G66-1</f>
        <v>0.028590958804229016</v>
      </c>
      <c r="J68" s="2"/>
    </row>
    <row r="69">
      <c r="B69" s="2" t="s">
        <v>68</v>
      </c>
      <c r="C69" s="2"/>
      <c r="D69" s="11">
        <f>D66-Inputs!D120</f>
        <v>0</v>
      </c>
      <c r="E69" s="11">
        <f>E66-Inputs!E120</f>
        <v>0</v>
      </c>
      <c r="F69" s="11">
        <f>F66-Inputs!F120</f>
        <v>0</v>
      </c>
      <c r="G69" s="11">
        <f>G66-Inputs!G120</f>
        <v>0</v>
      </c>
      <c r="H69" s="11">
        <f>H66-Inputs!H120</f>
        <v>0</v>
      </c>
      <c r="I69" s="3">
        <f>I66-SUM(I89:I91)</f>
        <v>0</v>
      </c>
      <c r="J69" s="2"/>
    </row>
    <row r="70">
      <c r="B70" s="2"/>
      <c r="C70" s="2"/>
      <c r="D70" s="1"/>
      <c r="E70" s="1"/>
      <c r="F70" s="1"/>
      <c r="G70" s="1"/>
      <c r="H70" s="1"/>
      <c r="I70" s="3"/>
      <c r="J70" s="2"/>
    </row>
    <row r="71">
      <c r="B71" s="2"/>
      <c r="C71" s="2"/>
      <c r="D71" s="1"/>
      <c r="E71" s="1"/>
      <c r="F71" s="1"/>
      <c r="G71" s="1"/>
      <c r="H71" s="1"/>
      <c r="I71" s="3"/>
      <c r="J71" s="2"/>
    </row>
    <row r="72">
      <c r="B72" s="2"/>
      <c r="C72" s="2"/>
      <c r="D72" s="1"/>
      <c r="E72" s="1"/>
      <c r="F72" s="1"/>
      <c r="G72" s="1"/>
      <c r="H72" s="1"/>
      <c r="I72" s="3"/>
      <c r="J72" s="2"/>
    </row>
    <row r="73">
      <c r="B73" s="2" t="s">
        <v>69</v>
      </c>
      <c r="C73" s="2"/>
      <c r="D73" s="1"/>
      <c r="E73" s="1"/>
      <c r="F73" s="1"/>
      <c r="G73" s="1"/>
      <c r="H73" s="1"/>
      <c r="I73" s="3"/>
      <c r="J73" s="2"/>
    </row>
    <row r="74">
      <c r="B74" s="2"/>
      <c r="C74" s="2"/>
      <c r="D74" s="1"/>
      <c r="E74" s="1"/>
      <c r="F74" s="1"/>
      <c r="G74" s="1"/>
      <c r="H74" s="1"/>
      <c r="I74" s="3"/>
      <c r="J74" s="2"/>
    </row>
    <row r="75">
      <c r="B75" s="14" t="s">
        <v>70</v>
      </c>
      <c r="C75" s="14"/>
      <c r="D75" s="21">
        <f>SUM('Segment - North America'!D9,'Segment - EMEA'!D9,'Segment - Greater China'!D9,'Segment - APLA'!D9,'Segment - Converse'!D9)</f>
        <v>7731</v>
      </c>
      <c r="E75" s="21">
        <f>SUM('Segment - North America'!E9,'Segment - EMEA'!E9,'Segment - Greater China'!E9,'Segment - APLA'!E9,'Segment - Converse'!E9)</f>
        <v>7914</v>
      </c>
      <c r="F75" s="21">
        <f>SUM('Segment - North America'!F9,'Segment - EMEA'!F9,'Segment - Greater China'!F9,'Segment - APLA'!F9,'Segment - Converse'!F9)</f>
        <v>7584</v>
      </c>
      <c r="G75" s="21">
        <f>SUM('Segment - North America'!G9,'Segment - EMEA'!G9,'Segment - Greater China'!G9,'Segment - APLA'!G9,'Segment - Converse'!G9)</f>
        <v>7309</v>
      </c>
      <c r="H75" s="21">
        <f>SUM('Segment - North America'!H9,'Segment - EMEA'!H9,'Segment - Greater China'!H9,'Segment - APLA'!H9,'Segment - Converse'!H9)</f>
        <v>30538</v>
      </c>
      <c r="I75" s="38">
        <f>SUM('Segment - North America'!I9,'Segment - EMEA'!I9,'Segment - Greater China'!I9,'Segment - APLA'!I9,'Segment - Converse'!I9)</f>
        <v>7352.82</v>
      </c>
      <c r="J75" s="2"/>
    </row>
    <row r="76">
      <c r="B76" s="2" t="s">
        <v>53</v>
      </c>
      <c r="C76" s="2"/>
      <c r="D76" s="29">
        <f>D75/D66</f>
        <v>0.659641638225256</v>
      </c>
      <c r="E76" s="29">
        <f>E75/E66</f>
        <v>0.636839140580993</v>
      </c>
      <c r="F76" s="29">
        <f>F75/F66</f>
        <v>0.6724000354641368</v>
      </c>
      <c r="G76" s="29">
        <f>G75/G66</f>
        <v>0.6661502005103901</v>
      </c>
      <c r="H76" s="29">
        <f>H75/H66</f>
        <v>0.6581749213328161</v>
      </c>
      <c r="I76" s="15">
        <f>I75/I66</f>
        <v>0.6515165209069884</v>
      </c>
      <c r="J76" s="2"/>
    </row>
    <row r="77">
      <c r="B77" s="14" t="s">
        <v>71</v>
      </c>
      <c r="C77" s="14"/>
      <c r="D77" s="21">
        <f>SUM('Segment - North America'!D18,'Segment - EMEA'!D18,'Segment - Greater China'!D18,'Segment - APLA'!D18,'Segment - Converse'!D18)</f>
        <v>3324</v>
      </c>
      <c r="E77" s="21">
        <f>SUM('Segment - North America'!E18,'Segment - EMEA'!E18,'Segment - Greater China'!E18,'Segment - APLA'!E18,'Segment - Converse'!E18)</f>
        <v>3921</v>
      </c>
      <c r="F77" s="21">
        <f>SUM('Segment - North America'!F18,'Segment - EMEA'!F18,'Segment - Greater China'!F18,'Segment - APLA'!F18,'Segment - Converse'!F18)</f>
        <v>3196</v>
      </c>
      <c r="G77" s="21">
        <f>SUM('Segment - North America'!G18,'Segment - EMEA'!G18,'Segment - Greater China'!G18,'Segment - APLA'!G18,'Segment - Converse'!G18)</f>
        <v>3056</v>
      </c>
      <c r="H77" s="21">
        <f>SUM('Segment - North America'!H18,'Segment - EMEA'!H18,'Segment - Greater China'!H18,'Segment - APLA'!H18,'Segment - Converse'!H18)</f>
        <v>13497</v>
      </c>
      <c r="I77" s="38">
        <f>SUM('Segment - North America'!I18,'Segment - EMEA'!I18,'Segment - Greater China'!I18,'Segment - APLA'!I18,'Segment - Converse'!I18)</f>
        <v>3288.19</v>
      </c>
      <c r="J77" s="2"/>
    </row>
    <row r="78">
      <c r="B78" s="2" t="s">
        <v>53</v>
      </c>
      <c r="C78" s="2"/>
      <c r="D78" s="29">
        <f>D77/D66</f>
        <v>0.283617747440273</v>
      </c>
      <c r="E78" s="29">
        <f>E77/E66</f>
        <v>0.31552265228936993</v>
      </c>
      <c r="F78" s="29">
        <f>F77/F66</f>
        <v>0.2833584537636315</v>
      </c>
      <c r="G78" s="29">
        <f>G77/G66</f>
        <v>0.2785271600437477</v>
      </c>
      <c r="H78" s="29">
        <f>H77/H66</f>
        <v>0.29089615931721197</v>
      </c>
      <c r="I78" s="15">
        <f>I77/I66</f>
        <v>0.29135897640376757</v>
      </c>
      <c r="J78" s="2"/>
    </row>
    <row r="79">
      <c r="B79" s="14" t="s">
        <v>72</v>
      </c>
      <c r="C79" s="14"/>
      <c r="D79" s="21">
        <f>SUM('Segment - North America'!D27,'Segment - EMEA'!D27,'Segment - Greater China'!D27,'Segment - APLA'!D27,'Segment - Converse'!D27)</f>
        <v>638</v>
      </c>
      <c r="E79" s="21">
        <f>SUM('Segment - North America'!E27,'Segment - EMEA'!E27,'Segment - Greater China'!E27,'Segment - APLA'!E27,'Segment - Converse'!E27)</f>
        <v>555</v>
      </c>
      <c r="F79" s="21">
        <f>SUM('Segment - North America'!F27,'Segment - EMEA'!F27,'Segment - Greater China'!F27,'Segment - APLA'!F27,'Segment - Converse'!F27)</f>
        <v>472</v>
      </c>
      <c r="G79" s="21">
        <f>SUM('Segment - North America'!G27,'Segment - EMEA'!G27,'Segment - Greater China'!G27,'Segment - APLA'!G27,'Segment - Converse'!G27)</f>
        <v>555</v>
      </c>
      <c r="H79" s="21">
        <f>SUM('Segment - North America'!H27,'Segment - EMEA'!H27,'Segment - Greater China'!H27,'Segment - APLA'!H27,'Segment - Converse'!H27)</f>
        <v>2220</v>
      </c>
      <c r="I79" s="38">
        <f>SUM('Segment - North America'!I27,'Segment - EMEA'!I27,'Segment - Greater China'!I27,'Segment - APLA'!I27,'Segment - Converse'!I27)</f>
        <v>623.29</v>
      </c>
      <c r="J79" s="2"/>
    </row>
    <row r="80">
      <c r="B80" s="2" t="s">
        <v>53</v>
      </c>
      <c r="C80" s="2"/>
      <c r="D80" s="29">
        <f>D79/D66</f>
        <v>0.05443686006825939</v>
      </c>
      <c r="E80" s="29">
        <f>E79/E66</f>
        <v>0.044660819184034764</v>
      </c>
      <c r="F80" s="29">
        <f>F79/F66</f>
        <v>0.041847681532050714</v>
      </c>
      <c r="G80" s="29">
        <f>G79/G66</f>
        <v>0.0505833029529712</v>
      </c>
      <c r="H80" s="29">
        <f>H79/H66</f>
        <v>0.04784688995215311</v>
      </c>
      <c r="I80" s="15">
        <f>I79/I66</f>
        <v>0.05522829775733892</v>
      </c>
      <c r="J80" s="2"/>
    </row>
    <row r="81">
      <c r="B81" s="14" t="s">
        <v>73</v>
      </c>
      <c r="C81" s="14"/>
      <c r="D81" s="21">
        <f>D41+'Segment - Converse'!D36</f>
        <v>35</v>
      </c>
      <c r="E81" s="21">
        <f>E41+'Segment - Converse'!E36</f>
        <v>34</v>
      </c>
      <c r="F81" s="21">
        <f>F41+'Segment - Converse'!F36</f>
        <v>24</v>
      </c>
      <c r="G81" s="21">
        <f>G41+'Segment - Converse'!G36</f>
        <v>48</v>
      </c>
      <c r="H81" s="21">
        <f>H41+'Segment - Converse'!H36</f>
        <v>141</v>
      </c>
      <c r="I81" s="38">
        <f>I41+'Segment - Converse'!I36</f>
        <v>29.4</v>
      </c>
      <c r="J81" s="2"/>
    </row>
    <row r="82">
      <c r="B82" s="2" t="s">
        <v>53</v>
      </c>
      <c r="C82" s="2"/>
      <c r="D82" s="29">
        <f>D81/D66</f>
        <v>0.0029863481228668944</v>
      </c>
      <c r="E82" s="29">
        <f>E81/E66</f>
        <v>0.0027359781121751026</v>
      </c>
      <c r="F82" s="29">
        <f>F81/F66</f>
        <v>0.0021278482134941042</v>
      </c>
      <c r="G82" s="29">
        <f>G81/G66</f>
        <v>0.004374772147283996</v>
      </c>
      <c r="H82" s="29">
        <f>H81/H66</f>
        <v>0.0030389240915556703</v>
      </c>
      <c r="I82" s="15">
        <f>I81/I66</f>
        <v>0.002605066588691884</v>
      </c>
      <c r="J82" s="2"/>
    </row>
    <row r="83">
      <c r="B83" s="14" t="s">
        <v>74</v>
      </c>
      <c r="C83" s="14"/>
      <c r="D83" s="18">
        <f>D57</f>
        <v>-8</v>
      </c>
      <c r="E83" s="18">
        <f>E57</f>
        <v>3</v>
      </c>
      <c r="F83" s="18">
        <f>F57</f>
        <v>3</v>
      </c>
      <c r="G83" s="18">
        <f>G57</f>
        <v>4</v>
      </c>
      <c r="H83" s="18">
        <f>H57</f>
        <v>2</v>
      </c>
      <c r="I83" s="31">
        <f>I57</f>
        <v>-8</v>
      </c>
      <c r="J83" s="2"/>
    </row>
    <row r="84">
      <c r="B84" s="2" t="s">
        <v>53</v>
      </c>
      <c r="C84" s="2"/>
      <c r="D84" s="29">
        <f>D83/D66</f>
        <v>-0.0006825938566552901</v>
      </c>
      <c r="E84" s="29">
        <f>E83/E66</f>
        <v>0.00024140983342721493</v>
      </c>
      <c r="F84" s="29">
        <f>F83/F66</f>
        <v>0.00026598102668676303</v>
      </c>
      <c r="G84" s="29">
        <f>G83/G66</f>
        <v>0.0003645643456069996</v>
      </c>
      <c r="H84" s="29">
        <f>H83/H66</f>
        <v>0.000043105306263201</v>
      </c>
      <c r="I84" s="15">
        <f>I83/I66</f>
        <v>-0.0007088616567869073</v>
      </c>
      <c r="J84" s="2"/>
    </row>
    <row r="85">
      <c r="B85" s="14" t="s">
        <v>75</v>
      </c>
      <c r="C85" s="14"/>
      <c r="D85" s="18">
        <f>D66-SUM(D75,D77,D79,D81,D83)</f>
        <v>0</v>
      </c>
      <c r="E85" s="18">
        <f>E66-SUM(E75,E77,E79,E81,E83)</f>
        <v>0</v>
      </c>
      <c r="F85" s="18">
        <f>F66-SUM(F75,F77,F79,F81,F83)</f>
        <v>0</v>
      </c>
      <c r="G85" s="18">
        <f>G66-SUM(G75,G77,G79,G81,G83)</f>
        <v>0</v>
      </c>
      <c r="H85" s="18">
        <f>H66-SUM(H75,H77,H79,H81,H83)</f>
        <v>0</v>
      </c>
      <c r="I85" s="31">
        <f>I66-SUM(I75,I77,I79,I81,I83)</f>
        <v>0</v>
      </c>
      <c r="J85" s="2"/>
    </row>
    <row r="86">
      <c r="B86" s="2"/>
      <c r="C86" s="2"/>
      <c r="D86" s="1"/>
      <c r="E86" s="1"/>
      <c r="F86" s="1"/>
      <c r="G86" s="1"/>
      <c r="H86" s="1"/>
      <c r="I86" s="3"/>
      <c r="J86" s="2"/>
    </row>
    <row r="87">
      <c r="B87" s="2"/>
      <c r="C87" s="2"/>
      <c r="D87" s="1"/>
      <c r="E87" s="1"/>
      <c r="F87" s="1"/>
      <c r="G87" s="1"/>
      <c r="H87" s="1"/>
      <c r="I87" s="3"/>
      <c r="J87" s="2"/>
    </row>
    <row r="88">
      <c r="B88" s="2"/>
      <c r="C88" s="2"/>
      <c r="D88" s="1"/>
      <c r="E88" s="1"/>
      <c r="F88" s="1"/>
      <c r="G88" s="1"/>
      <c r="H88" s="1"/>
      <c r="I88" s="3"/>
      <c r="J88" s="2"/>
    </row>
    <row r="89">
      <c r="B89" s="14" t="s">
        <v>76</v>
      </c>
      <c r="C89" s="14"/>
      <c r="D89" s="21">
        <f>SUM('Segment - North America'!D53,'Segment - EMEA'!D53,'Segment - Greater China'!D53,'Segment - APLA'!D53,'Segment - Converse'!D53)</f>
        <v>7034</v>
      </c>
      <c r="E89" s="21">
        <f>SUM('Segment - North America'!E53,'Segment - EMEA'!E53,'Segment - Greater China'!E53,'Segment - APLA'!E53,'Segment - Converse'!E53)</f>
        <v>7642</v>
      </c>
      <c r="F89" s="21">
        <f>SUM('Segment - North America'!F53,'Segment - EMEA'!F53,'Segment - Greater China'!F53,'Segment - APLA'!F53,'Segment - Converse'!F53)</f>
        <v>6608</v>
      </c>
      <c r="G89" s="21">
        <f>SUM('Segment - North America'!G53,'Segment - EMEA'!G53,'Segment - Greater China'!G53,'Segment - APLA'!G53,'Segment - Converse'!G53)</f>
        <v>6774</v>
      </c>
      <c r="H89" s="21">
        <f>SUM('Segment - North America'!H53,'Segment - EMEA'!H53,'Segment - Greater China'!H53,'Segment - APLA'!H53,'Segment - Converse'!H53)</f>
        <v>28058</v>
      </c>
      <c r="I89" s="38">
        <f>SUM('Segment - North America'!I53,'Segment - EMEA'!I53,'Segment - Greater China'!I53,'Segment - APLA'!I53,'Segment - Converse'!I53)</f>
        <v>6924.74</v>
      </c>
      <c r="J89" s="2"/>
    </row>
    <row r="90">
      <c r="B90" s="14" t="s">
        <v>77</v>
      </c>
      <c r="C90" s="14"/>
      <c r="D90" s="21">
        <f>SUM('Segment - North America'!D58,'Segment - EMEA'!D58,'Segment - Greater China'!D58,'Segment - APLA'!D58,'Segment - Converse'!D58)</f>
        <v>4659</v>
      </c>
      <c r="E90" s="21">
        <f>SUM('Segment - North America'!E58,'Segment - EMEA'!E58,'Segment - Greater China'!E58,'Segment - APLA'!E58,'Segment - Converse'!E58)</f>
        <v>4748</v>
      </c>
      <c r="F90" s="21">
        <f>SUM('Segment - North America'!F58,'Segment - EMEA'!F58,'Segment - Greater China'!F58,'Segment - APLA'!F58,'Segment - Converse'!F58)</f>
        <v>4644</v>
      </c>
      <c r="G90" s="21">
        <f>SUM('Segment - North America'!G58,'Segment - EMEA'!G58,'Segment - Greater China'!G58,'Segment - APLA'!G58,'Segment - Converse'!G58)</f>
        <v>4146</v>
      </c>
      <c r="H90" s="21">
        <f>SUM('Segment - North America'!H58,'Segment - EMEA'!H58,'Segment - Greater China'!H58,'Segment - APLA'!H58,'Segment - Converse'!H58)</f>
        <v>18197</v>
      </c>
      <c r="I90" s="38">
        <f>SUM('Segment - North America'!I58,'Segment - EMEA'!I58,'Segment - Greater China'!I58,'Segment - APLA'!I58,'Segment - Converse'!I58)</f>
        <v>4339.56</v>
      </c>
      <c r="J90" s="2"/>
    </row>
    <row r="91">
      <c r="B91" s="2" t="s">
        <v>78</v>
      </c>
      <c r="C91" s="2"/>
      <c r="D91" s="11">
        <f>D41+'Segment - Converse'!D63+D57</f>
        <v>27</v>
      </c>
      <c r="E91" s="11">
        <f>E41+'Segment - Converse'!E63+E57</f>
        <v>37</v>
      </c>
      <c r="F91" s="11">
        <f>F41+'Segment - Converse'!F63+F57</f>
        <v>27</v>
      </c>
      <c r="G91" s="11">
        <f>G41+'Segment - Converse'!G63+G57</f>
        <v>52</v>
      </c>
      <c r="H91" s="11">
        <f>H41+'Segment - Converse'!H63+H57</f>
        <v>143</v>
      </c>
      <c r="I91" s="27">
        <f>I41+'Segment - Converse'!I63+I57</f>
        <v>21.4</v>
      </c>
      <c r="J91" s="2"/>
    </row>
    <row r="92">
      <c r="B92" s="14" t="s">
        <v>79</v>
      </c>
      <c r="C92" s="14"/>
      <c r="D92" s="18">
        <f>D66-SUM(D89:D91)</f>
        <v>0</v>
      </c>
      <c r="E92" s="18">
        <f>E66-SUM(E89:E91)</f>
        <v>0</v>
      </c>
      <c r="F92" s="18">
        <f>F66-SUM(F89:F91)</f>
        <v>0</v>
      </c>
      <c r="G92" s="18">
        <f>G66-SUM(G89:G91)</f>
        <v>0</v>
      </c>
      <c r="H92" s="18">
        <f>H66-SUM(H89:H91)</f>
        <v>0</v>
      </c>
      <c r="I92" s="31">
        <f>I66-SUM(I89:I91)</f>
        <v>0</v>
      </c>
      <c r="J92" s="2"/>
    </row>
    <row r="93">
      <c r="B93" s="2"/>
      <c r="C93" s="2"/>
      <c r="D93" s="1"/>
      <c r="E93" s="1"/>
      <c r="F93" s="1"/>
      <c r="G93" s="1"/>
      <c r="H93" s="1"/>
      <c r="I93" s="3"/>
      <c r="J93" s="2"/>
    </row>
    <row r="94">
      <c r="B94" s="2"/>
      <c r="C94" s="2"/>
      <c r="D94" s="1"/>
      <c r="E94" s="1"/>
      <c r="F94" s="1"/>
      <c r="G94" s="1"/>
      <c r="H94" s="1"/>
      <c r="I94" s="3"/>
      <c r="J94" s="2"/>
    </row>
    <row r="95">
      <c r="B95" s="2"/>
      <c r="C95" s="2"/>
      <c r="D95" s="1"/>
      <c r="E95" s="1"/>
      <c r="F95" s="1"/>
      <c r="G95" s="1"/>
      <c r="H95" s="1"/>
      <c r="I95" s="3"/>
      <c r="J95" s="2"/>
    </row>
    <row r="96">
      <c r="B96" s="41" t="s">
        <v>80</v>
      </c>
      <c r="C96" s="41"/>
      <c r="D96" s="41"/>
      <c r="E96" s="41"/>
      <c r="F96" s="41"/>
      <c r="G96" s="41"/>
      <c r="H96" s="41"/>
      <c r="I96" s="41"/>
      <c r="J96" s="2"/>
    </row>
    <row r="97">
      <c r="B97" s="14" t="s">
        <v>70</v>
      </c>
      <c r="C97" s="14"/>
      <c r="D97" s="18">
        <f>D75</f>
        <v>7731</v>
      </c>
      <c r="E97" s="18">
        <f>E75</f>
        <v>7914</v>
      </c>
      <c r="F97" s="18">
        <f>F75</f>
        <v>7584</v>
      </c>
      <c r="G97" s="18">
        <f>G75</f>
        <v>7309</v>
      </c>
      <c r="H97" s="18">
        <f>H75</f>
        <v>30538</v>
      </c>
      <c r="I97" s="31">
        <f>I75</f>
        <v>7352.82</v>
      </c>
      <c r="J97" s="2" t="s">
        <v>81</v>
      </c>
    </row>
    <row r="98">
      <c r="B98" s="2" t="s">
        <v>82</v>
      </c>
      <c r="C98" s="2"/>
      <c r="D98" s="29"/>
      <c r="E98" s="29"/>
      <c r="F98" s="29"/>
      <c r="G98" s="29"/>
      <c r="H98" s="29"/>
      <c r="I98" s="15">
        <f>I97/D97-1</f>
        <v>-0.04891734575087314</v>
      </c>
      <c r="J98" s="2"/>
    </row>
    <row r="99">
      <c r="B99" s="2" t="s">
        <v>83</v>
      </c>
      <c r="C99" s="2"/>
      <c r="D99" s="1"/>
      <c r="E99" s="1">
        <f>E97-D97</f>
        <v>183</v>
      </c>
      <c r="F99" s="1">
        <f>F97-E97</f>
        <v>-330</v>
      </c>
      <c r="G99" s="1">
        <f>G97-F97</f>
        <v>-275</v>
      </c>
      <c r="H99" s="1"/>
      <c r="I99" s="3">
        <f>I97-G97</f>
        <v>43.81999999999971</v>
      </c>
      <c r="J99" s="2"/>
    </row>
    <row r="100">
      <c r="B100" s="2" t="s">
        <v>54</v>
      </c>
      <c r="C100" s="2"/>
      <c r="D100" s="29"/>
      <c r="E100" s="29"/>
      <c r="F100" s="29"/>
      <c r="G100" s="29"/>
      <c r="H100" s="29"/>
      <c r="I100" s="15">
        <f>(1+I103)/((1+I101)*(1+I102))-1</f>
        <v>-0.04891734575087314</v>
      </c>
      <c r="J100" s="2"/>
    </row>
    <row r="101">
      <c r="B101" s="2" t="s">
        <v>55</v>
      </c>
      <c r="C101" s="2"/>
      <c r="D101" s="29"/>
      <c r="E101" s="29"/>
      <c r="F101" s="29"/>
      <c r="G101" s="29"/>
      <c r="H101" s="29"/>
      <c r="I101" s="15">
        <f>I14</f>
        <v>0</v>
      </c>
      <c r="J101" s="2"/>
    </row>
    <row r="102">
      <c r="B102" s="2" t="s">
        <v>56</v>
      </c>
      <c r="C102" s="2"/>
      <c r="D102" s="29"/>
      <c r="E102" s="29"/>
      <c r="F102" s="29"/>
      <c r="G102" s="29"/>
      <c r="H102" s="29"/>
      <c r="I102" s="15">
        <f>I15</f>
        <v>0</v>
      </c>
      <c r="J102" s="2"/>
    </row>
    <row r="103">
      <c r="B103" s="2" t="s">
        <v>57</v>
      </c>
      <c r="C103" s="2"/>
      <c r="D103" s="29"/>
      <c r="E103" s="29"/>
      <c r="F103" s="29"/>
      <c r="G103" s="29"/>
      <c r="H103" s="29"/>
      <c r="I103" s="15">
        <f>I98</f>
        <v>-0.04891734575087314</v>
      </c>
      <c r="J103" s="2"/>
    </row>
    <row r="104">
      <c r="B104" s="2" t="s">
        <v>84</v>
      </c>
      <c r="C104" s="2"/>
      <c r="D104" s="29">
        <f>D97/D66</f>
        <v>0.659641638225256</v>
      </c>
      <c r="E104" s="29">
        <f>E97/E66</f>
        <v>0.636839140580993</v>
      </c>
      <c r="F104" s="29">
        <f>F97/F66</f>
        <v>0.6724000354641368</v>
      </c>
      <c r="G104" s="29">
        <f>G97/G66</f>
        <v>0.6661502005103901</v>
      </c>
      <c r="H104" s="29">
        <f>H97/H66</f>
        <v>0.6581749213328161</v>
      </c>
      <c r="I104" s="15">
        <f>I97/I66</f>
        <v>0.6515165209069884</v>
      </c>
      <c r="J104" s="2"/>
    </row>
    <row r="105">
      <c r="B105" s="14" t="s">
        <v>71</v>
      </c>
      <c r="C105" s="14"/>
      <c r="D105" s="18">
        <f>D77</f>
        <v>3324</v>
      </c>
      <c r="E105" s="18">
        <f>E77</f>
        <v>3921</v>
      </c>
      <c r="F105" s="18">
        <f>F77</f>
        <v>3196</v>
      </c>
      <c r="G105" s="18">
        <f>G77</f>
        <v>3056</v>
      </c>
      <c r="H105" s="18">
        <f>H77</f>
        <v>13497</v>
      </c>
      <c r="I105" s="31">
        <f>I77</f>
        <v>3288.19</v>
      </c>
      <c r="J105" s="2" t="s">
        <v>81</v>
      </c>
    </row>
    <row r="106">
      <c r="B106" s="2" t="s">
        <v>82</v>
      </c>
      <c r="C106" s="2"/>
      <c r="D106" s="29"/>
      <c r="E106" s="29"/>
      <c r="F106" s="29"/>
      <c r="G106" s="29"/>
      <c r="H106" s="29"/>
      <c r="I106" s="15">
        <f>I105/D105-1</f>
        <v>-0.010773164861612505</v>
      </c>
      <c r="J106" s="2"/>
    </row>
    <row r="107">
      <c r="B107" s="2" t="s">
        <v>83</v>
      </c>
      <c r="C107" s="2"/>
      <c r="D107" s="1"/>
      <c r="E107" s="1">
        <f>E105-D105</f>
        <v>597</v>
      </c>
      <c r="F107" s="1">
        <f>F105-E105</f>
        <v>-725</v>
      </c>
      <c r="G107" s="1">
        <f>G105-F105</f>
        <v>-140</v>
      </c>
      <c r="H107" s="1"/>
      <c r="I107" s="3">
        <f>I105-G105</f>
        <v>232.19000000000005</v>
      </c>
      <c r="J107" s="2"/>
    </row>
    <row r="108">
      <c r="B108" s="2" t="s">
        <v>54</v>
      </c>
      <c r="C108" s="2"/>
      <c r="D108" s="29"/>
      <c r="E108" s="29"/>
      <c r="F108" s="29"/>
      <c r="G108" s="29"/>
      <c r="H108" s="29"/>
      <c r="I108" s="15">
        <f>(1+I111)/((1+I109)*(1+I110))-1</f>
        <v>-0.010773164861612505</v>
      </c>
      <c r="J108" s="2"/>
    </row>
    <row r="109">
      <c r="B109" s="2" t="s">
        <v>55</v>
      </c>
      <c r="C109" s="2"/>
      <c r="D109" s="29"/>
      <c r="E109" s="29"/>
      <c r="F109" s="29"/>
      <c r="G109" s="29"/>
      <c r="H109" s="29"/>
      <c r="I109" s="15">
        <f>I14</f>
        <v>0</v>
      </c>
      <c r="J109" s="2"/>
    </row>
    <row r="110">
      <c r="B110" s="2" t="s">
        <v>56</v>
      </c>
      <c r="C110" s="2"/>
      <c r="D110" s="29"/>
      <c r="E110" s="29"/>
      <c r="F110" s="29"/>
      <c r="G110" s="29"/>
      <c r="H110" s="29"/>
      <c r="I110" s="15">
        <f>I15</f>
        <v>0</v>
      </c>
      <c r="J110" s="2"/>
    </row>
    <row r="111">
      <c r="B111" s="2" t="s">
        <v>57</v>
      </c>
      <c r="C111" s="2"/>
      <c r="D111" s="29"/>
      <c r="E111" s="29"/>
      <c r="F111" s="29"/>
      <c r="G111" s="29"/>
      <c r="H111" s="29"/>
      <c r="I111" s="15">
        <f>I106</f>
        <v>-0.010773164861612505</v>
      </c>
      <c r="J111" s="2"/>
    </row>
    <row r="112">
      <c r="B112" s="2" t="s">
        <v>84</v>
      </c>
      <c r="C112" s="2"/>
      <c r="D112" s="29">
        <f>D105/D66</f>
        <v>0.283617747440273</v>
      </c>
      <c r="E112" s="29">
        <f>E105/E66</f>
        <v>0.31552265228936993</v>
      </c>
      <c r="F112" s="29">
        <f>F105/F66</f>
        <v>0.2833584537636315</v>
      </c>
      <c r="G112" s="29">
        <f>G105/G66</f>
        <v>0.2785271600437477</v>
      </c>
      <c r="H112" s="29">
        <f>H105/H66</f>
        <v>0.29089615931721197</v>
      </c>
      <c r="I112" s="15">
        <f>I105/I66</f>
        <v>0.29135897640376757</v>
      </c>
      <c r="J112" s="2"/>
    </row>
    <row r="113">
      <c r="B113" s="14" t="s">
        <v>72</v>
      </c>
      <c r="C113" s="14"/>
      <c r="D113" s="18">
        <f>D79</f>
        <v>638</v>
      </c>
      <c r="E113" s="18">
        <f>E79</f>
        <v>555</v>
      </c>
      <c r="F113" s="18">
        <f>F79</f>
        <v>472</v>
      </c>
      <c r="G113" s="18">
        <f>G79</f>
        <v>555</v>
      </c>
      <c r="H113" s="18">
        <f>H79</f>
        <v>2220</v>
      </c>
      <c r="I113" s="31">
        <f>I79</f>
        <v>623.29</v>
      </c>
      <c r="J113" s="2" t="s">
        <v>81</v>
      </c>
    </row>
    <row r="114">
      <c r="B114" s="2" t="s">
        <v>82</v>
      </c>
      <c r="C114" s="2"/>
      <c r="D114" s="29"/>
      <c r="E114" s="29"/>
      <c r="F114" s="29"/>
      <c r="G114" s="29"/>
      <c r="H114" s="29"/>
      <c r="I114" s="15">
        <f>I113/D113-1</f>
        <v>-0.023056426332288438</v>
      </c>
      <c r="J114" s="2"/>
    </row>
    <row r="115">
      <c r="B115" s="2" t="s">
        <v>83</v>
      </c>
      <c r="C115" s="2"/>
      <c r="D115" s="1"/>
      <c r="E115" s="1">
        <f>E113-D113</f>
        <v>-83</v>
      </c>
      <c r="F115" s="1">
        <f>F113-E113</f>
        <v>-83</v>
      </c>
      <c r="G115" s="1">
        <f>G113-F113</f>
        <v>83</v>
      </c>
      <c r="H115" s="1"/>
      <c r="I115" s="3">
        <f>I113-G113</f>
        <v>68.28999999999996</v>
      </c>
      <c r="J115" s="2"/>
    </row>
    <row r="116">
      <c r="B116" s="2" t="s">
        <v>54</v>
      </c>
      <c r="C116" s="2"/>
      <c r="D116" s="29"/>
      <c r="E116" s="29"/>
      <c r="F116" s="29"/>
      <c r="G116" s="29"/>
      <c r="H116" s="29"/>
      <c r="I116" s="15">
        <f>(1+I119)/((1+I117)*(1+I118))-1</f>
        <v>-0.023056426332288438</v>
      </c>
      <c r="J116" s="2"/>
    </row>
    <row r="117">
      <c r="B117" s="2" t="s">
        <v>55</v>
      </c>
      <c r="C117" s="2"/>
      <c r="D117" s="29"/>
      <c r="E117" s="29"/>
      <c r="F117" s="29"/>
      <c r="G117" s="29"/>
      <c r="H117" s="29"/>
      <c r="I117" s="15">
        <f>I14</f>
        <v>0</v>
      </c>
      <c r="J117" s="2"/>
    </row>
    <row r="118">
      <c r="B118" s="2" t="s">
        <v>56</v>
      </c>
      <c r="C118" s="2"/>
      <c r="D118" s="29"/>
      <c r="E118" s="29"/>
      <c r="F118" s="29"/>
      <c r="G118" s="29"/>
      <c r="H118" s="29"/>
      <c r="I118" s="15">
        <f>I15</f>
        <v>0</v>
      </c>
      <c r="J118" s="2"/>
    </row>
    <row r="119">
      <c r="B119" s="2" t="s">
        <v>57</v>
      </c>
      <c r="C119" s="2"/>
      <c r="D119" s="29"/>
      <c r="E119" s="29"/>
      <c r="F119" s="29"/>
      <c r="G119" s="29"/>
      <c r="H119" s="29"/>
      <c r="I119" s="15">
        <f>I114</f>
        <v>-0.023056426332288438</v>
      </c>
      <c r="J119" s="2"/>
    </row>
    <row r="120">
      <c r="B120" s="2" t="s">
        <v>84</v>
      </c>
      <c r="C120" s="2"/>
      <c r="D120" s="29">
        <f>D113/D66</f>
        <v>0.05443686006825939</v>
      </c>
      <c r="E120" s="29">
        <f>E113/E66</f>
        <v>0.044660819184034764</v>
      </c>
      <c r="F120" s="29">
        <f>F113/F66</f>
        <v>0.041847681532050714</v>
      </c>
      <c r="G120" s="29">
        <f>G113/G66</f>
        <v>0.0505833029529712</v>
      </c>
      <c r="H120" s="29">
        <f>H113/H66</f>
        <v>0.04784688995215311</v>
      </c>
      <c r="I120" s="15">
        <f>I113/I66</f>
        <v>0.05522829775733892</v>
      </c>
      <c r="J120" s="2"/>
    </row>
    <row r="121">
      <c r="B121" s="14" t="s">
        <v>85</v>
      </c>
      <c r="C121" s="14"/>
      <c r="D121" s="18">
        <f>D81</f>
        <v>35</v>
      </c>
      <c r="E121" s="18">
        <f>E81</f>
        <v>34</v>
      </c>
      <c r="F121" s="18">
        <f>F81</f>
        <v>24</v>
      </c>
      <c r="G121" s="18">
        <f>G81</f>
        <v>48</v>
      </c>
      <c r="H121" s="18">
        <f>H81</f>
        <v>141</v>
      </c>
      <c r="I121" s="31">
        <f>I81</f>
        <v>29.4</v>
      </c>
      <c r="J121" s="2" t="s">
        <v>81</v>
      </c>
    </row>
    <row r="122">
      <c r="B122" s="2" t="s">
        <v>82</v>
      </c>
      <c r="C122" s="2"/>
      <c r="D122" s="29"/>
      <c r="E122" s="29"/>
      <c r="F122" s="29"/>
      <c r="G122" s="29"/>
      <c r="H122" s="29"/>
      <c r="I122" s="15">
        <f>I121/D121-1</f>
        <v>-0.16000000000000003</v>
      </c>
      <c r="J122" s="2"/>
    </row>
    <row r="123">
      <c r="B123" s="2" t="s">
        <v>83</v>
      </c>
      <c r="C123" s="2"/>
      <c r="D123" s="1"/>
      <c r="E123" s="1">
        <f>E121-D121</f>
        <v>-1</v>
      </c>
      <c r="F123" s="1">
        <f>F121-E121</f>
        <v>-10</v>
      </c>
      <c r="G123" s="1">
        <f>G121-F121</f>
        <v>24</v>
      </c>
      <c r="H123" s="1"/>
      <c r="I123" s="3">
        <f>I121-G121</f>
        <v>-18.6</v>
      </c>
      <c r="J123" s="2"/>
    </row>
    <row r="124">
      <c r="B124" s="2" t="s">
        <v>54</v>
      </c>
      <c r="C124" s="2"/>
      <c r="D124" s="29"/>
      <c r="E124" s="29"/>
      <c r="F124" s="29"/>
      <c r="G124" s="29"/>
      <c r="H124" s="29"/>
      <c r="I124" s="15">
        <f>(1+I127)/((1+I125)*(1+I126))-1</f>
        <v>-0.16000000000000003</v>
      </c>
      <c r="J124" s="2"/>
    </row>
    <row r="125">
      <c r="B125" s="2" t="s">
        <v>55</v>
      </c>
      <c r="C125" s="2"/>
      <c r="D125" s="29"/>
      <c r="E125" s="29"/>
      <c r="F125" s="29"/>
      <c r="G125" s="29"/>
      <c r="H125" s="29"/>
      <c r="I125" s="15">
        <f>I14</f>
        <v>0</v>
      </c>
      <c r="J125" s="2"/>
    </row>
    <row r="126">
      <c r="B126" s="2" t="s">
        <v>56</v>
      </c>
      <c r="C126" s="2"/>
      <c r="D126" s="29"/>
      <c r="E126" s="29"/>
      <c r="F126" s="29"/>
      <c r="G126" s="29"/>
      <c r="H126" s="29"/>
      <c r="I126" s="15">
        <f>I15</f>
        <v>0</v>
      </c>
      <c r="J126" s="2"/>
    </row>
    <row r="127">
      <c r="B127" s="2" t="s">
        <v>57</v>
      </c>
      <c r="C127" s="2"/>
      <c r="D127" s="29"/>
      <c r="E127" s="29"/>
      <c r="F127" s="29"/>
      <c r="G127" s="29"/>
      <c r="H127" s="29"/>
      <c r="I127" s="15">
        <f>I122</f>
        <v>-0.16000000000000003</v>
      </c>
      <c r="J127" s="2"/>
    </row>
    <row r="128">
      <c r="B128" s="2" t="s">
        <v>84</v>
      </c>
      <c r="C128" s="2"/>
      <c r="D128" s="29">
        <f>D121/D66</f>
        <v>0.0029863481228668944</v>
      </c>
      <c r="E128" s="29">
        <f>E121/E66</f>
        <v>0.0027359781121751026</v>
      </c>
      <c r="F128" s="29">
        <f>F121/F66</f>
        <v>0.0021278482134941042</v>
      </c>
      <c r="G128" s="29">
        <f>G121/G66</f>
        <v>0.004374772147283996</v>
      </c>
      <c r="H128" s="29">
        <f>H121/H66</f>
        <v>0.0030389240915556703</v>
      </c>
      <c r="I128" s="15">
        <f>I121/I66</f>
        <v>0.002605066588691884</v>
      </c>
      <c r="J128" s="2"/>
    </row>
    <row r="129">
      <c r="B129" s="14" t="s">
        <v>64</v>
      </c>
      <c r="C129" s="14"/>
      <c r="D129" s="18">
        <f>D83</f>
        <v>-8</v>
      </c>
      <c r="E129" s="18">
        <f>E83</f>
        <v>3</v>
      </c>
      <c r="F129" s="18">
        <f>F83</f>
        <v>3</v>
      </c>
      <c r="G129" s="18">
        <f>G83</f>
        <v>4</v>
      </c>
      <c r="H129" s="18">
        <f>H83</f>
        <v>2</v>
      </c>
      <c r="I129" s="31">
        <f>I83</f>
        <v>-8</v>
      </c>
      <c r="J129" s="2" t="s">
        <v>81</v>
      </c>
    </row>
    <row r="130">
      <c r="B130" s="2" t="s">
        <v>82</v>
      </c>
      <c r="C130" s="2"/>
      <c r="D130" s="29"/>
      <c r="E130" s="29"/>
      <c r="F130" s="29"/>
      <c r="G130" s="29"/>
      <c r="H130" s="29"/>
      <c r="I130" s="15">
        <f>I129/D129-1</f>
        <v>0</v>
      </c>
      <c r="J130" s="2"/>
    </row>
    <row r="131">
      <c r="B131" s="2" t="s">
        <v>83</v>
      </c>
      <c r="C131" s="2"/>
      <c r="D131" s="1"/>
      <c r="E131" s="1">
        <f>E129-D129</f>
        <v>11</v>
      </c>
      <c r="F131" s="1">
        <f>F129-E129</f>
        <v>0</v>
      </c>
      <c r="G131" s="1">
        <f>G129-F129</f>
        <v>1</v>
      </c>
      <c r="H131" s="1"/>
      <c r="I131" s="3">
        <f>I129-G129</f>
        <v>-12</v>
      </c>
      <c r="J131" s="2"/>
    </row>
    <row r="132">
      <c r="B132" s="2" t="s">
        <v>54</v>
      </c>
      <c r="C132" s="2"/>
      <c r="D132" s="29"/>
      <c r="E132" s="29"/>
      <c r="F132" s="29"/>
      <c r="G132" s="29"/>
      <c r="H132" s="29"/>
      <c r="I132" s="15">
        <f>(1+I135)/((1+I133)*(1+I134))-1</f>
        <v>0</v>
      </c>
      <c r="J132" s="2"/>
    </row>
    <row r="133">
      <c r="B133" s="2" t="s">
        <v>55</v>
      </c>
      <c r="C133" s="2"/>
      <c r="D133" s="29"/>
      <c r="E133" s="29"/>
      <c r="F133" s="29"/>
      <c r="G133" s="29"/>
      <c r="H133" s="29"/>
      <c r="I133" s="15">
        <f>I14</f>
        <v>0</v>
      </c>
      <c r="J133" s="2"/>
    </row>
    <row r="134">
      <c r="B134" s="2" t="s">
        <v>56</v>
      </c>
      <c r="C134" s="2"/>
      <c r="D134" s="29"/>
      <c r="E134" s="29"/>
      <c r="F134" s="29"/>
      <c r="G134" s="29"/>
      <c r="H134" s="29"/>
      <c r="I134" s="15">
        <f>I15</f>
        <v>0</v>
      </c>
      <c r="J134" s="2"/>
    </row>
    <row r="135">
      <c r="B135" s="2" t="s">
        <v>57</v>
      </c>
      <c r="C135" s="2"/>
      <c r="D135" s="29"/>
      <c r="E135" s="29"/>
      <c r="F135" s="29"/>
      <c r="G135" s="29"/>
      <c r="H135" s="29"/>
      <c r="I135" s="15">
        <f>I130</f>
        <v>0</v>
      </c>
      <c r="J135" s="2"/>
    </row>
    <row r="136">
      <c r="B136" s="2" t="s">
        <v>84</v>
      </c>
      <c r="C136" s="2"/>
      <c r="D136" s="29">
        <f>D129/D66</f>
        <v>-0.0006825938566552901</v>
      </c>
      <c r="E136" s="29">
        <f>E129/E66</f>
        <v>0.00024140983342721493</v>
      </c>
      <c r="F136" s="29">
        <f>F129/F66</f>
        <v>0.00026598102668676303</v>
      </c>
      <c r="G136" s="29">
        <f>G129/G66</f>
        <v>0.0003645643456069996</v>
      </c>
      <c r="H136" s="29">
        <f>H129/H66</f>
        <v>0.000043105306263201</v>
      </c>
      <c r="I136" s="15">
        <f>I129/I66</f>
        <v>-0.0007088616567869073</v>
      </c>
      <c r="J136" s="2"/>
    </row>
    <row r="137">
      <c r="B137" s="14" t="s">
        <v>86</v>
      </c>
      <c r="C137" s="14"/>
      <c r="D137" s="18">
        <f>D89</f>
        <v>7034</v>
      </c>
      <c r="E137" s="18">
        <f>E89</f>
        <v>7642</v>
      </c>
      <c r="F137" s="18">
        <f>F89</f>
        <v>6608</v>
      </c>
      <c r="G137" s="18">
        <f>G89</f>
        <v>6774</v>
      </c>
      <c r="H137" s="18">
        <f>H89</f>
        <v>28058</v>
      </c>
      <c r="I137" s="31">
        <f>I89</f>
        <v>6924.74</v>
      </c>
      <c r="J137" s="2" t="s">
        <v>81</v>
      </c>
    </row>
    <row r="138">
      <c r="B138" s="2" t="s">
        <v>82</v>
      </c>
      <c r="C138" s="2"/>
      <c r="D138" s="29"/>
      <c r="E138" s="29"/>
      <c r="F138" s="29"/>
      <c r="G138" s="29"/>
      <c r="H138" s="29"/>
      <c r="I138" s="15">
        <f>I137/D137-1</f>
        <v>-0.015533124822291744</v>
      </c>
      <c r="J138" s="2"/>
    </row>
    <row r="139">
      <c r="B139" s="2" t="s">
        <v>83</v>
      </c>
      <c r="C139" s="2"/>
      <c r="D139" s="1"/>
      <c r="E139" s="1">
        <f>E137-D137</f>
        <v>608</v>
      </c>
      <c r="F139" s="1">
        <f>F137-E137</f>
        <v>-1034</v>
      </c>
      <c r="G139" s="1">
        <f>G137-F137</f>
        <v>166</v>
      </c>
      <c r="H139" s="1"/>
      <c r="I139" s="3">
        <f>I137-G137</f>
        <v>150.73999999999978</v>
      </c>
      <c r="J139" s="2"/>
    </row>
    <row r="140">
      <c r="B140" s="2" t="s">
        <v>54</v>
      </c>
      <c r="C140" s="2"/>
      <c r="D140" s="29"/>
      <c r="E140" s="29"/>
      <c r="F140" s="29"/>
      <c r="G140" s="29"/>
      <c r="H140" s="29"/>
      <c r="I140" s="15">
        <f>(1+I143)/((1+I141)*(1+I142))-1</f>
        <v>-0.015533124822291744</v>
      </c>
      <c r="J140" s="2"/>
    </row>
    <row r="141">
      <c r="B141" s="2" t="s">
        <v>55</v>
      </c>
      <c r="C141" s="2"/>
      <c r="D141" s="29"/>
      <c r="E141" s="29"/>
      <c r="F141" s="29"/>
      <c r="G141" s="29"/>
      <c r="H141" s="29"/>
      <c r="I141" s="15">
        <f>I14</f>
        <v>0</v>
      </c>
      <c r="J141" s="2"/>
    </row>
    <row r="142">
      <c r="B142" s="2" t="s">
        <v>56</v>
      </c>
      <c r="C142" s="2"/>
      <c r="D142" s="29"/>
      <c r="E142" s="29"/>
      <c r="F142" s="29"/>
      <c r="G142" s="29"/>
      <c r="H142" s="29"/>
      <c r="I142" s="15">
        <f>I15</f>
        <v>0</v>
      </c>
      <c r="J142" s="2"/>
    </row>
    <row r="143">
      <c r="B143" s="2" t="s">
        <v>57</v>
      </c>
      <c r="C143" s="2"/>
      <c r="D143" s="29"/>
      <c r="E143" s="29"/>
      <c r="F143" s="29"/>
      <c r="G143" s="29"/>
      <c r="H143" s="29"/>
      <c r="I143" s="15">
        <f>I138</f>
        <v>-0.015533124822291744</v>
      </c>
      <c r="J143" s="2"/>
    </row>
    <row r="144">
      <c r="B144" s="2" t="s">
        <v>84</v>
      </c>
      <c r="C144" s="2"/>
      <c r="D144" s="29">
        <f>D137/D66</f>
        <v>0.6001706484641638</v>
      </c>
      <c r="E144" s="29">
        <f>E137/E66</f>
        <v>0.6149513156835922</v>
      </c>
      <c r="F144" s="29">
        <f>F137/F66</f>
        <v>0.58586754144871</v>
      </c>
      <c r="G144" s="29">
        <f>G137/G66</f>
        <v>0.6173897192854538</v>
      </c>
      <c r="H144" s="29">
        <f>H137/H66</f>
        <v>0.6047243415664468</v>
      </c>
      <c r="I144" s="15">
        <f>I137/I66</f>
        <v>0.613585333652321</v>
      </c>
      <c r="J144" s="2"/>
    </row>
    <row r="145">
      <c r="B145" s="14" t="s">
        <v>87</v>
      </c>
      <c r="C145" s="14"/>
      <c r="D145" s="18">
        <f>D90</f>
        <v>4659</v>
      </c>
      <c r="E145" s="18">
        <f>E90</f>
        <v>4748</v>
      </c>
      <c r="F145" s="18">
        <f>F90</f>
        <v>4644</v>
      </c>
      <c r="G145" s="18">
        <f>G90</f>
        <v>4146</v>
      </c>
      <c r="H145" s="18">
        <f>H90</f>
        <v>18197</v>
      </c>
      <c r="I145" s="31">
        <f>I90</f>
        <v>4339.56</v>
      </c>
      <c r="J145" s="2" t="s">
        <v>81</v>
      </c>
    </row>
    <row r="146">
      <c r="B146" s="2" t="s">
        <v>82</v>
      </c>
      <c r="C146" s="2"/>
      <c r="D146" s="29"/>
      <c r="E146" s="29"/>
      <c r="F146" s="29"/>
      <c r="G146" s="29"/>
      <c r="H146" s="29"/>
      <c r="I146" s="15">
        <f>I145/D145-1</f>
        <v>-0.06856406954282024</v>
      </c>
      <c r="J146" s="2"/>
    </row>
    <row r="147">
      <c r="B147" s="2" t="s">
        <v>83</v>
      </c>
      <c r="C147" s="2"/>
      <c r="D147" s="1"/>
      <c r="E147" s="1">
        <f>E145-D145</f>
        <v>89</v>
      </c>
      <c r="F147" s="1">
        <f>F145-E145</f>
        <v>-104</v>
      </c>
      <c r="G147" s="1">
        <f>G145-F145</f>
        <v>-498</v>
      </c>
      <c r="H147" s="1"/>
      <c r="I147" s="3">
        <f>I145-G145</f>
        <v>193.5600000000004</v>
      </c>
      <c r="J147" s="2"/>
    </row>
    <row r="148">
      <c r="B148" s="2" t="s">
        <v>54</v>
      </c>
      <c r="C148" s="2"/>
      <c r="D148" s="29"/>
      <c r="E148" s="29"/>
      <c r="F148" s="29"/>
      <c r="G148" s="29"/>
      <c r="H148" s="29"/>
      <c r="I148" s="15">
        <f>(1+I151)/((1+I149)*(1+I150))-1</f>
        <v>-0.06856406954282024</v>
      </c>
      <c r="J148" s="2"/>
    </row>
    <row r="149">
      <c r="B149" s="2" t="s">
        <v>55</v>
      </c>
      <c r="C149" s="2"/>
      <c r="D149" s="29"/>
      <c r="E149" s="29"/>
      <c r="F149" s="29"/>
      <c r="G149" s="29"/>
      <c r="H149" s="29"/>
      <c r="I149" s="15">
        <f>I14</f>
        <v>0</v>
      </c>
      <c r="J149" s="2"/>
    </row>
    <row r="150">
      <c r="B150" s="2" t="s">
        <v>56</v>
      </c>
      <c r="C150" s="2"/>
      <c r="D150" s="29"/>
      <c r="E150" s="29"/>
      <c r="F150" s="29"/>
      <c r="G150" s="29"/>
      <c r="H150" s="29"/>
      <c r="I150" s="15">
        <f>I15</f>
        <v>0</v>
      </c>
      <c r="J150" s="2"/>
    </row>
    <row r="151">
      <c r="B151" s="2" t="s">
        <v>57</v>
      </c>
      <c r="C151" s="2"/>
      <c r="D151" s="29"/>
      <c r="E151" s="29"/>
      <c r="F151" s="29"/>
      <c r="G151" s="29"/>
      <c r="H151" s="29"/>
      <c r="I151" s="15">
        <f>I146</f>
        <v>-0.06856406954282024</v>
      </c>
      <c r="J151" s="2"/>
    </row>
    <row r="152">
      <c r="B152" s="2" t="s">
        <v>84</v>
      </c>
      <c r="C152" s="2"/>
      <c r="D152" s="29">
        <f>D145/D66</f>
        <v>0.39752559726962455</v>
      </c>
      <c r="E152" s="29">
        <f>E145/E66</f>
        <v>0.3820712963708055</v>
      </c>
      <c r="F152" s="29">
        <f>F145/F66</f>
        <v>0.41173862931110916</v>
      </c>
      <c r="G152" s="29">
        <f>G145/G66</f>
        <v>0.3778709442216551</v>
      </c>
      <c r="H152" s="29">
        <f>H145/H66</f>
        <v>0.3921936290357343</v>
      </c>
      <c r="I152" s="15">
        <f>I145/I66</f>
        <v>0.38451846141577395</v>
      </c>
      <c r="J152" s="2"/>
    </row>
    <row r="153">
      <c r="B153" s="14" t="s">
        <v>78</v>
      </c>
      <c r="C153" s="14"/>
      <c r="D153" s="18">
        <f>D91</f>
        <v>27</v>
      </c>
      <c r="E153" s="18">
        <f>E91</f>
        <v>37</v>
      </c>
      <c r="F153" s="18">
        <f>F91</f>
        <v>27</v>
      </c>
      <c r="G153" s="18">
        <f>G91</f>
        <v>52</v>
      </c>
      <c r="H153" s="18">
        <f>H91</f>
        <v>143</v>
      </c>
      <c r="I153" s="31">
        <f>I91</f>
        <v>21.4</v>
      </c>
      <c r="J153" s="2" t="s">
        <v>81</v>
      </c>
    </row>
    <row r="154">
      <c r="B154" s="2" t="s">
        <v>82</v>
      </c>
      <c r="C154" s="2"/>
      <c r="D154" s="29"/>
      <c r="E154" s="29"/>
      <c r="F154" s="29"/>
      <c r="G154" s="29"/>
      <c r="H154" s="29"/>
      <c r="I154" s="15">
        <f>I153/D153-1</f>
        <v>-0.20740740740740748</v>
      </c>
      <c r="J154" s="2"/>
    </row>
    <row r="155">
      <c r="B155" s="2" t="s">
        <v>83</v>
      </c>
      <c r="C155" s="2"/>
      <c r="D155" s="1"/>
      <c r="E155" s="1">
        <f>E153-D153</f>
        <v>10</v>
      </c>
      <c r="F155" s="1">
        <f>F153-E153</f>
        <v>-10</v>
      </c>
      <c r="G155" s="1">
        <f>G153-F153</f>
        <v>25</v>
      </c>
      <c r="H155" s="1"/>
      <c r="I155" s="3">
        <f>I153-G153</f>
        <v>-30.6</v>
      </c>
      <c r="J155" s="2"/>
    </row>
    <row r="156">
      <c r="B156" s="2" t="s">
        <v>54</v>
      </c>
      <c r="C156" s="2"/>
      <c r="D156" s="29"/>
      <c r="E156" s="29"/>
      <c r="F156" s="29"/>
      <c r="G156" s="29"/>
      <c r="H156" s="29"/>
      <c r="I156" s="15">
        <f>(1+I159)/((1+I157)*(1+I158))-1</f>
        <v>-0.20740740740740748</v>
      </c>
      <c r="J156" s="2"/>
    </row>
    <row r="157">
      <c r="B157" s="2" t="s">
        <v>55</v>
      </c>
      <c r="C157" s="2"/>
      <c r="D157" s="29"/>
      <c r="E157" s="29"/>
      <c r="F157" s="29"/>
      <c r="G157" s="29"/>
      <c r="H157" s="29"/>
      <c r="I157" s="15">
        <f>I14</f>
        <v>0</v>
      </c>
      <c r="J157" s="2"/>
    </row>
    <row r="158">
      <c r="B158" s="2" t="s">
        <v>56</v>
      </c>
      <c r="C158" s="2"/>
      <c r="D158" s="29"/>
      <c r="E158" s="29"/>
      <c r="F158" s="29"/>
      <c r="G158" s="29"/>
      <c r="H158" s="29"/>
      <c r="I158" s="15">
        <f>I15</f>
        <v>0</v>
      </c>
      <c r="J158" s="2"/>
    </row>
    <row r="159">
      <c r="B159" s="2" t="s">
        <v>57</v>
      </c>
      <c r="C159" s="2"/>
      <c r="D159" s="29"/>
      <c r="E159" s="29"/>
      <c r="F159" s="29"/>
      <c r="G159" s="29"/>
      <c r="H159" s="29"/>
      <c r="I159" s="15">
        <f>I154</f>
        <v>-0.20740740740740748</v>
      </c>
      <c r="J159" s="2"/>
    </row>
    <row r="160">
      <c r="B160" s="2" t="s">
        <v>84</v>
      </c>
      <c r="C160" s="2"/>
      <c r="D160" s="29">
        <f>D153/D66</f>
        <v>0.0023037542662116043</v>
      </c>
      <c r="E160" s="29">
        <f>E153/E66</f>
        <v>0.0029773879456023175</v>
      </c>
      <c r="F160" s="29">
        <f>F153/F66</f>
        <v>0.002393829240180867</v>
      </c>
      <c r="G160" s="29">
        <f>G153/G66</f>
        <v>0.004739336492890996</v>
      </c>
      <c r="H160" s="29">
        <f>H153/H66</f>
        <v>0.0030820293978188716</v>
      </c>
      <c r="I160" s="15">
        <f>I153/I66</f>
        <v>0.0018962049319049769</v>
      </c>
      <c r="J160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9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88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70</v>
      </c>
      <c r="C9" s="2"/>
      <c r="D9" s="10">
        <v>3219</v>
      </c>
      <c r="E9" s="10">
        <v>3542</v>
      </c>
      <c r="F9" s="10">
        <v>3326</v>
      </c>
      <c r="G9" s="10">
        <v>3230</v>
      </c>
      <c r="H9" s="1">
        <f>SUM(D9:G9)</f>
        <v>13317</v>
      </c>
      <c r="I9" s="3">
        <f>D9*(1+I10)</f>
        <v>3283.38</v>
      </c>
      <c r="J9" s="2" t="s">
        <v>89</v>
      </c>
    </row>
    <row r="10">
      <c r="B10" s="2" t="s">
        <v>51</v>
      </c>
      <c r="C10" s="2"/>
      <c r="D10" s="29"/>
      <c r="E10" s="29"/>
      <c r="F10" s="29"/>
      <c r="G10" s="29"/>
      <c r="H10" s="29"/>
      <c r="I10" s="30">
        <v>0.02</v>
      </c>
      <c r="J10" s="2"/>
    </row>
    <row r="11">
      <c r="B11" s="2" t="s">
        <v>90</v>
      </c>
      <c r="C11" s="2"/>
      <c r="D11" s="1"/>
      <c r="E11" s="1">
        <f>E9-D9</f>
        <v>323</v>
      </c>
      <c r="F11" s="1">
        <f>F9-E9</f>
        <v>-216</v>
      </c>
      <c r="G11" s="1">
        <f>G9-F9</f>
        <v>-96</v>
      </c>
      <c r="H11" s="1"/>
      <c r="I11" s="3">
        <f>I9-G9</f>
        <v>53.38000000000011</v>
      </c>
      <c r="J11" s="2"/>
    </row>
    <row r="12">
      <c r="B12" s="2" t="s">
        <v>54</v>
      </c>
      <c r="C12" s="2"/>
      <c r="D12" s="29"/>
      <c r="E12" s="29"/>
      <c r="F12" s="29"/>
      <c r="G12" s="29"/>
      <c r="H12" s="29"/>
      <c r="I12" s="15">
        <f>(1+I15)/((1+I13)*(1+I14))-1</f>
        <v>0.020000000000000018</v>
      </c>
      <c r="J12" s="2"/>
    </row>
    <row r="13">
      <c r="B13" s="2" t="s">
        <v>55</v>
      </c>
      <c r="C13" s="2"/>
      <c r="D13" s="29"/>
      <c r="E13" s="29"/>
      <c r="F13" s="29"/>
      <c r="G13" s="29"/>
      <c r="H13" s="29"/>
      <c r="I13" s="30">
        <v>0</v>
      </c>
      <c r="J13" s="2"/>
    </row>
    <row r="14">
      <c r="B14" s="2" t="s">
        <v>56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57</v>
      </c>
      <c r="C15" s="2"/>
      <c r="D15" s="29"/>
      <c r="E15" s="29"/>
      <c r="F15" s="29"/>
      <c r="G15" s="29"/>
      <c r="H15" s="29"/>
      <c r="I15" s="15">
        <f>I9/D9-1</f>
        <v>0.020000000000000018</v>
      </c>
      <c r="J15" s="2"/>
    </row>
    <row r="16">
      <c r="B16" s="2"/>
      <c r="C16" s="2"/>
      <c r="D16" s="1"/>
      <c r="E16" s="1"/>
      <c r="F16" s="1"/>
      <c r="G16" s="1"/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71</v>
      </c>
      <c r="C18" s="2"/>
      <c r="D18" s="10">
        <v>1474</v>
      </c>
      <c r="E18" s="10">
        <v>1811</v>
      </c>
      <c r="F18" s="10">
        <v>1480</v>
      </c>
      <c r="G18" s="10">
        <v>1310</v>
      </c>
      <c r="H18" s="1">
        <f>SUM(D18:G18)</f>
        <v>6075</v>
      </c>
      <c r="I18" s="3">
        <f>D18*(1+I19)</f>
        <v>1518.22</v>
      </c>
      <c r="J18" s="2"/>
    </row>
    <row r="19">
      <c r="B19" s="2" t="s">
        <v>51</v>
      </c>
      <c r="C19" s="2"/>
      <c r="D19" s="29"/>
      <c r="E19" s="29"/>
      <c r="F19" s="29"/>
      <c r="G19" s="29"/>
      <c r="H19" s="29"/>
      <c r="I19" s="30">
        <v>0.03</v>
      </c>
      <c r="J19" s="2"/>
    </row>
    <row r="20">
      <c r="B20" s="2" t="s">
        <v>90</v>
      </c>
      <c r="C20" s="2"/>
      <c r="D20" s="1"/>
      <c r="E20" s="1">
        <f>E18-D18</f>
        <v>337</v>
      </c>
      <c r="F20" s="1">
        <f>F18-E18</f>
        <v>-331</v>
      </c>
      <c r="G20" s="1">
        <f>G18-F18</f>
        <v>-170</v>
      </c>
      <c r="H20" s="1"/>
      <c r="I20" s="3">
        <f>I18-G18</f>
        <v>208.22000000000003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0.030000000000000027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I18/D18-1</f>
        <v>0.030000000000000027</v>
      </c>
      <c r="J24" s="2"/>
    </row>
    <row r="25">
      <c r="B25" s="2"/>
      <c r="C25" s="2"/>
      <c r="D25" s="1"/>
      <c r="E25" s="1"/>
      <c r="F25" s="1"/>
      <c r="G25" s="1"/>
      <c r="H25" s="1"/>
      <c r="I25" s="3"/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72</v>
      </c>
      <c r="C27" s="2"/>
      <c r="D27" s="10">
        <v>327</v>
      </c>
      <c r="E27" s="10">
        <v>280</v>
      </c>
      <c r="F27" s="10">
        <v>220</v>
      </c>
      <c r="G27" s="10">
        <v>292</v>
      </c>
      <c r="H27" s="1">
        <f>SUM(D27:G27)</f>
        <v>1119</v>
      </c>
      <c r="I27" s="3">
        <f>D27*(1+I28)</f>
        <v>333.54</v>
      </c>
      <c r="J27" s="2"/>
    </row>
    <row r="28">
      <c r="B28" s="2" t="s">
        <v>51</v>
      </c>
      <c r="C28" s="2"/>
      <c r="D28" s="29"/>
      <c r="E28" s="29"/>
      <c r="F28" s="29"/>
      <c r="G28" s="29"/>
      <c r="H28" s="29"/>
      <c r="I28" s="30">
        <v>0.02</v>
      </c>
      <c r="J28" s="2"/>
    </row>
    <row r="29">
      <c r="B29" s="2" t="s">
        <v>90</v>
      </c>
      <c r="C29" s="2"/>
      <c r="D29" s="1"/>
      <c r="E29" s="1">
        <f>E27-D27</f>
        <v>-47</v>
      </c>
      <c r="F29" s="1">
        <f>F27-E27</f>
        <v>-60</v>
      </c>
      <c r="G29" s="1">
        <f>G27-F27</f>
        <v>72</v>
      </c>
      <c r="H29" s="1"/>
      <c r="I29" s="3">
        <f>I27-G27</f>
        <v>41.54000000000002</v>
      </c>
      <c r="J29" s="2"/>
    </row>
    <row r="30">
      <c r="B30" s="2" t="s">
        <v>54</v>
      </c>
      <c r="C30" s="2"/>
      <c r="D30" s="29"/>
      <c r="E30" s="29"/>
      <c r="F30" s="29"/>
      <c r="G30" s="29"/>
      <c r="H30" s="29"/>
      <c r="I30" s="15">
        <f>(1+I33)/((1+I31)*(1+I32))-1</f>
        <v>0.020000000000000018</v>
      </c>
      <c r="J30" s="2"/>
    </row>
    <row r="31">
      <c r="B31" s="2" t="s">
        <v>55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56</v>
      </c>
      <c r="C32" s="2"/>
      <c r="D32" s="29"/>
      <c r="E32" s="29"/>
      <c r="F32" s="29"/>
      <c r="G32" s="29"/>
      <c r="H32" s="29"/>
      <c r="I32" s="30">
        <v>0</v>
      </c>
      <c r="J32" s="2"/>
    </row>
    <row r="33">
      <c r="B33" s="2" t="s">
        <v>57</v>
      </c>
      <c r="C33" s="2"/>
      <c r="D33" s="29"/>
      <c r="E33" s="29"/>
      <c r="F33" s="29"/>
      <c r="G33" s="29"/>
      <c r="H33" s="29"/>
      <c r="I33" s="15">
        <f>I27/D27-1</f>
        <v>0.020000000000000018</v>
      </c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/>
      <c r="C39" s="2"/>
      <c r="D39" s="1"/>
      <c r="E39" s="1"/>
      <c r="F39" s="1"/>
      <c r="G39" s="1"/>
      <c r="H39" s="1"/>
      <c r="I39" s="3"/>
      <c r="J39" s="2"/>
    </row>
    <row r="40">
      <c r="B40" s="2"/>
      <c r="C40" s="2"/>
      <c r="D40" s="1"/>
      <c r="E40" s="1"/>
      <c r="F40" s="1"/>
      <c r="G40" s="1"/>
      <c r="H40" s="1"/>
      <c r="I40" s="3"/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/>
      <c r="C42" s="2"/>
      <c r="D42" s="1"/>
      <c r="E42" s="1"/>
      <c r="F42" s="1"/>
      <c r="G42" s="1"/>
      <c r="H42" s="1"/>
      <c r="I42" s="3"/>
      <c r="J42" s="2"/>
    </row>
    <row r="43">
      <c r="B43" s="2"/>
      <c r="C43" s="2"/>
      <c r="D43" s="1"/>
      <c r="E43" s="1"/>
      <c r="F43" s="1"/>
      <c r="G43" s="1"/>
      <c r="H43" s="1"/>
      <c r="I43" s="3"/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14" t="s">
        <v>91</v>
      </c>
      <c r="C45" s="14"/>
      <c r="D45" s="18">
        <f>SUM(D9,D18,D27,D36)</f>
        <v>5020</v>
      </c>
      <c r="E45" s="18">
        <f>SUM(E9,E18,E27,E36)</f>
        <v>5633</v>
      </c>
      <c r="F45" s="18">
        <f>SUM(F9,F18,F27,F36)</f>
        <v>5026</v>
      </c>
      <c r="G45" s="18">
        <f>SUM(G9,G18,G27,G36)</f>
        <v>4832</v>
      </c>
      <c r="H45" s="18">
        <f>SUM(H9,H18,H27,H36)</f>
        <v>20511</v>
      </c>
      <c r="I45" s="31">
        <f>SUM(I9,I18,I27,I36)</f>
        <v>5135.14</v>
      </c>
      <c r="J45" s="2" t="s">
        <v>92</v>
      </c>
    </row>
    <row r="46">
      <c r="B46" s="2" t="s">
        <v>51</v>
      </c>
      <c r="C46" s="2"/>
      <c r="D46" s="29"/>
      <c r="E46" s="29"/>
      <c r="F46" s="29"/>
      <c r="G46" s="29"/>
      <c r="H46" s="29"/>
      <c r="I46" s="15">
        <f>I45/D45-1</f>
        <v>0.022936254980079784</v>
      </c>
      <c r="J46" s="2"/>
    </row>
    <row r="47">
      <c r="B47" s="2" t="s">
        <v>90</v>
      </c>
      <c r="C47" s="2"/>
      <c r="D47" s="1"/>
      <c r="E47" s="1">
        <f>E45-D45</f>
        <v>613</v>
      </c>
      <c r="F47" s="1">
        <f>F45-E45</f>
        <v>-607</v>
      </c>
      <c r="G47" s="1">
        <f>G45-F45</f>
        <v>-194</v>
      </c>
      <c r="H47" s="1"/>
      <c r="I47" s="3">
        <f>I45-G45</f>
        <v>303.1400000000003</v>
      </c>
      <c r="J47" s="2"/>
    </row>
    <row r="48">
      <c r="B48" s="2" t="s">
        <v>54</v>
      </c>
      <c r="C48" s="2"/>
      <c r="D48" s="29"/>
      <c r="E48" s="29"/>
      <c r="F48" s="29"/>
      <c r="G48" s="29"/>
      <c r="H48" s="29"/>
      <c r="I48" s="15">
        <f>(1+I51)/((1+I49)*(1+I50))-1</f>
        <v>0.022936254980079784</v>
      </c>
      <c r="J48" s="2"/>
    </row>
    <row r="49">
      <c r="B49" s="2" t="s">
        <v>55</v>
      </c>
      <c r="C49" s="2"/>
      <c r="D49" s="29"/>
      <c r="E49" s="29"/>
      <c r="F49" s="29"/>
      <c r="G49" s="29"/>
      <c r="H49" s="29"/>
      <c r="I49" s="30">
        <v>0</v>
      </c>
      <c r="J49" s="2"/>
    </row>
    <row r="50">
      <c r="B50" s="2" t="s">
        <v>56</v>
      </c>
      <c r="C50" s="2"/>
      <c r="D50" s="29"/>
      <c r="E50" s="29"/>
      <c r="F50" s="29"/>
      <c r="G50" s="29"/>
      <c r="H50" s="29"/>
      <c r="I50" s="30">
        <v>0</v>
      </c>
      <c r="J50" s="2"/>
    </row>
    <row r="51">
      <c r="B51" s="2" t="s">
        <v>57</v>
      </c>
      <c r="C51" s="2"/>
      <c r="D51" s="29"/>
      <c r="E51" s="29"/>
      <c r="F51" s="29"/>
      <c r="G51" s="29"/>
      <c r="H51" s="29"/>
      <c r="I51" s="15">
        <f>I45/D45-1</f>
        <v>0.022936254980079784</v>
      </c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86</v>
      </c>
      <c r="C53" s="14"/>
      <c r="D53" s="25">
        <v>2736</v>
      </c>
      <c r="E53" s="25">
        <v>3550</v>
      </c>
      <c r="F53" s="25">
        <v>2768</v>
      </c>
      <c r="G53" s="25">
        <v>2904</v>
      </c>
      <c r="H53" s="18">
        <f>SUM(D53:G53)</f>
        <v>11958</v>
      </c>
      <c r="I53" s="31">
        <f>D53*(1+I54)</f>
        <v>2927.52</v>
      </c>
      <c r="J53" s="2" t="s">
        <v>93</v>
      </c>
    </row>
    <row r="54">
      <c r="B54" s="2" t="s">
        <v>51</v>
      </c>
      <c r="C54" s="2"/>
      <c r="D54" s="29"/>
      <c r="E54" s="29"/>
      <c r="F54" s="29"/>
      <c r="G54" s="29"/>
      <c r="H54" s="29"/>
      <c r="I54" s="30">
        <v>0.07</v>
      </c>
      <c r="J54" s="2"/>
    </row>
    <row r="55">
      <c r="B55" s="2" t="s">
        <v>90</v>
      </c>
      <c r="C55" s="2"/>
      <c r="D55" s="1"/>
      <c r="E55" s="1">
        <f>E53-D53</f>
        <v>814</v>
      </c>
      <c r="F55" s="1">
        <f>F53-E53</f>
        <v>-782</v>
      </c>
      <c r="G55" s="1">
        <f>G53-F53</f>
        <v>136</v>
      </c>
      <c r="H55" s="1"/>
      <c r="I55" s="3">
        <f>I53-G53</f>
        <v>23.519999999999982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  <row r="57">
      <c r="B57" s="2"/>
      <c r="C57" s="2"/>
      <c r="D57" s="1"/>
      <c r="E57" s="1"/>
      <c r="F57" s="1"/>
      <c r="G57" s="1"/>
      <c r="H57" s="1"/>
      <c r="I57" s="3"/>
      <c r="J57" s="2"/>
    </row>
    <row r="58">
      <c r="B58" s="14" t="s">
        <v>87</v>
      </c>
      <c r="C58" s="14"/>
      <c r="D58" s="25">
        <v>2284</v>
      </c>
      <c r="E58" s="25">
        <v>2083</v>
      </c>
      <c r="F58" s="25">
        <v>2258</v>
      </c>
      <c r="G58" s="25">
        <v>1928</v>
      </c>
      <c r="H58" s="18">
        <f>SUM(D58:G58)</f>
        <v>8553</v>
      </c>
      <c r="I58" s="31">
        <f>D58*(1+I59)</f>
        <v>2207.6200000000003</v>
      </c>
      <c r="J58" s="2"/>
    </row>
    <row r="59">
      <c r="B59" s="2" t="s">
        <v>51</v>
      </c>
      <c r="C59" s="2"/>
      <c r="D59" s="29"/>
      <c r="E59" s="29"/>
      <c r="F59" s="29"/>
      <c r="G59" s="29"/>
      <c r="H59" s="29"/>
      <c r="I59" s="15">
        <v>-0.03344133099824853</v>
      </c>
      <c r="J59" s="2" t="s">
        <v>94</v>
      </c>
    </row>
    <row r="60">
      <c r="B60" s="2" t="s">
        <v>90</v>
      </c>
      <c r="C60" s="2"/>
      <c r="D60" s="1"/>
      <c r="E60" s="1">
        <f>E58-D58</f>
        <v>-201</v>
      </c>
      <c r="F60" s="1">
        <f>F58-E58</f>
        <v>175</v>
      </c>
      <c r="G60" s="1">
        <f>G58-F58</f>
        <v>-330</v>
      </c>
      <c r="H60" s="1"/>
      <c r="I60" s="3">
        <f>I58-G58</f>
        <v>279.62000000000035</v>
      </c>
      <c r="J60" s="2"/>
    </row>
    <row r="61">
      <c r="B61" s="2"/>
      <c r="C61" s="2"/>
      <c r="D61" s="1"/>
      <c r="E61" s="1"/>
      <c r="F61" s="1"/>
      <c r="G61" s="1"/>
      <c r="H61" s="1"/>
      <c r="I61" s="3"/>
      <c r="J61" s="2"/>
    </row>
    <row r="62">
      <c r="B62" s="2"/>
      <c r="C62" s="2"/>
      <c r="D62" s="1"/>
      <c r="E62" s="1"/>
      <c r="F62" s="1"/>
      <c r="G62" s="1"/>
      <c r="H62" s="1"/>
      <c r="I62" s="3"/>
      <c r="J62" s="2"/>
    </row>
    <row r="63">
      <c r="B63" s="14" t="s">
        <v>95</v>
      </c>
      <c r="C63" s="14"/>
      <c r="D63" s="18"/>
      <c r="E63" s="18"/>
      <c r="F63" s="18"/>
      <c r="G63" s="18"/>
      <c r="H63" s="18">
        <f>SUM(D63:G63)</f>
        <v>0</v>
      </c>
      <c r="I63" s="31"/>
      <c r="J63" s="2"/>
    </row>
    <row r="64">
      <c r="B64" s="2"/>
      <c r="C64" s="2"/>
      <c r="D64" s="1"/>
      <c r="E64" s="1"/>
      <c r="F64" s="1"/>
      <c r="G64" s="1"/>
      <c r="H64" s="1"/>
      <c r="I64" s="3"/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79</v>
      </c>
      <c r="C66" s="14"/>
      <c r="D66" s="18">
        <f>D45-SUM(D53,D58,D63)</f>
        <v>0</v>
      </c>
      <c r="E66" s="18">
        <f>E45-SUM(E53,E58,E63)</f>
        <v>0</v>
      </c>
      <c r="F66" s="18">
        <f>F45-SUM(F53,F58,F63)</f>
        <v>0</v>
      </c>
      <c r="G66" s="18">
        <f>G45-SUM(G53,G58,G63)</f>
        <v>0</v>
      </c>
      <c r="H66" s="18"/>
      <c r="I66" s="31">
        <f>I45-SUM(I53,I58,I63)</f>
        <v>0</v>
      </c>
      <c r="J66" s="2"/>
    </row>
    <row r="67">
      <c r="B67" s="2"/>
      <c r="C67" s="2"/>
      <c r="D67" s="1"/>
      <c r="E67" s="1"/>
      <c r="F67" s="1"/>
      <c r="G67" s="1"/>
      <c r="H67" s="1"/>
      <c r="I67" s="3"/>
      <c r="J67" s="2"/>
    </row>
    <row r="68">
      <c r="B68" s="2"/>
      <c r="C68" s="2"/>
      <c r="D68" s="1"/>
      <c r="E68" s="1"/>
      <c r="F68" s="1"/>
      <c r="G68" s="1"/>
      <c r="H68" s="1"/>
      <c r="I68" s="3"/>
      <c r="J68" s="2"/>
    </row>
    <row r="69">
      <c r="B69" s="2"/>
      <c r="C69" s="2"/>
      <c r="D69" s="1"/>
      <c r="E69" s="1"/>
      <c r="F69" s="1"/>
      <c r="G69" s="1"/>
      <c r="H69" s="1"/>
      <c r="I69" s="3"/>
      <c r="J69" s="2"/>
    </row>
    <row r="70">
      <c r="B70" s="14" t="s">
        <v>96</v>
      </c>
      <c r="C70" s="14"/>
      <c r="D70" s="25">
        <v>1134</v>
      </c>
      <c r="E70" s="25">
        <v>1261</v>
      </c>
      <c r="F70" s="25">
        <v>981</v>
      </c>
      <c r="G70" s="25">
        <v>2000</v>
      </c>
      <c r="H70" s="18">
        <f>SUM(D70:G70)</f>
        <v>5376</v>
      </c>
      <c r="I70" s="31">
        <f>I45*I71</f>
        <v>1129.7308</v>
      </c>
      <c r="J70" s="2" t="s">
        <v>97</v>
      </c>
    </row>
    <row r="71">
      <c r="B71" s="2" t="s">
        <v>98</v>
      </c>
      <c r="C71" s="2"/>
      <c r="D71" s="29">
        <f>D70/D45</f>
        <v>0.22589641434262947</v>
      </c>
      <c r="E71" s="29">
        <f>E70/E45</f>
        <v>0.22385939996449494</v>
      </c>
      <c r="F71" s="29">
        <f>F70/F45</f>
        <v>0.1951850378034222</v>
      </c>
      <c r="G71" s="29">
        <f>G70/G45</f>
        <v>0.4139072847682119</v>
      </c>
      <c r="H71" s="29">
        <f>H70/H45</f>
        <v>0.26210326166447273</v>
      </c>
      <c r="I71" s="30">
        <v>0.22</v>
      </c>
      <c r="J71" s="2"/>
    </row>
    <row r="72">
      <c r="B72" s="2" t="s">
        <v>99</v>
      </c>
      <c r="C72" s="2"/>
      <c r="D72" s="1"/>
      <c r="E72" s="1"/>
      <c r="F72" s="1"/>
      <c r="G72" s="1"/>
      <c r="H72" s="1"/>
      <c r="I72" s="3">
        <f>10000*(I71-D71)</f>
        <v>-58.96414342629469</v>
      </c>
      <c r="J72" s="2"/>
    </row>
    <row r="73">
      <c r="B73" s="2"/>
      <c r="C73" s="2"/>
      <c r="D73" s="1"/>
      <c r="E73" s="1"/>
      <c r="F73" s="1"/>
      <c r="G73" s="1"/>
      <c r="H73" s="1"/>
      <c r="I73" s="3"/>
      <c r="J73" s="2"/>
    </row>
    <row r="74">
      <c r="B74" s="2" t="s">
        <v>100</v>
      </c>
      <c r="C74" s="2"/>
      <c r="D74" s="1"/>
      <c r="E74" s="1"/>
      <c r="F74" s="1"/>
      <c r="G74" s="1"/>
      <c r="H74" s="1"/>
      <c r="I74" s="3"/>
      <c r="J74" s="2" t="s">
        <v>101</v>
      </c>
    </row>
    <row r="75">
      <c r="B75" s="2"/>
      <c r="C75" s="2"/>
      <c r="D75" s="1"/>
      <c r="E75" s="1"/>
      <c r="F75" s="1"/>
      <c r="G75" s="1"/>
      <c r="H75" s="1"/>
      <c r="I75" s="3"/>
      <c r="J75" s="2"/>
    </row>
    <row r="76">
      <c r="B76" s="41" t="s">
        <v>102</v>
      </c>
      <c r="C76" s="41"/>
      <c r="D76" s="41"/>
      <c r="E76" s="41"/>
      <c r="F76" s="41"/>
      <c r="G76" s="41"/>
      <c r="H76" s="41"/>
      <c r="I76" s="41"/>
      <c r="J76" s="2"/>
    </row>
    <row r="77">
      <c r="B77" s="14" t="s">
        <v>86</v>
      </c>
      <c r="C77" s="14"/>
      <c r="D77" s="18">
        <f>D53</f>
        <v>2736</v>
      </c>
      <c r="E77" s="18">
        <f>E53</f>
        <v>3550</v>
      </c>
      <c r="F77" s="18">
        <f>F53</f>
        <v>2768</v>
      </c>
      <c r="G77" s="18">
        <f>G53</f>
        <v>2904</v>
      </c>
      <c r="H77" s="18">
        <f>H53</f>
        <v>11958</v>
      </c>
      <c r="I77" s="31">
        <f>I53</f>
        <v>2927.52</v>
      </c>
      <c r="J77" s="2" t="s">
        <v>103</v>
      </c>
    </row>
    <row r="78">
      <c r="B78" s="2" t="s">
        <v>82</v>
      </c>
      <c r="C78" s="2"/>
      <c r="D78" s="29"/>
      <c r="E78" s="29"/>
      <c r="F78" s="29"/>
      <c r="G78" s="29"/>
      <c r="H78" s="29"/>
      <c r="I78" s="15">
        <f>I77/D77-1</f>
        <v>0.07000000000000006</v>
      </c>
      <c r="J78" s="2"/>
    </row>
    <row r="79">
      <c r="B79" s="2" t="s">
        <v>83</v>
      </c>
      <c r="C79" s="2"/>
      <c r="D79" s="1"/>
      <c r="E79" s="1">
        <f>E77-D77</f>
        <v>814</v>
      </c>
      <c r="F79" s="1">
        <f>F77-E77</f>
        <v>-782</v>
      </c>
      <c r="G79" s="1">
        <f>G77-F77</f>
        <v>136</v>
      </c>
      <c r="H79" s="1"/>
      <c r="I79" s="3">
        <f>I77-G77</f>
        <v>23.519999999999982</v>
      </c>
      <c r="J79" s="2"/>
    </row>
    <row r="80">
      <c r="B80" s="2" t="s">
        <v>54</v>
      </c>
      <c r="C80" s="2"/>
      <c r="D80" s="29"/>
      <c r="E80" s="29"/>
      <c r="F80" s="29"/>
      <c r="G80" s="29"/>
      <c r="H80" s="29"/>
      <c r="I80" s="15">
        <f>(1+I83)/((1+I81)*(1+I82))-1</f>
        <v>0.07000000000000006</v>
      </c>
      <c r="J80" s="2"/>
    </row>
    <row r="81">
      <c r="B81" s="2" t="s">
        <v>55</v>
      </c>
      <c r="C81" s="2"/>
      <c r="D81" s="29"/>
      <c r="E81" s="29"/>
      <c r="F81" s="29"/>
      <c r="G81" s="29"/>
      <c r="H81" s="29"/>
      <c r="I81" s="15">
        <f>I49</f>
        <v>0</v>
      </c>
      <c r="J81" s="2"/>
    </row>
    <row r="82">
      <c r="B82" s="2" t="s">
        <v>56</v>
      </c>
      <c r="C82" s="2"/>
      <c r="D82" s="29"/>
      <c r="E82" s="29"/>
      <c r="F82" s="29"/>
      <c r="G82" s="29"/>
      <c r="H82" s="29"/>
      <c r="I82" s="15">
        <f>I50</f>
        <v>0</v>
      </c>
      <c r="J82" s="2"/>
    </row>
    <row r="83">
      <c r="B83" s="2" t="s">
        <v>57</v>
      </c>
      <c r="C83" s="2"/>
      <c r="D83" s="29"/>
      <c r="E83" s="29"/>
      <c r="F83" s="29"/>
      <c r="G83" s="29"/>
      <c r="H83" s="29"/>
      <c r="I83" s="15">
        <f>I78</f>
        <v>0.07000000000000006</v>
      </c>
      <c r="J83" s="2"/>
    </row>
    <row r="84">
      <c r="B84" s="2" t="s">
        <v>104</v>
      </c>
      <c r="C84" s="2"/>
      <c r="D84" s="29">
        <f>D77/D45</f>
        <v>0.5450199203187251</v>
      </c>
      <c r="E84" s="29">
        <f>E77/E45</f>
        <v>0.6302148056097994</v>
      </c>
      <c r="F84" s="29">
        <f>F77/F45</f>
        <v>0.5507361719060884</v>
      </c>
      <c r="G84" s="29">
        <f>G77/G45</f>
        <v>0.6009933774834437</v>
      </c>
      <c r="H84" s="29">
        <f>H77/H45</f>
        <v>0.5830042416264444</v>
      </c>
      <c r="I84" s="15">
        <f>I77/I45</f>
        <v>0.5700954599095642</v>
      </c>
      <c r="J84" s="2"/>
    </row>
    <row r="85">
      <c r="B85" s="14" t="s">
        <v>87</v>
      </c>
      <c r="C85" s="14"/>
      <c r="D85" s="18">
        <f>D58</f>
        <v>2284</v>
      </c>
      <c r="E85" s="18">
        <f>E58</f>
        <v>2083</v>
      </c>
      <c r="F85" s="18">
        <f>F58</f>
        <v>2258</v>
      </c>
      <c r="G85" s="18">
        <f>G58</f>
        <v>1928</v>
      </c>
      <c r="H85" s="18">
        <f>H58</f>
        <v>8553</v>
      </c>
      <c r="I85" s="31">
        <f>I58</f>
        <v>2207.6200000000003</v>
      </c>
      <c r="J85" s="2" t="s">
        <v>103</v>
      </c>
    </row>
    <row r="86">
      <c r="B86" s="2" t="s">
        <v>82</v>
      </c>
      <c r="C86" s="2"/>
      <c r="D86" s="29"/>
      <c r="E86" s="29"/>
      <c r="F86" s="29"/>
      <c r="G86" s="29"/>
      <c r="H86" s="29"/>
      <c r="I86" s="15">
        <f>I85/D85-1</f>
        <v>-0.03344133099824853</v>
      </c>
      <c r="J86" s="2"/>
    </row>
    <row r="87">
      <c r="B87" s="2" t="s">
        <v>83</v>
      </c>
      <c r="C87" s="2"/>
      <c r="D87" s="1"/>
      <c r="E87" s="1">
        <f>E85-D85</f>
        <v>-201</v>
      </c>
      <c r="F87" s="1">
        <f>F85-E85</f>
        <v>175</v>
      </c>
      <c r="G87" s="1">
        <f>G85-F85</f>
        <v>-330</v>
      </c>
      <c r="H87" s="1"/>
      <c r="I87" s="3">
        <f>I85-G85</f>
        <v>279.62000000000035</v>
      </c>
      <c r="J87" s="2"/>
    </row>
    <row r="88">
      <c r="B88" s="2" t="s">
        <v>54</v>
      </c>
      <c r="C88" s="2"/>
      <c r="D88" s="29"/>
      <c r="E88" s="29"/>
      <c r="F88" s="29"/>
      <c r="G88" s="29"/>
      <c r="H88" s="29"/>
      <c r="I88" s="15">
        <f>(1+I91)/((1+I89)*(1+I90))-1</f>
        <v>-0.03344133099824853</v>
      </c>
      <c r="J88" s="2"/>
    </row>
    <row r="89">
      <c r="B89" s="2" t="s">
        <v>55</v>
      </c>
      <c r="C89" s="2"/>
      <c r="D89" s="29"/>
      <c r="E89" s="29"/>
      <c r="F89" s="29"/>
      <c r="G89" s="29"/>
      <c r="H89" s="29"/>
      <c r="I89" s="15">
        <f>I49</f>
        <v>0</v>
      </c>
      <c r="J89" s="2"/>
    </row>
    <row r="90">
      <c r="B90" s="2" t="s">
        <v>56</v>
      </c>
      <c r="C90" s="2"/>
      <c r="D90" s="29"/>
      <c r="E90" s="29"/>
      <c r="F90" s="29"/>
      <c r="G90" s="29"/>
      <c r="H90" s="29"/>
      <c r="I90" s="15">
        <f>I50</f>
        <v>0</v>
      </c>
      <c r="J90" s="2"/>
    </row>
    <row r="91">
      <c r="B91" s="2" t="s">
        <v>57</v>
      </c>
      <c r="C91" s="2"/>
      <c r="D91" s="29"/>
      <c r="E91" s="29"/>
      <c r="F91" s="29"/>
      <c r="G91" s="29"/>
      <c r="H91" s="29"/>
      <c r="I91" s="15">
        <f>I86</f>
        <v>-0.03344133099824853</v>
      </c>
      <c r="J91" s="2"/>
    </row>
    <row r="92">
      <c r="B92" s="2" t="s">
        <v>104</v>
      </c>
      <c r="C92" s="2"/>
      <c r="D92" s="29">
        <f>D85/D45</f>
        <v>0.4549800796812749</v>
      </c>
      <c r="E92" s="29">
        <f>E85/E45</f>
        <v>0.3697851943902006</v>
      </c>
      <c r="F92" s="29">
        <f>F85/F45</f>
        <v>0.44926382809391163</v>
      </c>
      <c r="G92" s="29">
        <f>G85/G45</f>
        <v>0.3990066225165563</v>
      </c>
      <c r="H92" s="29">
        <f>H85/H45</f>
        <v>0.4169957583735557</v>
      </c>
      <c r="I92" s="15">
        <f>I85/I45</f>
        <v>0.4299045400904357</v>
      </c>
      <c r="J92" s="2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9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105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70</v>
      </c>
      <c r="C9" s="2"/>
      <c r="D9" s="10">
        <v>2021</v>
      </c>
      <c r="E9" s="10">
        <v>2012</v>
      </c>
      <c r="F9" s="10">
        <v>1789</v>
      </c>
      <c r="G9" s="10">
        <v>1821</v>
      </c>
      <c r="H9" s="1">
        <f>SUM(D9:G9)</f>
        <v>7643</v>
      </c>
      <c r="I9" s="3">
        <f>D9*(1+I10)</f>
        <v>1879.53</v>
      </c>
      <c r="J9" s="2" t="s">
        <v>89</v>
      </c>
    </row>
    <row r="10">
      <c r="B10" s="2" t="s">
        <v>51</v>
      </c>
      <c r="C10" s="2"/>
      <c r="D10" s="29"/>
      <c r="E10" s="29"/>
      <c r="F10" s="29"/>
      <c r="G10" s="29"/>
      <c r="H10" s="29"/>
      <c r="I10" s="30">
        <v>-0.07</v>
      </c>
      <c r="J10" s="2"/>
    </row>
    <row r="11">
      <c r="B11" s="2" t="s">
        <v>90</v>
      </c>
      <c r="C11" s="2"/>
      <c r="D11" s="1"/>
      <c r="E11" s="1">
        <f>E9-D9</f>
        <v>-9</v>
      </c>
      <c r="F11" s="1">
        <f>F9-E9</f>
        <v>-223</v>
      </c>
      <c r="G11" s="1">
        <f>G9-F9</f>
        <v>32</v>
      </c>
      <c r="H11" s="1"/>
      <c r="I11" s="3">
        <f>I9-G9</f>
        <v>58.52999999999997</v>
      </c>
      <c r="J11" s="2"/>
    </row>
    <row r="12">
      <c r="B12" s="2" t="s">
        <v>54</v>
      </c>
      <c r="C12" s="2"/>
      <c r="D12" s="29"/>
      <c r="E12" s="29"/>
      <c r="F12" s="29"/>
      <c r="G12" s="29"/>
      <c r="H12" s="29"/>
      <c r="I12" s="15">
        <f>(1+I15)/((1+I13)*(1+I14))-1</f>
        <v>-0.07000000000000006</v>
      </c>
      <c r="J12" s="2"/>
    </row>
    <row r="13">
      <c r="B13" s="2" t="s">
        <v>55</v>
      </c>
      <c r="C13" s="2"/>
      <c r="D13" s="29"/>
      <c r="E13" s="29"/>
      <c r="F13" s="29"/>
      <c r="G13" s="29"/>
      <c r="H13" s="29"/>
      <c r="I13" s="30">
        <v>0</v>
      </c>
      <c r="J13" s="2"/>
    </row>
    <row r="14">
      <c r="B14" s="2" t="s">
        <v>56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57</v>
      </c>
      <c r="C15" s="2"/>
      <c r="D15" s="29"/>
      <c r="E15" s="29"/>
      <c r="F15" s="29"/>
      <c r="G15" s="29"/>
      <c r="H15" s="29"/>
      <c r="I15" s="15">
        <f>I9/D9-1</f>
        <v>-0.07000000000000006</v>
      </c>
      <c r="J15" s="2"/>
    </row>
    <row r="16">
      <c r="B16" s="2"/>
      <c r="C16" s="2"/>
      <c r="D16" s="1"/>
      <c r="E16" s="1"/>
      <c r="F16" s="1"/>
      <c r="G16" s="1"/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71</v>
      </c>
      <c r="C18" s="2"/>
      <c r="D18" s="10">
        <v>1106</v>
      </c>
      <c r="E18" s="10">
        <v>1196</v>
      </c>
      <c r="F18" s="10">
        <v>926</v>
      </c>
      <c r="G18" s="10">
        <v>982</v>
      </c>
      <c r="H18" s="1">
        <f>SUM(D18:G18)</f>
        <v>4210</v>
      </c>
      <c r="I18" s="3">
        <f>D18*(1+I19)</f>
        <v>1061.76</v>
      </c>
      <c r="J18" s="2"/>
    </row>
    <row r="19">
      <c r="B19" s="2" t="s">
        <v>51</v>
      </c>
      <c r="C19" s="2"/>
      <c r="D19" s="29"/>
      <c r="E19" s="29"/>
      <c r="F19" s="29"/>
      <c r="G19" s="29"/>
      <c r="H19" s="29"/>
      <c r="I19" s="30">
        <v>-0.04</v>
      </c>
      <c r="J19" s="2"/>
    </row>
    <row r="20">
      <c r="B20" s="2" t="s">
        <v>90</v>
      </c>
      <c r="C20" s="2"/>
      <c r="D20" s="1"/>
      <c r="E20" s="1">
        <f>E18-D18</f>
        <v>90</v>
      </c>
      <c r="F20" s="1">
        <f>F18-E18</f>
        <v>-270</v>
      </c>
      <c r="G20" s="1">
        <f>G18-F18</f>
        <v>56</v>
      </c>
      <c r="H20" s="1"/>
      <c r="I20" s="3">
        <f>I18-G18</f>
        <v>79.75999999999999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-0.040000000000000036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I18/D18-1</f>
        <v>-0.040000000000000036</v>
      </c>
      <c r="J24" s="2"/>
    </row>
    <row r="25">
      <c r="B25" s="2"/>
      <c r="C25" s="2"/>
      <c r="D25" s="1"/>
      <c r="E25" s="1"/>
      <c r="F25" s="1"/>
      <c r="G25" s="1"/>
      <c r="H25" s="1"/>
      <c r="I25" s="3"/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72</v>
      </c>
      <c r="C27" s="2"/>
      <c r="D27" s="10">
        <v>204</v>
      </c>
      <c r="E27" s="10">
        <v>184</v>
      </c>
      <c r="F27" s="10">
        <v>159</v>
      </c>
      <c r="G27" s="10">
        <v>172</v>
      </c>
      <c r="H27" s="1">
        <f>SUM(D27:G27)</f>
        <v>719</v>
      </c>
      <c r="I27" s="3">
        <f>D27*(1+I28)</f>
        <v>193.79999999999998</v>
      </c>
      <c r="J27" s="2"/>
    </row>
    <row r="28">
      <c r="B28" s="2" t="s">
        <v>51</v>
      </c>
      <c r="C28" s="2"/>
      <c r="D28" s="29"/>
      <c r="E28" s="29"/>
      <c r="F28" s="29"/>
      <c r="G28" s="29"/>
      <c r="H28" s="29"/>
      <c r="I28" s="30">
        <v>-0.05</v>
      </c>
      <c r="J28" s="2"/>
    </row>
    <row r="29">
      <c r="B29" s="2" t="s">
        <v>90</v>
      </c>
      <c r="C29" s="2"/>
      <c r="D29" s="1"/>
      <c r="E29" s="1">
        <f>E27-D27</f>
        <v>-20</v>
      </c>
      <c r="F29" s="1">
        <f>F27-E27</f>
        <v>-25</v>
      </c>
      <c r="G29" s="1">
        <f>G27-F27</f>
        <v>13</v>
      </c>
      <c r="H29" s="1"/>
      <c r="I29" s="3">
        <f>I27-G27</f>
        <v>21.799999999999983</v>
      </c>
      <c r="J29" s="2"/>
    </row>
    <row r="30">
      <c r="B30" s="2" t="s">
        <v>54</v>
      </c>
      <c r="C30" s="2"/>
      <c r="D30" s="29"/>
      <c r="E30" s="29"/>
      <c r="F30" s="29"/>
      <c r="G30" s="29"/>
      <c r="H30" s="29"/>
      <c r="I30" s="15">
        <f>(1+I33)/((1+I31)*(1+I32))-1</f>
        <v>-0.050000000000000044</v>
      </c>
      <c r="J30" s="2"/>
    </row>
    <row r="31">
      <c r="B31" s="2" t="s">
        <v>55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56</v>
      </c>
      <c r="C32" s="2"/>
      <c r="D32" s="29"/>
      <c r="E32" s="29"/>
      <c r="F32" s="29"/>
      <c r="G32" s="29"/>
      <c r="H32" s="29"/>
      <c r="I32" s="30">
        <v>0</v>
      </c>
      <c r="J32" s="2"/>
    </row>
    <row r="33">
      <c r="B33" s="2" t="s">
        <v>57</v>
      </c>
      <c r="C33" s="2"/>
      <c r="D33" s="29"/>
      <c r="E33" s="29"/>
      <c r="F33" s="29"/>
      <c r="G33" s="29"/>
      <c r="H33" s="29"/>
      <c r="I33" s="15">
        <f>I27/D27-1</f>
        <v>-0.050000000000000044</v>
      </c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/>
      <c r="C39" s="2"/>
      <c r="D39" s="1"/>
      <c r="E39" s="1"/>
      <c r="F39" s="1"/>
      <c r="G39" s="1"/>
      <c r="H39" s="1"/>
      <c r="I39" s="3"/>
      <c r="J39" s="2"/>
    </row>
    <row r="40">
      <c r="B40" s="2"/>
      <c r="C40" s="2"/>
      <c r="D40" s="1"/>
      <c r="E40" s="1"/>
      <c r="F40" s="1"/>
      <c r="G40" s="1"/>
      <c r="H40" s="1"/>
      <c r="I40" s="3"/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/>
      <c r="C42" s="2"/>
      <c r="D42" s="1"/>
      <c r="E42" s="1"/>
      <c r="F42" s="1"/>
      <c r="G42" s="1"/>
      <c r="H42" s="1"/>
      <c r="I42" s="3"/>
      <c r="J42" s="2"/>
    </row>
    <row r="43">
      <c r="B43" s="2"/>
      <c r="C43" s="2"/>
      <c r="D43" s="1"/>
      <c r="E43" s="1"/>
      <c r="F43" s="1"/>
      <c r="G43" s="1"/>
      <c r="H43" s="1"/>
      <c r="I43" s="3"/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14" t="s">
        <v>91</v>
      </c>
      <c r="C45" s="14"/>
      <c r="D45" s="18">
        <f>SUM(D9,D18,D27,D36)</f>
        <v>3331</v>
      </c>
      <c r="E45" s="18">
        <f>SUM(E9,E18,E27,E36)</f>
        <v>3392</v>
      </c>
      <c r="F45" s="18">
        <f>SUM(F9,F18,F27,F36)</f>
        <v>2874</v>
      </c>
      <c r="G45" s="18">
        <f>SUM(G9,G18,G27,G36)</f>
        <v>2975</v>
      </c>
      <c r="H45" s="18">
        <f>SUM(H9,H18,H27,H36)</f>
        <v>12572</v>
      </c>
      <c r="I45" s="31">
        <f>SUM(I9,I18,I27,I36)</f>
        <v>3135.09</v>
      </c>
      <c r="J45" s="2" t="s">
        <v>92</v>
      </c>
    </row>
    <row r="46">
      <c r="B46" s="2" t="s">
        <v>51</v>
      </c>
      <c r="C46" s="2"/>
      <c r="D46" s="29"/>
      <c r="E46" s="29"/>
      <c r="F46" s="29"/>
      <c r="G46" s="29"/>
      <c r="H46" s="29"/>
      <c r="I46" s="15">
        <f>I45/D45-1</f>
        <v>-0.05881416991894317</v>
      </c>
      <c r="J46" s="2"/>
    </row>
    <row r="47">
      <c r="B47" s="2" t="s">
        <v>90</v>
      </c>
      <c r="C47" s="2"/>
      <c r="D47" s="1"/>
      <c r="E47" s="1">
        <f>E45-D45</f>
        <v>61</v>
      </c>
      <c r="F47" s="1">
        <f>F45-E45</f>
        <v>-518</v>
      </c>
      <c r="G47" s="1">
        <f>G45-F45</f>
        <v>101</v>
      </c>
      <c r="H47" s="1"/>
      <c r="I47" s="3">
        <f>I45-G45</f>
        <v>160.09000000000015</v>
      </c>
      <c r="J47" s="2"/>
    </row>
    <row r="48">
      <c r="B48" s="2" t="s">
        <v>54</v>
      </c>
      <c r="C48" s="2"/>
      <c r="D48" s="29"/>
      <c r="E48" s="29"/>
      <c r="F48" s="29"/>
      <c r="G48" s="29"/>
      <c r="H48" s="29"/>
      <c r="I48" s="15">
        <f>(1+I51)/((1+I49)*(1+I50))-1</f>
        <v>-0.05881416991894317</v>
      </c>
      <c r="J48" s="2"/>
    </row>
    <row r="49">
      <c r="B49" s="2" t="s">
        <v>55</v>
      </c>
      <c r="C49" s="2"/>
      <c r="D49" s="29"/>
      <c r="E49" s="29"/>
      <c r="F49" s="29"/>
      <c r="G49" s="29"/>
      <c r="H49" s="29"/>
      <c r="I49" s="30">
        <v>0</v>
      </c>
      <c r="J49" s="2"/>
    </row>
    <row r="50">
      <c r="B50" s="2" t="s">
        <v>56</v>
      </c>
      <c r="C50" s="2"/>
      <c r="D50" s="29"/>
      <c r="E50" s="29"/>
      <c r="F50" s="29"/>
      <c r="G50" s="29"/>
      <c r="H50" s="29"/>
      <c r="I50" s="30">
        <v>0</v>
      </c>
      <c r="J50" s="2"/>
    </row>
    <row r="51">
      <c r="B51" s="2" t="s">
        <v>57</v>
      </c>
      <c r="C51" s="2"/>
      <c r="D51" s="29"/>
      <c r="E51" s="29"/>
      <c r="F51" s="29"/>
      <c r="G51" s="29"/>
      <c r="H51" s="29"/>
      <c r="I51" s="15">
        <f>I45/D45-1</f>
        <v>-0.05881416991894317</v>
      </c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86</v>
      </c>
      <c r="C53" s="14"/>
      <c r="D53" s="25">
        <v>2261</v>
      </c>
      <c r="E53" s="25">
        <v>2188</v>
      </c>
      <c r="F53" s="25">
        <v>1919</v>
      </c>
      <c r="G53" s="25">
        <v>2093</v>
      </c>
      <c r="H53" s="18">
        <f>SUM(D53:G53)</f>
        <v>8461</v>
      </c>
      <c r="I53" s="31">
        <f>D53*(1+I54)</f>
        <v>2147.95</v>
      </c>
      <c r="J53" s="2" t="s">
        <v>93</v>
      </c>
    </row>
    <row r="54">
      <c r="B54" s="2" t="s">
        <v>51</v>
      </c>
      <c r="C54" s="2"/>
      <c r="D54" s="29"/>
      <c r="E54" s="29"/>
      <c r="F54" s="29"/>
      <c r="G54" s="29"/>
      <c r="H54" s="29"/>
      <c r="I54" s="30">
        <v>-0.05</v>
      </c>
      <c r="J54" s="2"/>
    </row>
    <row r="55">
      <c r="B55" s="2" t="s">
        <v>90</v>
      </c>
      <c r="C55" s="2"/>
      <c r="D55" s="1"/>
      <c r="E55" s="1">
        <f>E53-D53</f>
        <v>-73</v>
      </c>
      <c r="F55" s="1">
        <f>F53-E53</f>
        <v>-269</v>
      </c>
      <c r="G55" s="1">
        <f>G53-F53</f>
        <v>174</v>
      </c>
      <c r="H55" s="1"/>
      <c r="I55" s="3">
        <f>I53-G53</f>
        <v>54.94999999999982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  <row r="57">
      <c r="B57" s="2"/>
      <c r="C57" s="2"/>
      <c r="D57" s="1"/>
      <c r="E57" s="1"/>
      <c r="F57" s="1"/>
      <c r="G57" s="1"/>
      <c r="H57" s="1"/>
      <c r="I57" s="3"/>
      <c r="J57" s="2"/>
    </row>
    <row r="58">
      <c r="B58" s="14" t="s">
        <v>87</v>
      </c>
      <c r="C58" s="14"/>
      <c r="D58" s="25">
        <v>1070</v>
      </c>
      <c r="E58" s="25">
        <v>1204</v>
      </c>
      <c r="F58" s="25">
        <v>955</v>
      </c>
      <c r="G58" s="25">
        <v>882</v>
      </c>
      <c r="H58" s="18">
        <f>SUM(D58:G58)</f>
        <v>4111</v>
      </c>
      <c r="I58" s="31">
        <f>D58*(1+I59)</f>
        <v>987.1400000000003</v>
      </c>
      <c r="J58" s="2"/>
    </row>
    <row r="59">
      <c r="B59" s="2" t="s">
        <v>51</v>
      </c>
      <c r="C59" s="2"/>
      <c r="D59" s="29"/>
      <c r="E59" s="29"/>
      <c r="F59" s="29"/>
      <c r="G59" s="29"/>
      <c r="H59" s="29"/>
      <c r="I59" s="15">
        <v>-0.07743925233644833</v>
      </c>
      <c r="J59" s="2" t="s">
        <v>94</v>
      </c>
    </row>
    <row r="60">
      <c r="B60" s="2" t="s">
        <v>90</v>
      </c>
      <c r="C60" s="2"/>
      <c r="D60" s="1"/>
      <c r="E60" s="1">
        <f>E58-D58</f>
        <v>134</v>
      </c>
      <c r="F60" s="1">
        <f>F58-E58</f>
        <v>-249</v>
      </c>
      <c r="G60" s="1">
        <f>G58-F58</f>
        <v>-73</v>
      </c>
      <c r="H60" s="1"/>
      <c r="I60" s="3">
        <f>I58-G58</f>
        <v>105.14000000000033</v>
      </c>
      <c r="J60" s="2"/>
    </row>
    <row r="61">
      <c r="B61" s="2"/>
      <c r="C61" s="2"/>
      <c r="D61" s="1"/>
      <c r="E61" s="1"/>
      <c r="F61" s="1"/>
      <c r="G61" s="1"/>
      <c r="H61" s="1"/>
      <c r="I61" s="3"/>
      <c r="J61" s="2"/>
    </row>
    <row r="62">
      <c r="B62" s="2"/>
      <c r="C62" s="2"/>
      <c r="D62" s="1"/>
      <c r="E62" s="1"/>
      <c r="F62" s="1"/>
      <c r="G62" s="1"/>
      <c r="H62" s="1"/>
      <c r="I62" s="3"/>
      <c r="J62" s="2"/>
    </row>
    <row r="63">
      <c r="B63" s="14" t="s">
        <v>95</v>
      </c>
      <c r="C63" s="14"/>
      <c r="D63" s="18"/>
      <c r="E63" s="18"/>
      <c r="F63" s="18"/>
      <c r="G63" s="18"/>
      <c r="H63" s="18">
        <f>SUM(D63:G63)</f>
        <v>0</v>
      </c>
      <c r="I63" s="31"/>
      <c r="J63" s="2"/>
    </row>
    <row r="64">
      <c r="B64" s="2"/>
      <c r="C64" s="2"/>
      <c r="D64" s="1"/>
      <c r="E64" s="1"/>
      <c r="F64" s="1"/>
      <c r="G64" s="1"/>
      <c r="H64" s="1"/>
      <c r="I64" s="3"/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79</v>
      </c>
      <c r="C66" s="14"/>
      <c r="D66" s="18">
        <f>D45-SUM(D53,D58,D63)</f>
        <v>0</v>
      </c>
      <c r="E66" s="18">
        <f>E45-SUM(E53,E58,E63)</f>
        <v>0</v>
      </c>
      <c r="F66" s="18">
        <f>F45-SUM(F53,F58,F63)</f>
        <v>0</v>
      </c>
      <c r="G66" s="18">
        <f>G45-SUM(G53,G58,G63)</f>
        <v>0</v>
      </c>
      <c r="H66" s="18"/>
      <c r="I66" s="31">
        <f>I45-SUM(I53,I58,I63)</f>
        <v>0</v>
      </c>
      <c r="J66" s="2"/>
    </row>
    <row r="67">
      <c r="B67" s="2"/>
      <c r="C67" s="2"/>
      <c r="D67" s="1"/>
      <c r="E67" s="1"/>
      <c r="F67" s="1"/>
      <c r="G67" s="1"/>
      <c r="H67" s="1"/>
      <c r="I67" s="3"/>
      <c r="J67" s="2"/>
    </row>
    <row r="68">
      <c r="B68" s="2"/>
      <c r="C68" s="2"/>
      <c r="D68" s="1"/>
      <c r="E68" s="1"/>
      <c r="F68" s="1"/>
      <c r="G68" s="1"/>
      <c r="H68" s="1"/>
      <c r="I68" s="3"/>
      <c r="J68" s="2"/>
    </row>
    <row r="69">
      <c r="B69" s="2"/>
      <c r="C69" s="2"/>
      <c r="D69" s="1"/>
      <c r="E69" s="1"/>
      <c r="F69" s="1"/>
      <c r="G69" s="1"/>
      <c r="H69" s="1"/>
      <c r="I69" s="3"/>
      <c r="J69" s="2"/>
    </row>
    <row r="70">
      <c r="B70" s="14" t="s">
        <v>96</v>
      </c>
      <c r="C70" s="14"/>
      <c r="D70" s="25">
        <v>735</v>
      </c>
      <c r="E70" s="25">
        <v>733</v>
      </c>
      <c r="F70" s="25">
        <v>515</v>
      </c>
      <c r="G70" s="25">
        <v>434</v>
      </c>
      <c r="H70" s="18">
        <f>SUM(D70:G70)</f>
        <v>2417</v>
      </c>
      <c r="I70" s="31">
        <f>I45*I71</f>
        <v>438.91260000000005</v>
      </c>
      <c r="J70" s="2" t="s">
        <v>97</v>
      </c>
    </row>
    <row r="71">
      <c r="B71" s="2" t="s">
        <v>98</v>
      </c>
      <c r="C71" s="2"/>
      <c r="D71" s="29">
        <f>D70/D45</f>
        <v>0.2206544581206845</v>
      </c>
      <c r="E71" s="29">
        <f>E70/E45</f>
        <v>0.21609669811320756</v>
      </c>
      <c r="F71" s="29">
        <f>F70/F45</f>
        <v>0.1791927627000696</v>
      </c>
      <c r="G71" s="29">
        <f>G70/G45</f>
        <v>0.14588235294117646</v>
      </c>
      <c r="H71" s="29">
        <f>H70/H45</f>
        <v>0.19225262488068723</v>
      </c>
      <c r="I71" s="30">
        <v>0.14</v>
      </c>
      <c r="J71" s="2"/>
    </row>
    <row r="72">
      <c r="B72" s="2" t="s">
        <v>99</v>
      </c>
      <c r="C72" s="2"/>
      <c r="D72" s="1"/>
      <c r="E72" s="1"/>
      <c r="F72" s="1"/>
      <c r="G72" s="1"/>
      <c r="H72" s="1"/>
      <c r="I72" s="3">
        <f>10000*(I71-D71)</f>
        <v>-806.5445812068448</v>
      </c>
      <c r="J72" s="2"/>
    </row>
    <row r="73">
      <c r="B73" s="2"/>
      <c r="C73" s="2"/>
      <c r="D73" s="1"/>
      <c r="E73" s="1"/>
      <c r="F73" s="1"/>
      <c r="G73" s="1"/>
      <c r="H73" s="1"/>
      <c r="I73" s="3"/>
      <c r="J73" s="2"/>
    </row>
    <row r="74">
      <c r="B74" s="2" t="s">
        <v>100</v>
      </c>
      <c r="C74" s="2"/>
      <c r="D74" s="1"/>
      <c r="E74" s="1"/>
      <c r="F74" s="1"/>
      <c r="G74" s="1"/>
      <c r="H74" s="1"/>
      <c r="I74" s="3"/>
      <c r="J74" s="2" t="s">
        <v>101</v>
      </c>
    </row>
    <row r="75">
      <c r="B75" s="2"/>
      <c r="C75" s="2"/>
      <c r="D75" s="1"/>
      <c r="E75" s="1"/>
      <c r="F75" s="1"/>
      <c r="G75" s="1"/>
      <c r="H75" s="1"/>
      <c r="I75" s="3"/>
      <c r="J75" s="2"/>
    </row>
    <row r="76">
      <c r="B76" s="41" t="s">
        <v>102</v>
      </c>
      <c r="C76" s="41"/>
      <c r="D76" s="41"/>
      <c r="E76" s="41"/>
      <c r="F76" s="41"/>
      <c r="G76" s="41"/>
      <c r="H76" s="41"/>
      <c r="I76" s="41"/>
      <c r="J76" s="2"/>
    </row>
    <row r="77">
      <c r="B77" s="14" t="s">
        <v>86</v>
      </c>
      <c r="C77" s="14"/>
      <c r="D77" s="18">
        <f>D53</f>
        <v>2261</v>
      </c>
      <c r="E77" s="18">
        <f>E53</f>
        <v>2188</v>
      </c>
      <c r="F77" s="18">
        <f>F53</f>
        <v>1919</v>
      </c>
      <c r="G77" s="18">
        <f>G53</f>
        <v>2093</v>
      </c>
      <c r="H77" s="18">
        <f>H53</f>
        <v>8461</v>
      </c>
      <c r="I77" s="31">
        <f>I53</f>
        <v>2147.95</v>
      </c>
      <c r="J77" s="2" t="s">
        <v>103</v>
      </c>
    </row>
    <row r="78">
      <c r="B78" s="2" t="s">
        <v>82</v>
      </c>
      <c r="C78" s="2"/>
      <c r="D78" s="29"/>
      <c r="E78" s="29"/>
      <c r="F78" s="29"/>
      <c r="G78" s="29"/>
      <c r="H78" s="29"/>
      <c r="I78" s="15">
        <f>I77/D77-1</f>
        <v>-0.050000000000000044</v>
      </c>
      <c r="J78" s="2"/>
    </row>
    <row r="79">
      <c r="B79" s="2" t="s">
        <v>83</v>
      </c>
      <c r="C79" s="2"/>
      <c r="D79" s="1"/>
      <c r="E79" s="1">
        <f>E77-D77</f>
        <v>-73</v>
      </c>
      <c r="F79" s="1">
        <f>F77-E77</f>
        <v>-269</v>
      </c>
      <c r="G79" s="1">
        <f>G77-F77</f>
        <v>174</v>
      </c>
      <c r="H79" s="1"/>
      <c r="I79" s="3">
        <f>I77-G77</f>
        <v>54.94999999999982</v>
      </c>
      <c r="J79" s="2"/>
    </row>
    <row r="80">
      <c r="B80" s="2" t="s">
        <v>54</v>
      </c>
      <c r="C80" s="2"/>
      <c r="D80" s="29"/>
      <c r="E80" s="29"/>
      <c r="F80" s="29"/>
      <c r="G80" s="29"/>
      <c r="H80" s="29"/>
      <c r="I80" s="15">
        <f>(1+I83)/((1+I81)*(1+I82))-1</f>
        <v>-0.050000000000000044</v>
      </c>
      <c r="J80" s="2"/>
    </row>
    <row r="81">
      <c r="B81" s="2" t="s">
        <v>55</v>
      </c>
      <c r="C81" s="2"/>
      <c r="D81" s="29"/>
      <c r="E81" s="29"/>
      <c r="F81" s="29"/>
      <c r="G81" s="29"/>
      <c r="H81" s="29"/>
      <c r="I81" s="15">
        <f>I49</f>
        <v>0</v>
      </c>
      <c r="J81" s="2"/>
    </row>
    <row r="82">
      <c r="B82" s="2" t="s">
        <v>56</v>
      </c>
      <c r="C82" s="2"/>
      <c r="D82" s="29"/>
      <c r="E82" s="29"/>
      <c r="F82" s="29"/>
      <c r="G82" s="29"/>
      <c r="H82" s="29"/>
      <c r="I82" s="15">
        <f>I50</f>
        <v>0</v>
      </c>
      <c r="J82" s="2"/>
    </row>
    <row r="83">
      <c r="B83" s="2" t="s">
        <v>57</v>
      </c>
      <c r="C83" s="2"/>
      <c r="D83" s="29"/>
      <c r="E83" s="29"/>
      <c r="F83" s="29"/>
      <c r="G83" s="29"/>
      <c r="H83" s="29"/>
      <c r="I83" s="15">
        <f>I78</f>
        <v>-0.050000000000000044</v>
      </c>
      <c r="J83" s="2"/>
    </row>
    <row r="84">
      <c r="B84" s="2" t="s">
        <v>104</v>
      </c>
      <c r="C84" s="2"/>
      <c r="D84" s="29">
        <f>D77/D45</f>
        <v>0.6787751425998199</v>
      </c>
      <c r="E84" s="29">
        <f>E77/E45</f>
        <v>0.6450471698113207</v>
      </c>
      <c r="F84" s="29">
        <f>F77/F45</f>
        <v>0.6677105080027835</v>
      </c>
      <c r="G84" s="29">
        <f>G77/G45</f>
        <v>0.7035294117647058</v>
      </c>
      <c r="H84" s="29">
        <f>H77/H45</f>
        <v>0.6730034998409163</v>
      </c>
      <c r="I84" s="15">
        <f>I77/I45</f>
        <v>0.6851318462946836</v>
      </c>
      <c r="J84" s="2"/>
    </row>
    <row r="85">
      <c r="B85" s="14" t="s">
        <v>87</v>
      </c>
      <c r="C85" s="14"/>
      <c r="D85" s="18">
        <f>D58</f>
        <v>1070</v>
      </c>
      <c r="E85" s="18">
        <f>E58</f>
        <v>1204</v>
      </c>
      <c r="F85" s="18">
        <f>F58</f>
        <v>955</v>
      </c>
      <c r="G85" s="18">
        <f>G58</f>
        <v>882</v>
      </c>
      <c r="H85" s="18">
        <f>H58</f>
        <v>4111</v>
      </c>
      <c r="I85" s="31">
        <f>I58</f>
        <v>987.1400000000003</v>
      </c>
      <c r="J85" s="2" t="s">
        <v>103</v>
      </c>
    </row>
    <row r="86">
      <c r="B86" s="2" t="s">
        <v>82</v>
      </c>
      <c r="C86" s="2"/>
      <c r="D86" s="29"/>
      <c r="E86" s="29"/>
      <c r="F86" s="29"/>
      <c r="G86" s="29"/>
      <c r="H86" s="29"/>
      <c r="I86" s="15">
        <f>I85/D85-1</f>
        <v>-0.07743925233644833</v>
      </c>
      <c r="J86" s="2"/>
    </row>
    <row r="87">
      <c r="B87" s="2" t="s">
        <v>83</v>
      </c>
      <c r="C87" s="2"/>
      <c r="D87" s="1"/>
      <c r="E87" s="1">
        <f>E85-D85</f>
        <v>134</v>
      </c>
      <c r="F87" s="1">
        <f>F85-E85</f>
        <v>-249</v>
      </c>
      <c r="G87" s="1">
        <f>G85-F85</f>
        <v>-73</v>
      </c>
      <c r="H87" s="1"/>
      <c r="I87" s="3">
        <f>I85-G85</f>
        <v>105.14000000000033</v>
      </c>
      <c r="J87" s="2"/>
    </row>
    <row r="88">
      <c r="B88" s="2" t="s">
        <v>54</v>
      </c>
      <c r="C88" s="2"/>
      <c r="D88" s="29"/>
      <c r="E88" s="29"/>
      <c r="F88" s="29"/>
      <c r="G88" s="29"/>
      <c r="H88" s="29"/>
      <c r="I88" s="15">
        <f>(1+I91)/((1+I89)*(1+I90))-1</f>
        <v>-0.07743925233644833</v>
      </c>
      <c r="J88" s="2"/>
    </row>
    <row r="89">
      <c r="B89" s="2" t="s">
        <v>55</v>
      </c>
      <c r="C89" s="2"/>
      <c r="D89" s="29"/>
      <c r="E89" s="29"/>
      <c r="F89" s="29"/>
      <c r="G89" s="29"/>
      <c r="H89" s="29"/>
      <c r="I89" s="15">
        <f>I49</f>
        <v>0</v>
      </c>
      <c r="J89" s="2"/>
    </row>
    <row r="90">
      <c r="B90" s="2" t="s">
        <v>56</v>
      </c>
      <c r="C90" s="2"/>
      <c r="D90" s="29"/>
      <c r="E90" s="29"/>
      <c r="F90" s="29"/>
      <c r="G90" s="29"/>
      <c r="H90" s="29"/>
      <c r="I90" s="15">
        <f>I50</f>
        <v>0</v>
      </c>
      <c r="J90" s="2"/>
    </row>
    <row r="91">
      <c r="B91" s="2" t="s">
        <v>57</v>
      </c>
      <c r="C91" s="2"/>
      <c r="D91" s="29"/>
      <c r="E91" s="29"/>
      <c r="F91" s="29"/>
      <c r="G91" s="29"/>
      <c r="H91" s="29"/>
      <c r="I91" s="15">
        <f>I86</f>
        <v>-0.07743925233644833</v>
      </c>
      <c r="J91" s="2"/>
    </row>
    <row r="92">
      <c r="B92" s="2" t="s">
        <v>104</v>
      </c>
      <c r="C92" s="2"/>
      <c r="D92" s="29">
        <f>D85/D45</f>
        <v>0.32122485740018014</v>
      </c>
      <c r="E92" s="29">
        <f>E85/E45</f>
        <v>0.35495283018867924</v>
      </c>
      <c r="F92" s="29">
        <f>F85/F45</f>
        <v>0.3322894919972164</v>
      </c>
      <c r="G92" s="29">
        <f>G85/G45</f>
        <v>0.2964705882352941</v>
      </c>
      <c r="H92" s="29">
        <f>H85/H45</f>
        <v>0.32699650015908366</v>
      </c>
      <c r="I92" s="15">
        <f>I85/I45</f>
        <v>0.31486815370531634</v>
      </c>
      <c r="J92" s="2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9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106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70</v>
      </c>
      <c r="C9" s="2"/>
      <c r="D9" s="10">
        <v>1109</v>
      </c>
      <c r="E9" s="10">
        <v>954</v>
      </c>
      <c r="F9" s="10">
        <v>1187</v>
      </c>
      <c r="G9" s="10">
        <v>938</v>
      </c>
      <c r="H9" s="1">
        <f>SUM(D9:G9)</f>
        <v>4188</v>
      </c>
      <c r="I9" s="3">
        <f>D9*(1+I10)</f>
        <v>909.3800000000001</v>
      </c>
      <c r="J9" s="2" t="s">
        <v>89</v>
      </c>
    </row>
    <row r="10">
      <c r="B10" s="2" t="s">
        <v>51</v>
      </c>
      <c r="C10" s="2"/>
      <c r="D10" s="29"/>
      <c r="E10" s="29"/>
      <c r="F10" s="29"/>
      <c r="G10" s="29"/>
      <c r="H10" s="29"/>
      <c r="I10" s="30">
        <v>-0.18</v>
      </c>
      <c r="J10" s="2"/>
    </row>
    <row r="11">
      <c r="B11" s="2" t="s">
        <v>90</v>
      </c>
      <c r="C11" s="2"/>
      <c r="D11" s="1"/>
      <c r="E11" s="1">
        <f>E9-D9</f>
        <v>-155</v>
      </c>
      <c r="F11" s="1">
        <f>F9-E9</f>
        <v>233</v>
      </c>
      <c r="G11" s="1">
        <f>G9-F9</f>
        <v>-249</v>
      </c>
      <c r="H11" s="1"/>
      <c r="I11" s="3">
        <f>I9-G9</f>
        <v>-28.61999999999989</v>
      </c>
      <c r="J11" s="2"/>
    </row>
    <row r="12">
      <c r="B12" s="2" t="s">
        <v>54</v>
      </c>
      <c r="C12" s="2"/>
      <c r="D12" s="29"/>
      <c r="E12" s="29"/>
      <c r="F12" s="29"/>
      <c r="G12" s="29"/>
      <c r="H12" s="29"/>
      <c r="I12" s="15">
        <f>(1+I15)/((1+I13)*(1+I14))-1</f>
        <v>-0.17999999999999994</v>
      </c>
      <c r="J12" s="2"/>
    </row>
    <row r="13">
      <c r="B13" s="2" t="s">
        <v>55</v>
      </c>
      <c r="C13" s="2"/>
      <c r="D13" s="29"/>
      <c r="E13" s="29"/>
      <c r="F13" s="29"/>
      <c r="G13" s="29"/>
      <c r="H13" s="29"/>
      <c r="I13" s="30">
        <v>0</v>
      </c>
      <c r="J13" s="2"/>
    </row>
    <row r="14">
      <c r="B14" s="2" t="s">
        <v>56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57</v>
      </c>
      <c r="C15" s="2"/>
      <c r="D15" s="29"/>
      <c r="E15" s="29"/>
      <c r="F15" s="29"/>
      <c r="G15" s="29"/>
      <c r="H15" s="29"/>
      <c r="I15" s="15">
        <f>I9/D9-1</f>
        <v>-0.17999999999999994</v>
      </c>
      <c r="J15" s="2"/>
    </row>
    <row r="16">
      <c r="B16" s="2"/>
      <c r="C16" s="2"/>
      <c r="D16" s="1"/>
      <c r="E16" s="1"/>
      <c r="F16" s="1"/>
      <c r="G16" s="1"/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71</v>
      </c>
      <c r="C18" s="2"/>
      <c r="D18" s="10">
        <v>362</v>
      </c>
      <c r="E18" s="10">
        <v>442</v>
      </c>
      <c r="F18" s="10">
        <v>397</v>
      </c>
      <c r="G18" s="10">
        <v>334</v>
      </c>
      <c r="H18" s="1">
        <f>SUM(D18:G18)</f>
        <v>1535</v>
      </c>
      <c r="I18" s="3">
        <f>D18*(1+I19)</f>
        <v>325.8</v>
      </c>
      <c r="J18" s="2"/>
    </row>
    <row r="19">
      <c r="B19" s="2" t="s">
        <v>51</v>
      </c>
      <c r="C19" s="2"/>
      <c r="D19" s="29"/>
      <c r="E19" s="29"/>
      <c r="F19" s="29"/>
      <c r="G19" s="29"/>
      <c r="H19" s="29"/>
      <c r="I19" s="30">
        <v>-0.1</v>
      </c>
      <c r="J19" s="2"/>
    </row>
    <row r="20">
      <c r="B20" s="2" t="s">
        <v>90</v>
      </c>
      <c r="C20" s="2"/>
      <c r="D20" s="1"/>
      <c r="E20" s="1">
        <f>E18-D18</f>
        <v>80</v>
      </c>
      <c r="F20" s="1">
        <f>F18-E18</f>
        <v>-45</v>
      </c>
      <c r="G20" s="1">
        <f>G18-F18</f>
        <v>-63</v>
      </c>
      <c r="H20" s="1"/>
      <c r="I20" s="3">
        <f>I18-G18</f>
        <v>-8.199999999999989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-0.09999999999999998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I18/D18-1</f>
        <v>-0.09999999999999998</v>
      </c>
      <c r="J24" s="2"/>
    </row>
    <row r="25">
      <c r="B25" s="2"/>
      <c r="C25" s="2"/>
      <c r="D25" s="1"/>
      <c r="E25" s="1"/>
      <c r="F25" s="1"/>
      <c r="G25" s="1"/>
      <c r="H25" s="1"/>
      <c r="I25" s="3"/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72</v>
      </c>
      <c r="C27" s="2"/>
      <c r="D27" s="10">
        <v>41</v>
      </c>
      <c r="E27" s="10">
        <v>27</v>
      </c>
      <c r="F27" s="10">
        <v>31</v>
      </c>
      <c r="G27" s="10">
        <v>25</v>
      </c>
      <c r="H27" s="1">
        <f>SUM(D27:G27)</f>
        <v>124</v>
      </c>
      <c r="I27" s="3">
        <f>D27*(1+I28)</f>
        <v>34.85</v>
      </c>
      <c r="J27" s="2"/>
    </row>
    <row r="28">
      <c r="B28" s="2" t="s">
        <v>51</v>
      </c>
      <c r="C28" s="2"/>
      <c r="D28" s="29"/>
      <c r="E28" s="29"/>
      <c r="F28" s="29"/>
      <c r="G28" s="29"/>
      <c r="H28" s="29"/>
      <c r="I28" s="30">
        <v>-0.15</v>
      </c>
      <c r="J28" s="2"/>
    </row>
    <row r="29">
      <c r="B29" s="2" t="s">
        <v>90</v>
      </c>
      <c r="C29" s="2"/>
      <c r="D29" s="1"/>
      <c r="E29" s="1">
        <f>E27-D27</f>
        <v>-14</v>
      </c>
      <c r="F29" s="1">
        <f>F27-E27</f>
        <v>4</v>
      </c>
      <c r="G29" s="1">
        <f>G27-F27</f>
        <v>-6</v>
      </c>
      <c r="H29" s="1"/>
      <c r="I29" s="3">
        <f>I27-G27</f>
        <v>9.850000000000001</v>
      </c>
      <c r="J29" s="2"/>
    </row>
    <row r="30">
      <c r="B30" s="2" t="s">
        <v>54</v>
      </c>
      <c r="C30" s="2"/>
      <c r="D30" s="29"/>
      <c r="E30" s="29"/>
      <c r="F30" s="29"/>
      <c r="G30" s="29"/>
      <c r="H30" s="29"/>
      <c r="I30" s="15">
        <f>(1+I33)/((1+I31)*(1+I32))-1</f>
        <v>-0.1499999999999999</v>
      </c>
      <c r="J30" s="2"/>
    </row>
    <row r="31">
      <c r="B31" s="2" t="s">
        <v>55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56</v>
      </c>
      <c r="C32" s="2"/>
      <c r="D32" s="29"/>
      <c r="E32" s="29"/>
      <c r="F32" s="29"/>
      <c r="G32" s="29"/>
      <c r="H32" s="29"/>
      <c r="I32" s="30">
        <v>0</v>
      </c>
      <c r="J32" s="2"/>
    </row>
    <row r="33">
      <c r="B33" s="2" t="s">
        <v>57</v>
      </c>
      <c r="C33" s="2"/>
      <c r="D33" s="29"/>
      <c r="E33" s="29"/>
      <c r="F33" s="29"/>
      <c r="G33" s="29"/>
      <c r="H33" s="29"/>
      <c r="I33" s="15">
        <f>I27/D27-1</f>
        <v>-0.1499999999999999</v>
      </c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/>
      <c r="C39" s="2"/>
      <c r="D39" s="1"/>
      <c r="E39" s="1"/>
      <c r="F39" s="1"/>
      <c r="G39" s="1"/>
      <c r="H39" s="1"/>
      <c r="I39" s="3"/>
      <c r="J39" s="2"/>
    </row>
    <row r="40">
      <c r="B40" s="2"/>
      <c r="C40" s="2"/>
      <c r="D40" s="1"/>
      <c r="E40" s="1"/>
      <c r="F40" s="1"/>
      <c r="G40" s="1"/>
      <c r="H40" s="1"/>
      <c r="I40" s="3"/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/>
      <c r="C42" s="2"/>
      <c r="D42" s="1"/>
      <c r="E42" s="1"/>
      <c r="F42" s="1"/>
      <c r="G42" s="1"/>
      <c r="H42" s="1"/>
      <c r="I42" s="3"/>
      <c r="J42" s="2"/>
    </row>
    <row r="43">
      <c r="B43" s="2"/>
      <c r="C43" s="2"/>
      <c r="D43" s="1"/>
      <c r="E43" s="1"/>
      <c r="F43" s="1"/>
      <c r="G43" s="1"/>
      <c r="H43" s="1"/>
      <c r="I43" s="3"/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14" t="s">
        <v>91</v>
      </c>
      <c r="C45" s="14"/>
      <c r="D45" s="18">
        <f>SUM(D9,D18,D27,D36)</f>
        <v>1512</v>
      </c>
      <c r="E45" s="18">
        <f>SUM(E9,E18,E27,E36)</f>
        <v>1423</v>
      </c>
      <c r="F45" s="18">
        <f>SUM(F9,F18,F27,F36)</f>
        <v>1615</v>
      </c>
      <c r="G45" s="18">
        <f>SUM(G9,G18,G27,G36)</f>
        <v>1297</v>
      </c>
      <c r="H45" s="18">
        <f>SUM(H9,H18,H27,H36)</f>
        <v>5847</v>
      </c>
      <c r="I45" s="31">
        <f>SUM(I9,I18,I27,I36)</f>
        <v>1270.0300000000002</v>
      </c>
      <c r="J45" s="2" t="s">
        <v>92</v>
      </c>
    </row>
    <row r="46">
      <c r="B46" s="2" t="s">
        <v>51</v>
      </c>
      <c r="C46" s="2"/>
      <c r="D46" s="29"/>
      <c r="E46" s="29"/>
      <c r="F46" s="29"/>
      <c r="G46" s="29"/>
      <c r="H46" s="29"/>
      <c r="I46" s="15">
        <f>I45/D45-1</f>
        <v>-0.16003306878306867</v>
      </c>
      <c r="J46" s="2"/>
    </row>
    <row r="47">
      <c r="B47" s="2" t="s">
        <v>90</v>
      </c>
      <c r="C47" s="2"/>
      <c r="D47" s="1"/>
      <c r="E47" s="1">
        <f>E45-D45</f>
        <v>-89</v>
      </c>
      <c r="F47" s="1">
        <f>F45-E45</f>
        <v>192</v>
      </c>
      <c r="G47" s="1">
        <f>G45-F45</f>
        <v>-318</v>
      </c>
      <c r="H47" s="1"/>
      <c r="I47" s="3">
        <f>I45-G45</f>
        <v>-26.9699999999998</v>
      </c>
      <c r="J47" s="2"/>
    </row>
    <row r="48">
      <c r="B48" s="2" t="s">
        <v>54</v>
      </c>
      <c r="C48" s="2"/>
      <c r="D48" s="29"/>
      <c r="E48" s="29"/>
      <c r="F48" s="29"/>
      <c r="G48" s="29"/>
      <c r="H48" s="29"/>
      <c r="I48" s="15">
        <f>(1+I51)/((1+I49)*(1+I50))-1</f>
        <v>-0.16003306878306867</v>
      </c>
      <c r="J48" s="2"/>
    </row>
    <row r="49">
      <c r="B49" s="2" t="s">
        <v>55</v>
      </c>
      <c r="C49" s="2"/>
      <c r="D49" s="29"/>
      <c r="E49" s="29"/>
      <c r="F49" s="29"/>
      <c r="G49" s="29"/>
      <c r="H49" s="29"/>
      <c r="I49" s="30">
        <v>0</v>
      </c>
      <c r="J49" s="2"/>
    </row>
    <row r="50">
      <c r="B50" s="2" t="s">
        <v>56</v>
      </c>
      <c r="C50" s="2"/>
      <c r="D50" s="29"/>
      <c r="E50" s="29"/>
      <c r="F50" s="29"/>
      <c r="G50" s="29"/>
      <c r="H50" s="29"/>
      <c r="I50" s="30">
        <v>0</v>
      </c>
      <c r="J50" s="2"/>
    </row>
    <row r="51">
      <c r="B51" s="2" t="s">
        <v>57</v>
      </c>
      <c r="C51" s="2"/>
      <c r="D51" s="29"/>
      <c r="E51" s="29"/>
      <c r="F51" s="29"/>
      <c r="G51" s="29"/>
      <c r="H51" s="29"/>
      <c r="I51" s="15">
        <f>I45/D45-1</f>
        <v>-0.16003306878306867</v>
      </c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86</v>
      </c>
      <c r="C53" s="14"/>
      <c r="D53" s="25">
        <v>893</v>
      </c>
      <c r="E53" s="25">
        <v>767</v>
      </c>
      <c r="F53" s="25">
        <v>888</v>
      </c>
      <c r="G53" s="25">
        <v>707</v>
      </c>
      <c r="H53" s="18">
        <f>SUM(D53:G53)</f>
        <v>3255</v>
      </c>
      <c r="I53" s="31">
        <f>D53*(1+I54)</f>
        <v>750.12</v>
      </c>
      <c r="J53" s="2" t="s">
        <v>93</v>
      </c>
    </row>
    <row r="54">
      <c r="B54" s="2" t="s">
        <v>51</v>
      </c>
      <c r="C54" s="2"/>
      <c r="D54" s="29"/>
      <c r="E54" s="29"/>
      <c r="F54" s="29"/>
      <c r="G54" s="29"/>
      <c r="H54" s="29"/>
      <c r="I54" s="30">
        <v>-0.16</v>
      </c>
      <c r="J54" s="2"/>
    </row>
    <row r="55">
      <c r="B55" s="2" t="s">
        <v>90</v>
      </c>
      <c r="C55" s="2"/>
      <c r="D55" s="1"/>
      <c r="E55" s="1">
        <f>E53-D53</f>
        <v>-126</v>
      </c>
      <c r="F55" s="1">
        <f>F53-E53</f>
        <v>121</v>
      </c>
      <c r="G55" s="1">
        <f>G53-F53</f>
        <v>-181</v>
      </c>
      <c r="H55" s="1"/>
      <c r="I55" s="3">
        <f>I53-G53</f>
        <v>43.120000000000005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  <row r="57">
      <c r="B57" s="2"/>
      <c r="C57" s="2"/>
      <c r="D57" s="1"/>
      <c r="E57" s="1"/>
      <c r="F57" s="1"/>
      <c r="G57" s="1"/>
      <c r="H57" s="1"/>
      <c r="I57" s="3"/>
      <c r="J57" s="2"/>
    </row>
    <row r="58">
      <c r="B58" s="14" t="s">
        <v>87</v>
      </c>
      <c r="C58" s="14"/>
      <c r="D58" s="25">
        <v>619</v>
      </c>
      <c r="E58" s="25">
        <v>656</v>
      </c>
      <c r="F58" s="25">
        <v>727</v>
      </c>
      <c r="G58" s="25">
        <v>590</v>
      </c>
      <c r="H58" s="18">
        <f>SUM(D58:G58)</f>
        <v>2592</v>
      </c>
      <c r="I58" s="31">
        <f>D58*(1+I59)</f>
        <v>519.9100000000002</v>
      </c>
      <c r="J58" s="2"/>
    </row>
    <row r="59">
      <c r="B59" s="2" t="s">
        <v>51</v>
      </c>
      <c r="C59" s="2"/>
      <c r="D59" s="29"/>
      <c r="E59" s="29"/>
      <c r="F59" s="29"/>
      <c r="G59" s="29"/>
      <c r="H59" s="29"/>
      <c r="I59" s="15">
        <v>-0.16008077544426458</v>
      </c>
      <c r="J59" s="2" t="s">
        <v>94</v>
      </c>
    </row>
    <row r="60">
      <c r="B60" s="2" t="s">
        <v>90</v>
      </c>
      <c r="C60" s="2"/>
      <c r="D60" s="1"/>
      <c r="E60" s="1">
        <f>E58-D58</f>
        <v>37</v>
      </c>
      <c r="F60" s="1">
        <f>F58-E58</f>
        <v>71</v>
      </c>
      <c r="G60" s="1">
        <f>G58-F58</f>
        <v>-137</v>
      </c>
      <c r="H60" s="1"/>
      <c r="I60" s="3">
        <f>I58-G58</f>
        <v>-70.0899999999998</v>
      </c>
      <c r="J60" s="2"/>
    </row>
    <row r="61">
      <c r="B61" s="2"/>
      <c r="C61" s="2"/>
      <c r="D61" s="1"/>
      <c r="E61" s="1"/>
      <c r="F61" s="1"/>
      <c r="G61" s="1"/>
      <c r="H61" s="1"/>
      <c r="I61" s="3"/>
      <c r="J61" s="2"/>
    </row>
    <row r="62">
      <c r="B62" s="2"/>
      <c r="C62" s="2"/>
      <c r="D62" s="1"/>
      <c r="E62" s="1"/>
      <c r="F62" s="1"/>
      <c r="G62" s="1"/>
      <c r="H62" s="1"/>
      <c r="I62" s="3"/>
      <c r="J62" s="2"/>
    </row>
    <row r="63">
      <c r="B63" s="14" t="s">
        <v>95</v>
      </c>
      <c r="C63" s="14"/>
      <c r="D63" s="18"/>
      <c r="E63" s="18"/>
      <c r="F63" s="18"/>
      <c r="G63" s="18"/>
      <c r="H63" s="18">
        <f>SUM(D63:G63)</f>
        <v>0</v>
      </c>
      <c r="I63" s="31"/>
      <c r="J63" s="2"/>
    </row>
    <row r="64">
      <c r="B64" s="2"/>
      <c r="C64" s="2"/>
      <c r="D64" s="1"/>
      <c r="E64" s="1"/>
      <c r="F64" s="1"/>
      <c r="G64" s="1"/>
      <c r="H64" s="1"/>
      <c r="I64" s="3"/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79</v>
      </c>
      <c r="C66" s="14"/>
      <c r="D66" s="18">
        <f>D45-SUM(D53,D58,D63)</f>
        <v>0</v>
      </c>
      <c r="E66" s="18">
        <f>E45-SUM(E53,E58,E63)</f>
        <v>0</v>
      </c>
      <c r="F66" s="18">
        <f>F45-SUM(F53,F58,F63)</f>
        <v>0</v>
      </c>
      <c r="G66" s="18">
        <f>G45-SUM(G53,G58,G63)</f>
        <v>0</v>
      </c>
      <c r="H66" s="18"/>
      <c r="I66" s="31">
        <f>I45-SUM(I53,I58,I63)</f>
        <v>0</v>
      </c>
      <c r="J66" s="2"/>
    </row>
    <row r="67">
      <c r="B67" s="2"/>
      <c r="C67" s="2"/>
      <c r="D67" s="1"/>
      <c r="E67" s="1"/>
      <c r="F67" s="1"/>
      <c r="G67" s="1"/>
      <c r="H67" s="1"/>
      <c r="I67" s="3"/>
      <c r="J67" s="2"/>
    </row>
    <row r="68">
      <c r="B68" s="2"/>
      <c r="C68" s="2"/>
      <c r="D68" s="1"/>
      <c r="E68" s="1"/>
      <c r="F68" s="1"/>
      <c r="G68" s="1"/>
      <c r="H68" s="1"/>
      <c r="I68" s="3"/>
      <c r="J68" s="2"/>
    </row>
    <row r="69">
      <c r="B69" s="2"/>
      <c r="C69" s="2"/>
      <c r="D69" s="1"/>
      <c r="E69" s="1"/>
      <c r="F69" s="1"/>
      <c r="G69" s="1"/>
      <c r="H69" s="1"/>
      <c r="I69" s="3"/>
      <c r="J69" s="2"/>
    </row>
    <row r="70">
      <c r="B70" s="14" t="s">
        <v>96</v>
      </c>
      <c r="C70" s="14"/>
      <c r="D70" s="25">
        <v>377</v>
      </c>
      <c r="E70" s="25">
        <v>191</v>
      </c>
      <c r="F70" s="25">
        <v>467</v>
      </c>
      <c r="G70" s="25">
        <v>243</v>
      </c>
      <c r="H70" s="18">
        <f>SUM(D70:G70)</f>
        <v>1278</v>
      </c>
      <c r="I70" s="31">
        <f>I45*I71</f>
        <v>292.10690000000005</v>
      </c>
      <c r="J70" s="2" t="s">
        <v>97</v>
      </c>
    </row>
    <row r="71">
      <c r="B71" s="2" t="s">
        <v>98</v>
      </c>
      <c r="C71" s="2"/>
      <c r="D71" s="29">
        <f>D70/D45</f>
        <v>0.24933862433862433</v>
      </c>
      <c r="E71" s="29">
        <f>E70/E45</f>
        <v>0.1342234715390021</v>
      </c>
      <c r="F71" s="29">
        <f>F70/F45</f>
        <v>0.2891640866873065</v>
      </c>
      <c r="G71" s="29">
        <f>G70/G45</f>
        <v>0.18735543562066306</v>
      </c>
      <c r="H71" s="29">
        <f>H70/H45</f>
        <v>0.2185736275012827</v>
      </c>
      <c r="I71" s="30">
        <v>0.23</v>
      </c>
      <c r="J71" s="2"/>
    </row>
    <row r="72">
      <c r="B72" s="2" t="s">
        <v>99</v>
      </c>
      <c r="C72" s="2"/>
      <c r="D72" s="1"/>
      <c r="E72" s="1"/>
      <c r="F72" s="1"/>
      <c r="G72" s="1"/>
      <c r="H72" s="1"/>
      <c r="I72" s="3">
        <f>10000*(I71-D71)</f>
        <v>-193.38624338624322</v>
      </c>
      <c r="J72" s="2"/>
    </row>
    <row r="73">
      <c r="B73" s="2"/>
      <c r="C73" s="2"/>
      <c r="D73" s="1"/>
      <c r="E73" s="1"/>
      <c r="F73" s="1"/>
      <c r="G73" s="1"/>
      <c r="H73" s="1"/>
      <c r="I73" s="3"/>
      <c r="J73" s="2"/>
    </row>
    <row r="74">
      <c r="B74" s="2" t="s">
        <v>100</v>
      </c>
      <c r="C74" s="2"/>
      <c r="D74" s="1"/>
      <c r="E74" s="1"/>
      <c r="F74" s="1"/>
      <c r="G74" s="1"/>
      <c r="H74" s="1"/>
      <c r="I74" s="3"/>
      <c r="J74" s="2" t="s">
        <v>101</v>
      </c>
    </row>
    <row r="75">
      <c r="B75" s="2"/>
      <c r="C75" s="2"/>
      <c r="D75" s="1"/>
      <c r="E75" s="1"/>
      <c r="F75" s="1"/>
      <c r="G75" s="1"/>
      <c r="H75" s="1"/>
      <c r="I75" s="3"/>
      <c r="J75" s="2"/>
    </row>
    <row r="76">
      <c r="B76" s="41" t="s">
        <v>102</v>
      </c>
      <c r="C76" s="41"/>
      <c r="D76" s="41"/>
      <c r="E76" s="41"/>
      <c r="F76" s="41"/>
      <c r="G76" s="41"/>
      <c r="H76" s="41"/>
      <c r="I76" s="41"/>
      <c r="J76" s="2"/>
    </row>
    <row r="77">
      <c r="B77" s="14" t="s">
        <v>86</v>
      </c>
      <c r="C77" s="14"/>
      <c r="D77" s="18">
        <f>D53</f>
        <v>893</v>
      </c>
      <c r="E77" s="18">
        <f>E53</f>
        <v>767</v>
      </c>
      <c r="F77" s="18">
        <f>F53</f>
        <v>888</v>
      </c>
      <c r="G77" s="18">
        <f>G53</f>
        <v>707</v>
      </c>
      <c r="H77" s="18">
        <f>H53</f>
        <v>3255</v>
      </c>
      <c r="I77" s="31">
        <f>I53</f>
        <v>750.12</v>
      </c>
      <c r="J77" s="2" t="s">
        <v>103</v>
      </c>
    </row>
    <row r="78">
      <c r="B78" s="2" t="s">
        <v>82</v>
      </c>
      <c r="C78" s="2"/>
      <c r="D78" s="29"/>
      <c r="E78" s="29"/>
      <c r="F78" s="29"/>
      <c r="G78" s="29"/>
      <c r="H78" s="29"/>
      <c r="I78" s="15">
        <f>I77/D77-1</f>
        <v>-0.16000000000000003</v>
      </c>
      <c r="J78" s="2"/>
    </row>
    <row r="79">
      <c r="B79" s="2" t="s">
        <v>83</v>
      </c>
      <c r="C79" s="2"/>
      <c r="D79" s="1"/>
      <c r="E79" s="1">
        <f>E77-D77</f>
        <v>-126</v>
      </c>
      <c r="F79" s="1">
        <f>F77-E77</f>
        <v>121</v>
      </c>
      <c r="G79" s="1">
        <f>G77-F77</f>
        <v>-181</v>
      </c>
      <c r="H79" s="1"/>
      <c r="I79" s="3">
        <f>I77-G77</f>
        <v>43.120000000000005</v>
      </c>
      <c r="J79" s="2"/>
    </row>
    <row r="80">
      <c r="B80" s="2" t="s">
        <v>54</v>
      </c>
      <c r="C80" s="2"/>
      <c r="D80" s="29"/>
      <c r="E80" s="29"/>
      <c r="F80" s="29"/>
      <c r="G80" s="29"/>
      <c r="H80" s="29"/>
      <c r="I80" s="15">
        <f>(1+I83)/((1+I81)*(1+I82))-1</f>
        <v>-0.16000000000000003</v>
      </c>
      <c r="J80" s="2"/>
    </row>
    <row r="81">
      <c r="B81" s="2" t="s">
        <v>55</v>
      </c>
      <c r="C81" s="2"/>
      <c r="D81" s="29"/>
      <c r="E81" s="29"/>
      <c r="F81" s="29"/>
      <c r="G81" s="29"/>
      <c r="H81" s="29"/>
      <c r="I81" s="15">
        <f>I49</f>
        <v>0</v>
      </c>
      <c r="J81" s="2"/>
    </row>
    <row r="82">
      <c r="B82" s="2" t="s">
        <v>56</v>
      </c>
      <c r="C82" s="2"/>
      <c r="D82" s="29"/>
      <c r="E82" s="29"/>
      <c r="F82" s="29"/>
      <c r="G82" s="29"/>
      <c r="H82" s="29"/>
      <c r="I82" s="15">
        <f>I50</f>
        <v>0</v>
      </c>
      <c r="J82" s="2"/>
    </row>
    <row r="83">
      <c r="B83" s="2" t="s">
        <v>57</v>
      </c>
      <c r="C83" s="2"/>
      <c r="D83" s="29"/>
      <c r="E83" s="29"/>
      <c r="F83" s="29"/>
      <c r="G83" s="29"/>
      <c r="H83" s="29"/>
      <c r="I83" s="15">
        <f>I78</f>
        <v>-0.16000000000000003</v>
      </c>
      <c r="J83" s="2"/>
    </row>
    <row r="84">
      <c r="B84" s="2" t="s">
        <v>104</v>
      </c>
      <c r="C84" s="2"/>
      <c r="D84" s="29">
        <f>D77/D45</f>
        <v>0.5906084656084656</v>
      </c>
      <c r="E84" s="29">
        <f>E77/E45</f>
        <v>0.5390021082220661</v>
      </c>
      <c r="F84" s="29">
        <f>F77/F45</f>
        <v>0.5498452012383901</v>
      </c>
      <c r="G84" s="29">
        <f>G77/G45</f>
        <v>0.5451040863531226</v>
      </c>
      <c r="H84" s="29">
        <f>H77/H45</f>
        <v>0.5566957414058491</v>
      </c>
      <c r="I84" s="15">
        <f>I77/I45</f>
        <v>0.5906317173610072</v>
      </c>
      <c r="J84" s="2"/>
    </row>
    <row r="85">
      <c r="B85" s="14" t="s">
        <v>87</v>
      </c>
      <c r="C85" s="14"/>
      <c r="D85" s="18">
        <f>D58</f>
        <v>619</v>
      </c>
      <c r="E85" s="18">
        <f>E58</f>
        <v>656</v>
      </c>
      <c r="F85" s="18">
        <f>F58</f>
        <v>727</v>
      </c>
      <c r="G85" s="18">
        <f>G58</f>
        <v>590</v>
      </c>
      <c r="H85" s="18">
        <f>H58</f>
        <v>2592</v>
      </c>
      <c r="I85" s="31">
        <f>I58</f>
        <v>519.9100000000002</v>
      </c>
      <c r="J85" s="2" t="s">
        <v>103</v>
      </c>
    </row>
    <row r="86">
      <c r="B86" s="2" t="s">
        <v>82</v>
      </c>
      <c r="C86" s="2"/>
      <c r="D86" s="29"/>
      <c r="E86" s="29"/>
      <c r="F86" s="29"/>
      <c r="G86" s="29"/>
      <c r="H86" s="29"/>
      <c r="I86" s="15">
        <f>I85/D85-1</f>
        <v>-0.16008077544426458</v>
      </c>
      <c r="J86" s="2"/>
    </row>
    <row r="87">
      <c r="B87" s="2" t="s">
        <v>83</v>
      </c>
      <c r="C87" s="2"/>
      <c r="D87" s="1"/>
      <c r="E87" s="1">
        <f>E85-D85</f>
        <v>37</v>
      </c>
      <c r="F87" s="1">
        <f>F85-E85</f>
        <v>71</v>
      </c>
      <c r="G87" s="1">
        <f>G85-F85</f>
        <v>-137</v>
      </c>
      <c r="H87" s="1"/>
      <c r="I87" s="3">
        <f>I85-G85</f>
        <v>-70.0899999999998</v>
      </c>
      <c r="J87" s="2"/>
    </row>
    <row r="88">
      <c r="B88" s="2" t="s">
        <v>54</v>
      </c>
      <c r="C88" s="2"/>
      <c r="D88" s="29"/>
      <c r="E88" s="29"/>
      <c r="F88" s="29"/>
      <c r="G88" s="29"/>
      <c r="H88" s="29"/>
      <c r="I88" s="15">
        <f>(1+I91)/((1+I89)*(1+I90))-1</f>
        <v>-0.16008077544426458</v>
      </c>
      <c r="J88" s="2"/>
    </row>
    <row r="89">
      <c r="B89" s="2" t="s">
        <v>55</v>
      </c>
      <c r="C89" s="2"/>
      <c r="D89" s="29"/>
      <c r="E89" s="29"/>
      <c r="F89" s="29"/>
      <c r="G89" s="29"/>
      <c r="H89" s="29"/>
      <c r="I89" s="15">
        <f>I49</f>
        <v>0</v>
      </c>
      <c r="J89" s="2"/>
    </row>
    <row r="90">
      <c r="B90" s="2" t="s">
        <v>56</v>
      </c>
      <c r="C90" s="2"/>
      <c r="D90" s="29"/>
      <c r="E90" s="29"/>
      <c r="F90" s="29"/>
      <c r="G90" s="29"/>
      <c r="H90" s="29"/>
      <c r="I90" s="15">
        <f>I50</f>
        <v>0</v>
      </c>
      <c r="J90" s="2"/>
    </row>
    <row r="91">
      <c r="B91" s="2" t="s">
        <v>57</v>
      </c>
      <c r="C91" s="2"/>
      <c r="D91" s="29"/>
      <c r="E91" s="29"/>
      <c r="F91" s="29"/>
      <c r="G91" s="29"/>
      <c r="H91" s="29"/>
      <c r="I91" s="15">
        <f>I86</f>
        <v>-0.16008077544426458</v>
      </c>
      <c r="J91" s="2"/>
    </row>
    <row r="92">
      <c r="B92" s="2" t="s">
        <v>104</v>
      </c>
      <c r="C92" s="2"/>
      <c r="D92" s="29">
        <f>D85/D45</f>
        <v>0.4093915343915344</v>
      </c>
      <c r="E92" s="29">
        <f>E85/E45</f>
        <v>0.46099789177793393</v>
      </c>
      <c r="F92" s="29">
        <f>F85/F45</f>
        <v>0.4501547987616099</v>
      </c>
      <c r="G92" s="29">
        <f>G85/G45</f>
        <v>0.4548959136468774</v>
      </c>
      <c r="H92" s="29">
        <f>H85/H45</f>
        <v>0.44330425859415085</v>
      </c>
      <c r="I92" s="15">
        <f>I85/I45</f>
        <v>0.4093682826389929</v>
      </c>
      <c r="J92" s="2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9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107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70</v>
      </c>
      <c r="C9" s="2"/>
      <c r="D9" s="10">
        <v>1061</v>
      </c>
      <c r="E9" s="10">
        <v>1151</v>
      </c>
      <c r="F9" s="10">
        <v>1051</v>
      </c>
      <c r="G9" s="10">
        <v>1114</v>
      </c>
      <c r="H9" s="1">
        <f>SUM(D9:G9)</f>
        <v>4377</v>
      </c>
      <c r="I9" s="3">
        <f>D9*(1+I10)</f>
        <v>1039.78</v>
      </c>
      <c r="J9" s="2" t="s">
        <v>89</v>
      </c>
    </row>
    <row r="10">
      <c r="B10" s="2" t="s">
        <v>51</v>
      </c>
      <c r="C10" s="2"/>
      <c r="D10" s="29"/>
      <c r="E10" s="29"/>
      <c r="F10" s="29"/>
      <c r="G10" s="29"/>
      <c r="H10" s="29"/>
      <c r="I10" s="30">
        <v>-0.02</v>
      </c>
      <c r="J10" s="2"/>
    </row>
    <row r="11">
      <c r="B11" s="2" t="s">
        <v>90</v>
      </c>
      <c r="C11" s="2"/>
      <c r="D11" s="1"/>
      <c r="E11" s="1">
        <f>E9-D9</f>
        <v>90</v>
      </c>
      <c r="F11" s="1">
        <f>F9-E9</f>
        <v>-100</v>
      </c>
      <c r="G11" s="1">
        <f>G9-F9</f>
        <v>63</v>
      </c>
      <c r="H11" s="1"/>
      <c r="I11" s="3">
        <f>I9-G9</f>
        <v>-74.22000000000003</v>
      </c>
      <c r="J11" s="2"/>
    </row>
    <row r="12">
      <c r="B12" s="2" t="s">
        <v>54</v>
      </c>
      <c r="C12" s="2"/>
      <c r="D12" s="29"/>
      <c r="E12" s="29"/>
      <c r="F12" s="29"/>
      <c r="G12" s="29"/>
      <c r="H12" s="29"/>
      <c r="I12" s="15">
        <f>(1+I15)/((1+I13)*(1+I14))-1</f>
        <v>-0.020000000000000018</v>
      </c>
      <c r="J12" s="2"/>
    </row>
    <row r="13">
      <c r="B13" s="2" t="s">
        <v>55</v>
      </c>
      <c r="C13" s="2"/>
      <c r="D13" s="29"/>
      <c r="E13" s="29"/>
      <c r="F13" s="29"/>
      <c r="G13" s="29"/>
      <c r="H13" s="29"/>
      <c r="I13" s="30">
        <v>0</v>
      </c>
      <c r="J13" s="2"/>
    </row>
    <row r="14">
      <c r="B14" s="2" t="s">
        <v>56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57</v>
      </c>
      <c r="C15" s="2"/>
      <c r="D15" s="29"/>
      <c r="E15" s="29"/>
      <c r="F15" s="29"/>
      <c r="G15" s="29"/>
      <c r="H15" s="29"/>
      <c r="I15" s="15">
        <f>I9/D9-1</f>
        <v>-0.020000000000000018</v>
      </c>
      <c r="J15" s="2"/>
    </row>
    <row r="16">
      <c r="B16" s="2"/>
      <c r="C16" s="2"/>
      <c r="D16" s="1"/>
      <c r="E16" s="1"/>
      <c r="F16" s="1"/>
      <c r="G16" s="1"/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71</v>
      </c>
      <c r="C18" s="2"/>
      <c r="D18" s="10">
        <v>371</v>
      </c>
      <c r="E18" s="10">
        <v>457</v>
      </c>
      <c r="F18" s="10">
        <v>381</v>
      </c>
      <c r="G18" s="10">
        <v>420</v>
      </c>
      <c r="H18" s="1">
        <f>SUM(D18:G18)</f>
        <v>1629</v>
      </c>
      <c r="I18" s="3">
        <f>D18*(1+I19)</f>
        <v>374.71</v>
      </c>
      <c r="J18" s="2"/>
    </row>
    <row r="19">
      <c r="B19" s="2" t="s">
        <v>51</v>
      </c>
      <c r="C19" s="2"/>
      <c r="D19" s="29"/>
      <c r="E19" s="29"/>
      <c r="F19" s="29"/>
      <c r="G19" s="29"/>
      <c r="H19" s="29"/>
      <c r="I19" s="30">
        <v>0.01</v>
      </c>
      <c r="J19" s="2"/>
    </row>
    <row r="20">
      <c r="B20" s="2" t="s">
        <v>90</v>
      </c>
      <c r="C20" s="2"/>
      <c r="D20" s="1"/>
      <c r="E20" s="1">
        <f>E18-D18</f>
        <v>86</v>
      </c>
      <c r="F20" s="1">
        <f>F18-E18</f>
        <v>-76</v>
      </c>
      <c r="G20" s="1">
        <f>G18-F18</f>
        <v>39</v>
      </c>
      <c r="H20" s="1"/>
      <c r="I20" s="3">
        <f>I18-G18</f>
        <v>-45.29000000000002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0.010000000000000009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I18/D18-1</f>
        <v>0.010000000000000009</v>
      </c>
      <c r="J24" s="2"/>
    </row>
    <row r="25">
      <c r="B25" s="2"/>
      <c r="C25" s="2"/>
      <c r="D25" s="1"/>
      <c r="E25" s="1"/>
      <c r="F25" s="1"/>
      <c r="G25" s="1"/>
      <c r="H25" s="1"/>
      <c r="I25" s="3"/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72</v>
      </c>
      <c r="C27" s="2"/>
      <c r="D27" s="10">
        <v>58</v>
      </c>
      <c r="E27" s="10">
        <v>59</v>
      </c>
      <c r="F27" s="10">
        <v>58</v>
      </c>
      <c r="G27" s="10">
        <v>62</v>
      </c>
      <c r="H27" s="1">
        <f>SUM(D27:G27)</f>
        <v>237</v>
      </c>
      <c r="I27" s="3">
        <f>D27*(1+I28)</f>
        <v>55.099999999999994</v>
      </c>
      <c r="J27" s="2"/>
    </row>
    <row r="28">
      <c r="B28" s="2" t="s">
        <v>51</v>
      </c>
      <c r="C28" s="2"/>
      <c r="D28" s="29"/>
      <c r="E28" s="29"/>
      <c r="F28" s="29"/>
      <c r="G28" s="29"/>
      <c r="H28" s="29"/>
      <c r="I28" s="30">
        <v>-0.05</v>
      </c>
      <c r="J28" s="2"/>
    </row>
    <row r="29">
      <c r="B29" s="2" t="s">
        <v>90</v>
      </c>
      <c r="C29" s="2"/>
      <c r="D29" s="1"/>
      <c r="E29" s="1">
        <f>E27-D27</f>
        <v>1</v>
      </c>
      <c r="F29" s="1">
        <f>F27-E27</f>
        <v>-1</v>
      </c>
      <c r="G29" s="1">
        <f>G27-F27</f>
        <v>4</v>
      </c>
      <c r="H29" s="1"/>
      <c r="I29" s="3">
        <f>I27-G27</f>
        <v>-6.900000000000006</v>
      </c>
      <c r="J29" s="2"/>
    </row>
    <row r="30">
      <c r="B30" s="2" t="s">
        <v>54</v>
      </c>
      <c r="C30" s="2"/>
      <c r="D30" s="29"/>
      <c r="E30" s="29"/>
      <c r="F30" s="29"/>
      <c r="G30" s="29"/>
      <c r="H30" s="29"/>
      <c r="I30" s="15">
        <f>(1+I33)/((1+I31)*(1+I32))-1</f>
        <v>-0.050000000000000044</v>
      </c>
      <c r="J30" s="2"/>
    </row>
    <row r="31">
      <c r="B31" s="2" t="s">
        <v>55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56</v>
      </c>
      <c r="C32" s="2"/>
      <c r="D32" s="29"/>
      <c r="E32" s="29"/>
      <c r="F32" s="29"/>
      <c r="G32" s="29"/>
      <c r="H32" s="29"/>
      <c r="I32" s="30">
        <v>0</v>
      </c>
      <c r="J32" s="2"/>
    </row>
    <row r="33">
      <c r="B33" s="2" t="s">
        <v>57</v>
      </c>
      <c r="C33" s="2"/>
      <c r="D33" s="29"/>
      <c r="E33" s="29"/>
      <c r="F33" s="29"/>
      <c r="G33" s="29"/>
      <c r="H33" s="29"/>
      <c r="I33" s="15">
        <f>I27/D27-1</f>
        <v>-0.050000000000000044</v>
      </c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/>
      <c r="C39" s="2"/>
      <c r="D39" s="1"/>
      <c r="E39" s="1"/>
      <c r="F39" s="1"/>
      <c r="G39" s="1"/>
      <c r="H39" s="1"/>
      <c r="I39" s="3"/>
      <c r="J39" s="2"/>
    </row>
    <row r="40">
      <c r="B40" s="2"/>
      <c r="C40" s="2"/>
      <c r="D40" s="1"/>
      <c r="E40" s="1"/>
      <c r="F40" s="1"/>
      <c r="G40" s="1"/>
      <c r="H40" s="1"/>
      <c r="I40" s="3"/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/>
      <c r="C42" s="2"/>
      <c r="D42" s="1"/>
      <c r="E42" s="1"/>
      <c r="F42" s="1"/>
      <c r="G42" s="1"/>
      <c r="H42" s="1"/>
      <c r="I42" s="3"/>
      <c r="J42" s="2"/>
    </row>
    <row r="43">
      <c r="B43" s="2"/>
      <c r="C43" s="2"/>
      <c r="D43" s="1"/>
      <c r="E43" s="1"/>
      <c r="F43" s="1"/>
      <c r="G43" s="1"/>
      <c r="H43" s="1"/>
      <c r="I43" s="3"/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14" t="s">
        <v>91</v>
      </c>
      <c r="C45" s="14"/>
      <c r="D45" s="18">
        <f>SUM(D9,D18,D27,D36)</f>
        <v>1490</v>
      </c>
      <c r="E45" s="18">
        <f>SUM(E9,E18,E27,E36)</f>
        <v>1667</v>
      </c>
      <c r="F45" s="18">
        <f>SUM(F9,F18,F27,F36)</f>
        <v>1490</v>
      </c>
      <c r="G45" s="18">
        <f>SUM(G9,G18,G27,G36)</f>
        <v>1596</v>
      </c>
      <c r="H45" s="18">
        <f>SUM(H9,H18,H27,H36)</f>
        <v>6243</v>
      </c>
      <c r="I45" s="31">
        <f>SUM(I9,I18,I27,I36)</f>
        <v>1469.59</v>
      </c>
      <c r="J45" s="2" t="s">
        <v>92</v>
      </c>
    </row>
    <row r="46">
      <c r="B46" s="2" t="s">
        <v>51</v>
      </c>
      <c r="C46" s="2"/>
      <c r="D46" s="29"/>
      <c r="E46" s="29"/>
      <c r="F46" s="29"/>
      <c r="G46" s="29"/>
      <c r="H46" s="29"/>
      <c r="I46" s="15">
        <f>I45/D45-1</f>
        <v>-0.013697986577181243</v>
      </c>
      <c r="J46" s="2"/>
    </row>
    <row r="47">
      <c r="B47" s="2" t="s">
        <v>90</v>
      </c>
      <c r="C47" s="2"/>
      <c r="D47" s="1"/>
      <c r="E47" s="1">
        <f>E45-D45</f>
        <v>177</v>
      </c>
      <c r="F47" s="1">
        <f>F45-E45</f>
        <v>-177</v>
      </c>
      <c r="G47" s="1">
        <f>G45-F45</f>
        <v>106</v>
      </c>
      <c r="H47" s="1"/>
      <c r="I47" s="3">
        <f>I45-G45</f>
        <v>-126.41000000000008</v>
      </c>
      <c r="J47" s="2"/>
    </row>
    <row r="48">
      <c r="B48" s="2" t="s">
        <v>54</v>
      </c>
      <c r="C48" s="2"/>
      <c r="D48" s="29"/>
      <c r="E48" s="29"/>
      <c r="F48" s="29"/>
      <c r="G48" s="29"/>
      <c r="H48" s="29"/>
      <c r="I48" s="15">
        <f>(1+I51)/((1+I49)*(1+I50))-1</f>
        <v>-0.013697986577181243</v>
      </c>
      <c r="J48" s="2"/>
    </row>
    <row r="49">
      <c r="B49" s="2" t="s">
        <v>55</v>
      </c>
      <c r="C49" s="2"/>
      <c r="D49" s="29"/>
      <c r="E49" s="29"/>
      <c r="F49" s="29"/>
      <c r="G49" s="29"/>
      <c r="H49" s="29"/>
      <c r="I49" s="30">
        <v>0</v>
      </c>
      <c r="J49" s="2"/>
    </row>
    <row r="50">
      <c r="B50" s="2" t="s">
        <v>56</v>
      </c>
      <c r="C50" s="2"/>
      <c r="D50" s="29"/>
      <c r="E50" s="29"/>
      <c r="F50" s="29"/>
      <c r="G50" s="29"/>
      <c r="H50" s="29"/>
      <c r="I50" s="30">
        <v>0</v>
      </c>
      <c r="J50" s="2"/>
    </row>
    <row r="51">
      <c r="B51" s="2" t="s">
        <v>57</v>
      </c>
      <c r="C51" s="2"/>
      <c r="D51" s="29"/>
      <c r="E51" s="29"/>
      <c r="F51" s="29"/>
      <c r="G51" s="29"/>
      <c r="H51" s="29"/>
      <c r="I51" s="15">
        <f>I45/D45-1</f>
        <v>-0.013697986577181243</v>
      </c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86</v>
      </c>
      <c r="C53" s="14"/>
      <c r="D53" s="25">
        <v>949</v>
      </c>
      <c r="E53" s="25">
        <v>994</v>
      </c>
      <c r="F53" s="25">
        <v>891</v>
      </c>
      <c r="G53" s="25">
        <v>945</v>
      </c>
      <c r="H53" s="18">
        <f>SUM(D53:G53)</f>
        <v>3779</v>
      </c>
      <c r="I53" s="31">
        <f>D53*(1+I54)</f>
        <v>949</v>
      </c>
      <c r="J53" s="2" t="s">
        <v>93</v>
      </c>
    </row>
    <row r="54">
      <c r="B54" s="2" t="s">
        <v>51</v>
      </c>
      <c r="C54" s="2"/>
      <c r="D54" s="29"/>
      <c r="E54" s="29"/>
      <c r="F54" s="29"/>
      <c r="G54" s="29"/>
      <c r="H54" s="29"/>
      <c r="I54" s="30">
        <v>0</v>
      </c>
      <c r="J54" s="2"/>
    </row>
    <row r="55">
      <c r="B55" s="2" t="s">
        <v>90</v>
      </c>
      <c r="C55" s="2"/>
      <c r="D55" s="1"/>
      <c r="E55" s="1">
        <f>E53-D53</f>
        <v>45</v>
      </c>
      <c r="F55" s="1">
        <f>F53-E53</f>
        <v>-103</v>
      </c>
      <c r="G55" s="1">
        <f>G53-F53</f>
        <v>54</v>
      </c>
      <c r="H55" s="1"/>
      <c r="I55" s="3">
        <f>I53-G53</f>
        <v>4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  <row r="57">
      <c r="B57" s="2"/>
      <c r="C57" s="2"/>
      <c r="D57" s="1"/>
      <c r="E57" s="1"/>
      <c r="F57" s="1"/>
      <c r="G57" s="1"/>
      <c r="H57" s="1"/>
      <c r="I57" s="3"/>
      <c r="J57" s="2"/>
    </row>
    <row r="58">
      <c r="B58" s="14" t="s">
        <v>87</v>
      </c>
      <c r="C58" s="14"/>
      <c r="D58" s="25">
        <v>541</v>
      </c>
      <c r="E58" s="25">
        <v>673</v>
      </c>
      <c r="F58" s="25">
        <v>599</v>
      </c>
      <c r="G58" s="25">
        <v>651</v>
      </c>
      <c r="H58" s="18">
        <f>SUM(D58:G58)</f>
        <v>2464</v>
      </c>
      <c r="I58" s="31">
        <f>D58*(1+I59)</f>
        <v>520.5899999999999</v>
      </c>
      <c r="J58" s="2"/>
    </row>
    <row r="59">
      <c r="B59" s="2" t="s">
        <v>51</v>
      </c>
      <c r="C59" s="2"/>
      <c r="D59" s="29"/>
      <c r="E59" s="29"/>
      <c r="F59" s="29"/>
      <c r="G59" s="29"/>
      <c r="H59" s="29"/>
      <c r="I59" s="15">
        <v>-0.03772643253234764</v>
      </c>
      <c r="J59" s="2" t="s">
        <v>94</v>
      </c>
    </row>
    <row r="60">
      <c r="B60" s="2" t="s">
        <v>90</v>
      </c>
      <c r="C60" s="2"/>
      <c r="D60" s="1"/>
      <c r="E60" s="1">
        <f>E58-D58</f>
        <v>132</v>
      </c>
      <c r="F60" s="1">
        <f>F58-E58</f>
        <v>-74</v>
      </c>
      <c r="G60" s="1">
        <f>G58-F58</f>
        <v>52</v>
      </c>
      <c r="H60" s="1"/>
      <c r="I60" s="3">
        <f>I58-G58</f>
        <v>-130.41000000000008</v>
      </c>
      <c r="J60" s="2"/>
    </row>
    <row r="61">
      <c r="B61" s="2"/>
      <c r="C61" s="2"/>
      <c r="D61" s="1"/>
      <c r="E61" s="1"/>
      <c r="F61" s="1"/>
      <c r="G61" s="1"/>
      <c r="H61" s="1"/>
      <c r="I61" s="3"/>
      <c r="J61" s="2"/>
    </row>
    <row r="62">
      <c r="B62" s="2"/>
      <c r="C62" s="2"/>
      <c r="D62" s="1"/>
      <c r="E62" s="1"/>
      <c r="F62" s="1"/>
      <c r="G62" s="1"/>
      <c r="H62" s="1"/>
      <c r="I62" s="3"/>
      <c r="J62" s="2"/>
    </row>
    <row r="63">
      <c r="B63" s="14" t="s">
        <v>95</v>
      </c>
      <c r="C63" s="14"/>
      <c r="D63" s="18"/>
      <c r="E63" s="18"/>
      <c r="F63" s="18"/>
      <c r="G63" s="18"/>
      <c r="H63" s="18">
        <f>SUM(D63:G63)</f>
        <v>0</v>
      </c>
      <c r="I63" s="31"/>
      <c r="J63" s="2"/>
    </row>
    <row r="64">
      <c r="B64" s="2"/>
      <c r="C64" s="2"/>
      <c r="D64" s="1"/>
      <c r="E64" s="1"/>
      <c r="F64" s="1"/>
      <c r="G64" s="1"/>
      <c r="H64" s="1"/>
      <c r="I64" s="3"/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79</v>
      </c>
      <c r="C66" s="14"/>
      <c r="D66" s="18">
        <f>D45-SUM(D53,D58,D63)</f>
        <v>0</v>
      </c>
      <c r="E66" s="18">
        <f>E45-SUM(E53,E58,E63)</f>
        <v>0</v>
      </c>
      <c r="F66" s="18">
        <f>F45-SUM(F53,F58,F63)</f>
        <v>0</v>
      </c>
      <c r="G66" s="18">
        <f>G45-SUM(G53,G58,G63)</f>
        <v>0</v>
      </c>
      <c r="H66" s="18"/>
      <c r="I66" s="31">
        <f>I45-SUM(I53,I58,I63)</f>
        <v>0</v>
      </c>
      <c r="J66" s="2"/>
    </row>
    <row r="67">
      <c r="B67" s="2"/>
      <c r="C67" s="2"/>
      <c r="D67" s="1"/>
      <c r="E67" s="1"/>
      <c r="F67" s="1"/>
      <c r="G67" s="1"/>
      <c r="H67" s="1"/>
      <c r="I67" s="3"/>
      <c r="J67" s="2"/>
    </row>
    <row r="68">
      <c r="B68" s="2"/>
      <c r="C68" s="2"/>
      <c r="D68" s="1"/>
      <c r="E68" s="1"/>
      <c r="F68" s="1"/>
      <c r="G68" s="1"/>
      <c r="H68" s="1"/>
      <c r="I68" s="3"/>
      <c r="J68" s="2"/>
    </row>
    <row r="69">
      <c r="B69" s="2"/>
      <c r="C69" s="2"/>
      <c r="D69" s="1"/>
      <c r="E69" s="1"/>
      <c r="F69" s="1"/>
      <c r="G69" s="1"/>
      <c r="H69" s="1"/>
      <c r="I69" s="3"/>
      <c r="J69" s="2"/>
    </row>
    <row r="70">
      <c r="B70" s="14" t="s">
        <v>96</v>
      </c>
      <c r="C70" s="14"/>
      <c r="D70" s="25">
        <v>350</v>
      </c>
      <c r="E70" s="25">
        <v>389</v>
      </c>
      <c r="F70" s="25">
        <v>332</v>
      </c>
      <c r="G70" s="25">
        <v>316</v>
      </c>
      <c r="H70" s="18">
        <f>SUM(D70:G70)</f>
        <v>1387</v>
      </c>
      <c r="I70" s="31">
        <f>I45*I71</f>
        <v>323.3098</v>
      </c>
      <c r="J70" s="2" t="s">
        <v>97</v>
      </c>
    </row>
    <row r="71">
      <c r="B71" s="2" t="s">
        <v>98</v>
      </c>
      <c r="C71" s="2"/>
      <c r="D71" s="29">
        <f>D70/D45</f>
        <v>0.2348993288590604</v>
      </c>
      <c r="E71" s="29">
        <f>E70/E45</f>
        <v>0.23335332933413316</v>
      </c>
      <c r="F71" s="29">
        <f>F70/F45</f>
        <v>0.22281879194630871</v>
      </c>
      <c r="G71" s="29">
        <f>G70/G45</f>
        <v>0.19799498746867167</v>
      </c>
      <c r="H71" s="29">
        <f>H70/H45</f>
        <v>0.2221688290885792</v>
      </c>
      <c r="I71" s="30">
        <v>0.22</v>
      </c>
      <c r="J71" s="2"/>
    </row>
    <row r="72">
      <c r="B72" s="2" t="s">
        <v>99</v>
      </c>
      <c r="C72" s="2"/>
      <c r="D72" s="1"/>
      <c r="E72" s="1"/>
      <c r="F72" s="1"/>
      <c r="G72" s="1"/>
      <c r="H72" s="1"/>
      <c r="I72" s="3">
        <f>10000*(I71-D71)</f>
        <v>-148.99328859060395</v>
      </c>
      <c r="J72" s="2"/>
    </row>
    <row r="73">
      <c r="B73" s="2"/>
      <c r="C73" s="2"/>
      <c r="D73" s="1"/>
      <c r="E73" s="1"/>
      <c r="F73" s="1"/>
      <c r="G73" s="1"/>
      <c r="H73" s="1"/>
      <c r="I73" s="3"/>
      <c r="J73" s="2"/>
    </row>
    <row r="74">
      <c r="B74" s="2" t="s">
        <v>100</v>
      </c>
      <c r="C74" s="2"/>
      <c r="D74" s="1"/>
      <c r="E74" s="1"/>
      <c r="F74" s="1"/>
      <c r="G74" s="1"/>
      <c r="H74" s="1"/>
      <c r="I74" s="3"/>
      <c r="J74" s="2" t="s">
        <v>101</v>
      </c>
    </row>
    <row r="75">
      <c r="B75" s="2"/>
      <c r="C75" s="2"/>
      <c r="D75" s="1"/>
      <c r="E75" s="1"/>
      <c r="F75" s="1"/>
      <c r="G75" s="1"/>
      <c r="H75" s="1"/>
      <c r="I75" s="3"/>
      <c r="J75" s="2"/>
    </row>
    <row r="76">
      <c r="B76" s="41" t="s">
        <v>102</v>
      </c>
      <c r="C76" s="41"/>
      <c r="D76" s="41"/>
      <c r="E76" s="41"/>
      <c r="F76" s="41"/>
      <c r="G76" s="41"/>
      <c r="H76" s="41"/>
      <c r="I76" s="41"/>
      <c r="J76" s="2"/>
    </row>
    <row r="77">
      <c r="B77" s="14" t="s">
        <v>86</v>
      </c>
      <c r="C77" s="14"/>
      <c r="D77" s="18">
        <f>D53</f>
        <v>949</v>
      </c>
      <c r="E77" s="18">
        <f>E53</f>
        <v>994</v>
      </c>
      <c r="F77" s="18">
        <f>F53</f>
        <v>891</v>
      </c>
      <c r="G77" s="18">
        <f>G53</f>
        <v>945</v>
      </c>
      <c r="H77" s="18">
        <f>H53</f>
        <v>3779</v>
      </c>
      <c r="I77" s="31">
        <f>I53</f>
        <v>949</v>
      </c>
      <c r="J77" s="2" t="s">
        <v>103</v>
      </c>
    </row>
    <row r="78">
      <c r="B78" s="2" t="s">
        <v>82</v>
      </c>
      <c r="C78" s="2"/>
      <c r="D78" s="29"/>
      <c r="E78" s="29"/>
      <c r="F78" s="29"/>
      <c r="G78" s="29"/>
      <c r="H78" s="29"/>
      <c r="I78" s="15">
        <f>I77/D77-1</f>
        <v>0</v>
      </c>
      <c r="J78" s="2"/>
    </row>
    <row r="79">
      <c r="B79" s="2" t="s">
        <v>83</v>
      </c>
      <c r="C79" s="2"/>
      <c r="D79" s="1"/>
      <c r="E79" s="1">
        <f>E77-D77</f>
        <v>45</v>
      </c>
      <c r="F79" s="1">
        <f>F77-E77</f>
        <v>-103</v>
      </c>
      <c r="G79" s="1">
        <f>G77-F77</f>
        <v>54</v>
      </c>
      <c r="H79" s="1"/>
      <c r="I79" s="3">
        <f>I77-G77</f>
        <v>4</v>
      </c>
      <c r="J79" s="2"/>
    </row>
    <row r="80">
      <c r="B80" s="2" t="s">
        <v>54</v>
      </c>
      <c r="C80" s="2"/>
      <c r="D80" s="29"/>
      <c r="E80" s="29"/>
      <c r="F80" s="29"/>
      <c r="G80" s="29"/>
      <c r="H80" s="29"/>
      <c r="I80" s="15">
        <f>(1+I83)/((1+I81)*(1+I82))-1</f>
        <v>0</v>
      </c>
      <c r="J80" s="2"/>
    </row>
    <row r="81">
      <c r="B81" s="2" t="s">
        <v>55</v>
      </c>
      <c r="C81" s="2"/>
      <c r="D81" s="29"/>
      <c r="E81" s="29"/>
      <c r="F81" s="29"/>
      <c r="G81" s="29"/>
      <c r="H81" s="29"/>
      <c r="I81" s="15">
        <f>I49</f>
        <v>0</v>
      </c>
      <c r="J81" s="2"/>
    </row>
    <row r="82">
      <c r="B82" s="2" t="s">
        <v>56</v>
      </c>
      <c r="C82" s="2"/>
      <c r="D82" s="29"/>
      <c r="E82" s="29"/>
      <c r="F82" s="29"/>
      <c r="G82" s="29"/>
      <c r="H82" s="29"/>
      <c r="I82" s="15">
        <f>I50</f>
        <v>0</v>
      </c>
      <c r="J82" s="2"/>
    </row>
    <row r="83">
      <c r="B83" s="2" t="s">
        <v>57</v>
      </c>
      <c r="C83" s="2"/>
      <c r="D83" s="29"/>
      <c r="E83" s="29"/>
      <c r="F83" s="29"/>
      <c r="G83" s="29"/>
      <c r="H83" s="29"/>
      <c r="I83" s="15">
        <f>I78</f>
        <v>0</v>
      </c>
      <c r="J83" s="2"/>
    </row>
    <row r="84">
      <c r="B84" s="2" t="s">
        <v>104</v>
      </c>
      <c r="C84" s="2"/>
      <c r="D84" s="29">
        <f>D77/D45</f>
        <v>0.6369127516778523</v>
      </c>
      <c r="E84" s="29">
        <f>E77/E45</f>
        <v>0.5962807438512298</v>
      </c>
      <c r="F84" s="29">
        <f>F77/F45</f>
        <v>0.5979865771812081</v>
      </c>
      <c r="G84" s="29">
        <f>G77/G45</f>
        <v>0.5921052631578947</v>
      </c>
      <c r="H84" s="29">
        <f>H77/H45</f>
        <v>0.6053179561108442</v>
      </c>
      <c r="I84" s="15">
        <f>I77/I45</f>
        <v>0.6457583407617091</v>
      </c>
      <c r="J84" s="2"/>
    </row>
    <row r="85">
      <c r="B85" s="14" t="s">
        <v>87</v>
      </c>
      <c r="C85" s="14"/>
      <c r="D85" s="18">
        <f>D58</f>
        <v>541</v>
      </c>
      <c r="E85" s="18">
        <f>E58</f>
        <v>673</v>
      </c>
      <c r="F85" s="18">
        <f>F58</f>
        <v>599</v>
      </c>
      <c r="G85" s="18">
        <f>G58</f>
        <v>651</v>
      </c>
      <c r="H85" s="18">
        <f>H58</f>
        <v>2464</v>
      </c>
      <c r="I85" s="31">
        <f>I58</f>
        <v>520.5899999999999</v>
      </c>
      <c r="J85" s="2" t="s">
        <v>103</v>
      </c>
    </row>
    <row r="86">
      <c r="B86" s="2" t="s">
        <v>82</v>
      </c>
      <c r="C86" s="2"/>
      <c r="D86" s="29"/>
      <c r="E86" s="29"/>
      <c r="F86" s="29"/>
      <c r="G86" s="29"/>
      <c r="H86" s="29"/>
      <c r="I86" s="15">
        <f>I85/D85-1</f>
        <v>-0.03772643253234764</v>
      </c>
      <c r="J86" s="2"/>
    </row>
    <row r="87">
      <c r="B87" s="2" t="s">
        <v>83</v>
      </c>
      <c r="C87" s="2"/>
      <c r="D87" s="1"/>
      <c r="E87" s="1">
        <f>E85-D85</f>
        <v>132</v>
      </c>
      <c r="F87" s="1">
        <f>F85-E85</f>
        <v>-74</v>
      </c>
      <c r="G87" s="1">
        <f>G85-F85</f>
        <v>52</v>
      </c>
      <c r="H87" s="1"/>
      <c r="I87" s="3">
        <f>I85-G85</f>
        <v>-130.41000000000008</v>
      </c>
      <c r="J87" s="2"/>
    </row>
    <row r="88">
      <c r="B88" s="2" t="s">
        <v>54</v>
      </c>
      <c r="C88" s="2"/>
      <c r="D88" s="29"/>
      <c r="E88" s="29"/>
      <c r="F88" s="29"/>
      <c r="G88" s="29"/>
      <c r="H88" s="29"/>
      <c r="I88" s="15">
        <f>(1+I91)/((1+I89)*(1+I90))-1</f>
        <v>-0.03772643253234764</v>
      </c>
      <c r="J88" s="2"/>
    </row>
    <row r="89">
      <c r="B89" s="2" t="s">
        <v>55</v>
      </c>
      <c r="C89" s="2"/>
      <c r="D89" s="29"/>
      <c r="E89" s="29"/>
      <c r="F89" s="29"/>
      <c r="G89" s="29"/>
      <c r="H89" s="29"/>
      <c r="I89" s="15">
        <f>I49</f>
        <v>0</v>
      </c>
      <c r="J89" s="2"/>
    </row>
    <row r="90">
      <c r="B90" s="2" t="s">
        <v>56</v>
      </c>
      <c r="C90" s="2"/>
      <c r="D90" s="29"/>
      <c r="E90" s="29"/>
      <c r="F90" s="29"/>
      <c r="G90" s="29"/>
      <c r="H90" s="29"/>
      <c r="I90" s="15">
        <f>I50</f>
        <v>0</v>
      </c>
      <c r="J90" s="2"/>
    </row>
    <row r="91">
      <c r="B91" s="2" t="s">
        <v>57</v>
      </c>
      <c r="C91" s="2"/>
      <c r="D91" s="29"/>
      <c r="E91" s="29"/>
      <c r="F91" s="29"/>
      <c r="G91" s="29"/>
      <c r="H91" s="29"/>
      <c r="I91" s="15">
        <f>I86</f>
        <v>-0.03772643253234764</v>
      </c>
      <c r="J91" s="2"/>
    </row>
    <row r="92">
      <c r="B92" s="2" t="s">
        <v>104</v>
      </c>
      <c r="C92" s="2"/>
      <c r="D92" s="29">
        <f>D85/D45</f>
        <v>0.36308724832214767</v>
      </c>
      <c r="E92" s="29">
        <f>E85/E45</f>
        <v>0.40371925614877024</v>
      </c>
      <c r="F92" s="29">
        <f>F85/F45</f>
        <v>0.40201342281879193</v>
      </c>
      <c r="G92" s="29">
        <f>G85/G45</f>
        <v>0.40789473684210525</v>
      </c>
      <c r="H92" s="29">
        <f>H85/H45</f>
        <v>0.39468204388915584</v>
      </c>
      <c r="I92" s="15">
        <f>I85/I45</f>
        <v>0.35424165923829093</v>
      </c>
      <c r="J92" s="2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J100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108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70</v>
      </c>
      <c r="C9" s="2"/>
      <c r="D9" s="10">
        <v>321</v>
      </c>
      <c r="E9" s="10">
        <v>255</v>
      </c>
      <c r="F9" s="10">
        <v>231</v>
      </c>
      <c r="G9" s="10">
        <v>206</v>
      </c>
      <c r="H9" s="1">
        <f>SUM(D9:G9)</f>
        <v>1013</v>
      </c>
      <c r="I9" s="3">
        <f>D9*(1+I10)</f>
        <v>240.75</v>
      </c>
      <c r="J9" s="2" t="s">
        <v>89</v>
      </c>
    </row>
    <row r="10">
      <c r="B10" s="2" t="s">
        <v>51</v>
      </c>
      <c r="C10" s="2"/>
      <c r="D10" s="29"/>
      <c r="E10" s="29"/>
      <c r="F10" s="29"/>
      <c r="G10" s="29"/>
      <c r="H10" s="29"/>
      <c r="I10" s="30">
        <v>-0.25</v>
      </c>
      <c r="J10" s="2"/>
    </row>
    <row r="11">
      <c r="B11" s="2" t="s">
        <v>90</v>
      </c>
      <c r="C11" s="2"/>
      <c r="D11" s="1"/>
      <c r="E11" s="1">
        <f>E9-D9</f>
        <v>-66</v>
      </c>
      <c r="F11" s="1">
        <f>F9-E9</f>
        <v>-24</v>
      </c>
      <c r="G11" s="1">
        <f>G9-F9</f>
        <v>-25</v>
      </c>
      <c r="H11" s="1"/>
      <c r="I11" s="3">
        <f>I9-G9</f>
        <v>34.75</v>
      </c>
      <c r="J11" s="2"/>
    </row>
    <row r="12">
      <c r="B12" s="2" t="s">
        <v>54</v>
      </c>
      <c r="C12" s="2"/>
      <c r="D12" s="29"/>
      <c r="E12" s="29"/>
      <c r="F12" s="29"/>
      <c r="G12" s="29"/>
      <c r="H12" s="29"/>
      <c r="I12" s="15">
        <f>(1+I15)/((1+I13)*(1+I14))-1</f>
        <v>-0.25</v>
      </c>
      <c r="J12" s="2"/>
    </row>
    <row r="13">
      <c r="B13" s="2" t="s">
        <v>55</v>
      </c>
      <c r="C13" s="2"/>
      <c r="D13" s="29"/>
      <c r="E13" s="29"/>
      <c r="F13" s="29"/>
      <c r="G13" s="29"/>
      <c r="H13" s="29"/>
      <c r="I13" s="30">
        <v>0</v>
      </c>
      <c r="J13" s="2"/>
    </row>
    <row r="14">
      <c r="B14" s="2" t="s">
        <v>56</v>
      </c>
      <c r="C14" s="2"/>
      <c r="D14" s="29"/>
      <c r="E14" s="29"/>
      <c r="F14" s="29"/>
      <c r="G14" s="29"/>
      <c r="H14" s="29"/>
      <c r="I14" s="30">
        <v>0</v>
      </c>
      <c r="J14" s="2"/>
    </row>
    <row r="15">
      <c r="B15" s="2" t="s">
        <v>57</v>
      </c>
      <c r="C15" s="2"/>
      <c r="D15" s="29"/>
      <c r="E15" s="29"/>
      <c r="F15" s="29"/>
      <c r="G15" s="29"/>
      <c r="H15" s="29"/>
      <c r="I15" s="15">
        <f>I9/D9-1</f>
        <v>-0.25</v>
      </c>
      <c r="J15" s="2"/>
    </row>
    <row r="16">
      <c r="B16" s="2"/>
      <c r="C16" s="2"/>
      <c r="D16" s="1"/>
      <c r="E16" s="1"/>
      <c r="F16" s="1"/>
      <c r="G16" s="1"/>
      <c r="H16" s="1"/>
      <c r="I16" s="3"/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 t="s">
        <v>71</v>
      </c>
      <c r="C18" s="2"/>
      <c r="D18" s="10">
        <v>11</v>
      </c>
      <c r="E18" s="10">
        <v>15</v>
      </c>
      <c r="F18" s="10">
        <v>12</v>
      </c>
      <c r="G18" s="10">
        <v>10</v>
      </c>
      <c r="H18" s="1">
        <f>SUM(D18:G18)</f>
        <v>48</v>
      </c>
      <c r="I18" s="3">
        <f>D18*(1+I19)</f>
        <v>7.699999999999999</v>
      </c>
      <c r="J18" s="2"/>
    </row>
    <row r="19">
      <c r="B19" s="2" t="s">
        <v>51</v>
      </c>
      <c r="C19" s="2"/>
      <c r="D19" s="29"/>
      <c r="E19" s="29"/>
      <c r="F19" s="29"/>
      <c r="G19" s="29"/>
      <c r="H19" s="29"/>
      <c r="I19" s="30">
        <v>-0.3</v>
      </c>
      <c r="J19" s="2"/>
    </row>
    <row r="20">
      <c r="B20" s="2" t="s">
        <v>90</v>
      </c>
      <c r="C20" s="2"/>
      <c r="D20" s="1"/>
      <c r="E20" s="1">
        <f>E18-D18</f>
        <v>4</v>
      </c>
      <c r="F20" s="1">
        <f>F18-E18</f>
        <v>-3</v>
      </c>
      <c r="G20" s="1">
        <f>G18-F18</f>
        <v>-2</v>
      </c>
      <c r="H20" s="1"/>
      <c r="I20" s="3">
        <f>I18-G18</f>
        <v>-2.3000000000000007</v>
      </c>
      <c r="J20" s="2"/>
    </row>
    <row r="21">
      <c r="B21" s="2" t="s">
        <v>54</v>
      </c>
      <c r="C21" s="2"/>
      <c r="D21" s="29"/>
      <c r="E21" s="29"/>
      <c r="F21" s="29"/>
      <c r="G21" s="29"/>
      <c r="H21" s="29"/>
      <c r="I21" s="15">
        <f>(1+I24)/((1+I22)*(1+I23))-1</f>
        <v>-0.30000000000000004</v>
      </c>
      <c r="J21" s="2"/>
    </row>
    <row r="22">
      <c r="B22" s="2" t="s">
        <v>55</v>
      </c>
      <c r="C22" s="2"/>
      <c r="D22" s="29"/>
      <c r="E22" s="29"/>
      <c r="F22" s="29"/>
      <c r="G22" s="29"/>
      <c r="H22" s="29"/>
      <c r="I22" s="30">
        <v>0</v>
      </c>
      <c r="J22" s="2"/>
    </row>
    <row r="23">
      <c r="B23" s="2" t="s">
        <v>56</v>
      </c>
      <c r="C23" s="2"/>
      <c r="D23" s="29"/>
      <c r="E23" s="29"/>
      <c r="F23" s="29"/>
      <c r="G23" s="29"/>
      <c r="H23" s="29"/>
      <c r="I23" s="30">
        <v>0</v>
      </c>
      <c r="J23" s="2"/>
    </row>
    <row r="24">
      <c r="B24" s="2" t="s">
        <v>57</v>
      </c>
      <c r="C24" s="2"/>
      <c r="D24" s="29"/>
      <c r="E24" s="29"/>
      <c r="F24" s="29"/>
      <c r="G24" s="29"/>
      <c r="H24" s="29"/>
      <c r="I24" s="15">
        <f>I18/D18-1</f>
        <v>-0.30000000000000004</v>
      </c>
      <c r="J24" s="2"/>
    </row>
    <row r="25">
      <c r="B25" s="2"/>
      <c r="C25" s="2"/>
      <c r="D25" s="1"/>
      <c r="E25" s="1"/>
      <c r="F25" s="1"/>
      <c r="G25" s="1"/>
      <c r="H25" s="1"/>
      <c r="I25" s="3"/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72</v>
      </c>
      <c r="C27" s="2"/>
      <c r="D27" s="10">
        <v>8</v>
      </c>
      <c r="E27" s="10">
        <v>5</v>
      </c>
      <c r="F27" s="10">
        <v>4</v>
      </c>
      <c r="G27" s="10">
        <v>4</v>
      </c>
      <c r="H27" s="1">
        <f>SUM(D27:G27)</f>
        <v>21</v>
      </c>
      <c r="I27" s="3">
        <f>D27*(1+I28)</f>
        <v>6</v>
      </c>
      <c r="J27" s="2"/>
    </row>
    <row r="28">
      <c r="B28" s="2" t="s">
        <v>51</v>
      </c>
      <c r="C28" s="2"/>
      <c r="D28" s="29"/>
      <c r="E28" s="29"/>
      <c r="F28" s="29"/>
      <c r="G28" s="29"/>
      <c r="H28" s="29"/>
      <c r="I28" s="30">
        <v>-0.25</v>
      </c>
      <c r="J28" s="2"/>
    </row>
    <row r="29">
      <c r="B29" s="2" t="s">
        <v>90</v>
      </c>
      <c r="C29" s="2"/>
      <c r="D29" s="1"/>
      <c r="E29" s="1">
        <f>E27-D27</f>
        <v>-3</v>
      </c>
      <c r="F29" s="1">
        <f>F27-E27</f>
        <v>-1</v>
      </c>
      <c r="G29" s="1">
        <f>G27-F27</f>
        <v>0</v>
      </c>
      <c r="H29" s="1"/>
      <c r="I29" s="3">
        <f>I27-G27</f>
        <v>2</v>
      </c>
      <c r="J29" s="2"/>
    </row>
    <row r="30">
      <c r="B30" s="2" t="s">
        <v>54</v>
      </c>
      <c r="C30" s="2"/>
      <c r="D30" s="29"/>
      <c r="E30" s="29"/>
      <c r="F30" s="29"/>
      <c r="G30" s="29"/>
      <c r="H30" s="29"/>
      <c r="I30" s="15">
        <f>(1+I33)/((1+I31)*(1+I32))-1</f>
        <v>-0.25</v>
      </c>
      <c r="J30" s="2"/>
    </row>
    <row r="31">
      <c r="B31" s="2" t="s">
        <v>55</v>
      </c>
      <c r="C31" s="2"/>
      <c r="D31" s="29"/>
      <c r="E31" s="29"/>
      <c r="F31" s="29"/>
      <c r="G31" s="29"/>
      <c r="H31" s="29"/>
      <c r="I31" s="30">
        <v>0</v>
      </c>
      <c r="J31" s="2"/>
    </row>
    <row r="32">
      <c r="B32" s="2" t="s">
        <v>56</v>
      </c>
      <c r="C32" s="2"/>
      <c r="D32" s="29"/>
      <c r="E32" s="29"/>
      <c r="F32" s="29"/>
      <c r="G32" s="29"/>
      <c r="H32" s="29"/>
      <c r="I32" s="30">
        <v>0</v>
      </c>
      <c r="J32" s="2"/>
    </row>
    <row r="33">
      <c r="B33" s="2" t="s">
        <v>57</v>
      </c>
      <c r="C33" s="2"/>
      <c r="D33" s="29"/>
      <c r="E33" s="29"/>
      <c r="F33" s="29"/>
      <c r="G33" s="29"/>
      <c r="H33" s="29"/>
      <c r="I33" s="15">
        <f>I27/D27-1</f>
        <v>-0.25</v>
      </c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 t="s">
        <v>109</v>
      </c>
      <c r="C36" s="2"/>
      <c r="D36" s="10">
        <v>26</v>
      </c>
      <c r="E36" s="10">
        <v>25</v>
      </c>
      <c r="F36" s="10">
        <v>17</v>
      </c>
      <c r="G36" s="10">
        <v>24</v>
      </c>
      <c r="H36" s="1">
        <f>SUM(D36:G36)</f>
        <v>92</v>
      </c>
      <c r="I36" s="3">
        <f>D36*(1+I37)</f>
        <v>19.5</v>
      </c>
      <c r="J36" s="2"/>
    </row>
    <row r="37">
      <c r="B37" s="2" t="s">
        <v>51</v>
      </c>
      <c r="C37" s="2"/>
      <c r="D37" s="29"/>
      <c r="E37" s="29"/>
      <c r="F37" s="29"/>
      <c r="G37" s="29"/>
      <c r="H37" s="29"/>
      <c r="I37" s="30">
        <v>-0.25</v>
      </c>
      <c r="J37" s="2"/>
    </row>
    <row r="38">
      <c r="B38" s="2" t="s">
        <v>90</v>
      </c>
      <c r="C38" s="2"/>
      <c r="D38" s="1"/>
      <c r="E38" s="1">
        <f>E36-D36</f>
        <v>-1</v>
      </c>
      <c r="F38" s="1">
        <f>F36-E36</f>
        <v>-8</v>
      </c>
      <c r="G38" s="1">
        <f>G36-F36</f>
        <v>7</v>
      </c>
      <c r="H38" s="1"/>
      <c r="I38" s="3">
        <f>I36-G36</f>
        <v>-4.5</v>
      </c>
      <c r="J38" s="2"/>
    </row>
    <row r="39">
      <c r="B39" s="2" t="s">
        <v>54</v>
      </c>
      <c r="C39" s="2"/>
      <c r="D39" s="29"/>
      <c r="E39" s="29"/>
      <c r="F39" s="29"/>
      <c r="G39" s="29"/>
      <c r="H39" s="29"/>
      <c r="I39" s="15">
        <f>(1+I42)/((1+I40)*(1+I41))-1</f>
        <v>-0.25</v>
      </c>
      <c r="J39" s="2"/>
    </row>
    <row r="40">
      <c r="B40" s="2" t="s">
        <v>55</v>
      </c>
      <c r="C40" s="2"/>
      <c r="D40" s="29"/>
      <c r="E40" s="29"/>
      <c r="F40" s="29"/>
      <c r="G40" s="29"/>
      <c r="H40" s="29"/>
      <c r="I40" s="30">
        <v>0</v>
      </c>
      <c r="J40" s="2"/>
    </row>
    <row r="41">
      <c r="B41" s="2" t="s">
        <v>56</v>
      </c>
      <c r="C41" s="2"/>
      <c r="D41" s="29"/>
      <c r="E41" s="29"/>
      <c r="F41" s="29"/>
      <c r="G41" s="29"/>
      <c r="H41" s="29"/>
      <c r="I41" s="30">
        <v>0</v>
      </c>
      <c r="J41" s="2"/>
    </row>
    <row r="42">
      <c r="B42" s="2" t="s">
        <v>57</v>
      </c>
      <c r="C42" s="2"/>
      <c r="D42" s="29"/>
      <c r="E42" s="29"/>
      <c r="F42" s="29"/>
      <c r="G42" s="29"/>
      <c r="H42" s="29"/>
      <c r="I42" s="15">
        <f>I36/D36-1</f>
        <v>-0.25</v>
      </c>
      <c r="J42" s="2"/>
    </row>
    <row r="43">
      <c r="B43" s="2"/>
      <c r="C43" s="2"/>
      <c r="D43" s="1"/>
      <c r="E43" s="1"/>
      <c r="F43" s="1"/>
      <c r="G43" s="1"/>
      <c r="H43" s="1"/>
      <c r="I43" s="3"/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14" t="s">
        <v>91</v>
      </c>
      <c r="C45" s="14"/>
      <c r="D45" s="18">
        <f>SUM(D9,D18,D27,D36)</f>
        <v>366</v>
      </c>
      <c r="E45" s="18">
        <f>SUM(E9,E18,E27,E36)</f>
        <v>300</v>
      </c>
      <c r="F45" s="18">
        <f>SUM(F9,F18,F27,F36)</f>
        <v>264</v>
      </c>
      <c r="G45" s="18">
        <f>SUM(G9,G18,G27,G36)</f>
        <v>244</v>
      </c>
      <c r="H45" s="18">
        <f>SUM(H9,H18,H27,H36)</f>
        <v>1174</v>
      </c>
      <c r="I45" s="31">
        <f>SUM(I9,I18,I27,I36)</f>
        <v>273.95</v>
      </c>
      <c r="J45" s="2" t="s">
        <v>92</v>
      </c>
    </row>
    <row r="46">
      <c r="B46" s="2" t="s">
        <v>51</v>
      </c>
      <c r="C46" s="2"/>
      <c r="D46" s="29"/>
      <c r="E46" s="29"/>
      <c r="F46" s="29"/>
      <c r="G46" s="29"/>
      <c r="H46" s="29"/>
      <c r="I46" s="15">
        <f>I45/D45-1</f>
        <v>-0.2515027322404372</v>
      </c>
      <c r="J46" s="2"/>
    </row>
    <row r="47">
      <c r="B47" s="2" t="s">
        <v>90</v>
      </c>
      <c r="C47" s="2"/>
      <c r="D47" s="1"/>
      <c r="E47" s="1">
        <f>E45-D45</f>
        <v>-66</v>
      </c>
      <c r="F47" s="1">
        <f>F45-E45</f>
        <v>-36</v>
      </c>
      <c r="G47" s="1">
        <f>G45-F45</f>
        <v>-20</v>
      </c>
      <c r="H47" s="1"/>
      <c r="I47" s="3">
        <f>I45-G45</f>
        <v>29.94999999999999</v>
      </c>
      <c r="J47" s="2"/>
    </row>
    <row r="48">
      <c r="B48" s="2" t="s">
        <v>54</v>
      </c>
      <c r="C48" s="2"/>
      <c r="D48" s="29"/>
      <c r="E48" s="29"/>
      <c r="F48" s="29"/>
      <c r="G48" s="29"/>
      <c r="H48" s="29"/>
      <c r="I48" s="15">
        <f>(1+I51)/((1+I49)*(1+I50))-1</f>
        <v>-0.2515027322404372</v>
      </c>
      <c r="J48" s="2"/>
    </row>
    <row r="49">
      <c r="B49" s="2" t="s">
        <v>55</v>
      </c>
      <c r="C49" s="2"/>
      <c r="D49" s="29"/>
      <c r="E49" s="29"/>
      <c r="F49" s="29"/>
      <c r="G49" s="29"/>
      <c r="H49" s="29"/>
      <c r="I49" s="30">
        <v>0</v>
      </c>
      <c r="J49" s="2"/>
    </row>
    <row r="50">
      <c r="B50" s="2" t="s">
        <v>56</v>
      </c>
      <c r="C50" s="2"/>
      <c r="D50" s="29"/>
      <c r="E50" s="29"/>
      <c r="F50" s="29"/>
      <c r="G50" s="29"/>
      <c r="H50" s="29"/>
      <c r="I50" s="30">
        <v>0</v>
      </c>
      <c r="J50" s="2"/>
    </row>
    <row r="51">
      <c r="B51" s="2" t="s">
        <v>57</v>
      </c>
      <c r="C51" s="2"/>
      <c r="D51" s="29"/>
      <c r="E51" s="29"/>
      <c r="F51" s="29"/>
      <c r="G51" s="29"/>
      <c r="H51" s="29"/>
      <c r="I51" s="15">
        <f>I45/D45-1</f>
        <v>-0.2515027322404372</v>
      </c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86</v>
      </c>
      <c r="C53" s="14"/>
      <c r="D53" s="25">
        <v>195</v>
      </c>
      <c r="E53" s="25">
        <v>143</v>
      </c>
      <c r="F53" s="25">
        <v>142</v>
      </c>
      <c r="G53" s="25">
        <v>125</v>
      </c>
      <c r="H53" s="18">
        <f>SUM(D53:G53)</f>
        <v>605</v>
      </c>
      <c r="I53" s="31">
        <f>D53*(1+I54)</f>
        <v>150.15</v>
      </c>
      <c r="J53" s="2" t="s">
        <v>93</v>
      </c>
    </row>
    <row r="54">
      <c r="B54" s="2" t="s">
        <v>51</v>
      </c>
      <c r="C54" s="2"/>
      <c r="D54" s="29"/>
      <c r="E54" s="29"/>
      <c r="F54" s="29"/>
      <c r="G54" s="29"/>
      <c r="H54" s="29"/>
      <c r="I54" s="30">
        <v>-0.23</v>
      </c>
      <c r="J54" s="2"/>
    </row>
    <row r="55">
      <c r="B55" s="2" t="s">
        <v>90</v>
      </c>
      <c r="C55" s="2"/>
      <c r="D55" s="1"/>
      <c r="E55" s="1">
        <f>E53-D53</f>
        <v>-52</v>
      </c>
      <c r="F55" s="1">
        <f>F53-E53</f>
        <v>-1</v>
      </c>
      <c r="G55" s="1">
        <f>G53-F53</f>
        <v>-17</v>
      </c>
      <c r="H55" s="1"/>
      <c r="I55" s="3">
        <f>I53-G53</f>
        <v>25.150000000000006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  <row r="57">
      <c r="B57" s="2"/>
      <c r="C57" s="2"/>
      <c r="D57" s="1"/>
      <c r="E57" s="1"/>
      <c r="F57" s="1"/>
      <c r="G57" s="1"/>
      <c r="H57" s="1"/>
      <c r="I57" s="3"/>
      <c r="J57" s="2"/>
    </row>
    <row r="58">
      <c r="B58" s="14" t="s">
        <v>87</v>
      </c>
      <c r="C58" s="14"/>
      <c r="D58" s="25">
        <v>145</v>
      </c>
      <c r="E58" s="25">
        <v>132</v>
      </c>
      <c r="F58" s="25">
        <v>105</v>
      </c>
      <c r="G58" s="25">
        <v>95</v>
      </c>
      <c r="H58" s="18">
        <f>SUM(D58:G58)</f>
        <v>477</v>
      </c>
      <c r="I58" s="31">
        <f>D58*(1+I59)</f>
        <v>104.29999999999998</v>
      </c>
      <c r="J58" s="2"/>
    </row>
    <row r="59">
      <c r="B59" s="2" t="s">
        <v>51</v>
      </c>
      <c r="C59" s="2"/>
      <c r="D59" s="29"/>
      <c r="E59" s="29"/>
      <c r="F59" s="29"/>
      <c r="G59" s="29"/>
      <c r="H59" s="29"/>
      <c r="I59" s="30">
        <v>-0.28068965517241395</v>
      </c>
      <c r="J59" s="2" t="s">
        <v>94</v>
      </c>
    </row>
    <row r="60">
      <c r="B60" s="2" t="s">
        <v>90</v>
      </c>
      <c r="C60" s="2"/>
      <c r="D60" s="1"/>
      <c r="E60" s="1">
        <f>E58-D58</f>
        <v>-13</v>
      </c>
      <c r="F60" s="1">
        <f>F58-E58</f>
        <v>-27</v>
      </c>
      <c r="G60" s="1">
        <f>G58-F58</f>
        <v>-10</v>
      </c>
      <c r="H60" s="1"/>
      <c r="I60" s="3">
        <f>I58-G58</f>
        <v>9.299999999999983</v>
      </c>
      <c r="J60" s="2"/>
    </row>
    <row r="61">
      <c r="B61" s="2"/>
      <c r="C61" s="2"/>
      <c r="D61" s="1"/>
      <c r="E61" s="1"/>
      <c r="F61" s="1"/>
      <c r="G61" s="1"/>
      <c r="H61" s="1"/>
      <c r="I61" s="3"/>
      <c r="J61" s="2"/>
    </row>
    <row r="62">
      <c r="B62" s="2"/>
      <c r="C62" s="2"/>
      <c r="D62" s="1"/>
      <c r="E62" s="1"/>
      <c r="F62" s="1"/>
      <c r="G62" s="1"/>
      <c r="H62" s="1"/>
      <c r="I62" s="3"/>
      <c r="J62" s="2"/>
    </row>
    <row r="63">
      <c r="B63" s="14" t="s">
        <v>95</v>
      </c>
      <c r="C63" s="14"/>
      <c r="D63" s="18">
        <f>D36</f>
        <v>26</v>
      </c>
      <c r="E63" s="18">
        <f>E36</f>
        <v>25</v>
      </c>
      <c r="F63" s="18">
        <f>F36</f>
        <v>17</v>
      </c>
      <c r="G63" s="18">
        <f>G36</f>
        <v>24</v>
      </c>
      <c r="H63" s="18">
        <f>SUM(D63:G63)</f>
        <v>92</v>
      </c>
      <c r="I63" s="31">
        <f>I36</f>
        <v>19.5</v>
      </c>
      <c r="J63" s="2"/>
    </row>
    <row r="64">
      <c r="B64" s="2"/>
      <c r="C64" s="2"/>
      <c r="D64" s="1"/>
      <c r="E64" s="1"/>
      <c r="F64" s="1"/>
      <c r="G64" s="1"/>
      <c r="H64" s="1"/>
      <c r="I64" s="3"/>
      <c r="J64" s="2"/>
    </row>
    <row r="65">
      <c r="B65" s="2"/>
      <c r="C65" s="2"/>
      <c r="D65" s="1"/>
      <c r="E65" s="1"/>
      <c r="F65" s="1"/>
      <c r="G65" s="1"/>
      <c r="H65" s="1"/>
      <c r="I65" s="3"/>
      <c r="J65" s="2"/>
    </row>
    <row r="66">
      <c r="B66" s="14" t="s">
        <v>79</v>
      </c>
      <c r="C66" s="14"/>
      <c r="D66" s="18">
        <f>D45-SUM(D53,D58,D63)</f>
        <v>0</v>
      </c>
      <c r="E66" s="18">
        <f>E45-SUM(E53,E58,E63)</f>
        <v>0</v>
      </c>
      <c r="F66" s="18">
        <f>F45-SUM(F53,F58,F63)</f>
        <v>0</v>
      </c>
      <c r="G66" s="18">
        <f>G45-SUM(G53,G58,G63)</f>
        <v>0</v>
      </c>
      <c r="H66" s="18"/>
      <c r="I66" s="31">
        <f>I45-SUM(I53,I58,I63)</f>
        <v>0</v>
      </c>
      <c r="J66" s="2"/>
    </row>
    <row r="67">
      <c r="B67" s="2"/>
      <c r="C67" s="2"/>
      <c r="D67" s="1"/>
      <c r="E67" s="1"/>
      <c r="F67" s="1"/>
      <c r="G67" s="1"/>
      <c r="H67" s="1"/>
      <c r="I67" s="3"/>
      <c r="J67" s="2"/>
    </row>
    <row r="68">
      <c r="B68" s="2"/>
      <c r="C68" s="2"/>
      <c r="D68" s="1"/>
      <c r="E68" s="1"/>
      <c r="F68" s="1"/>
      <c r="G68" s="1"/>
      <c r="H68" s="1"/>
      <c r="I68" s="3"/>
      <c r="J68" s="2"/>
    </row>
    <row r="69">
      <c r="B69" s="2"/>
      <c r="C69" s="2"/>
      <c r="D69" s="1"/>
      <c r="E69" s="1"/>
      <c r="F69" s="1"/>
      <c r="G69" s="1"/>
      <c r="H69" s="1"/>
      <c r="I69" s="3"/>
      <c r="J69" s="2"/>
    </row>
    <row r="70">
      <c r="B70" s="14" t="s">
        <v>96</v>
      </c>
      <c r="C70" s="14"/>
      <c r="D70" s="25">
        <v>39</v>
      </c>
      <c r="E70" s="25">
        <v>-4</v>
      </c>
      <c r="F70" s="25">
        <v>-40</v>
      </c>
      <c r="G70" s="25">
        <v>23</v>
      </c>
      <c r="H70" s="18">
        <f>SUM(D70:G70)</f>
        <v>18</v>
      </c>
      <c r="I70" s="31">
        <f>I45*I71</f>
        <v>8.218499999999999</v>
      </c>
      <c r="J70" s="2" t="s">
        <v>97</v>
      </c>
    </row>
    <row r="71">
      <c r="B71" s="2" t="s">
        <v>98</v>
      </c>
      <c r="C71" s="2"/>
      <c r="D71" s="29">
        <f>D70/D45</f>
        <v>0.10655737704918032</v>
      </c>
      <c r="E71" s="29">
        <f>E70/E45</f>
        <v>-0.013333333333333334</v>
      </c>
      <c r="F71" s="29">
        <f>F70/F45</f>
        <v>-0.15151515151515152</v>
      </c>
      <c r="G71" s="29">
        <f>G70/G45</f>
        <v>0.0942622950819672</v>
      </c>
      <c r="H71" s="29">
        <f>H70/H45</f>
        <v>0.015332197614991482</v>
      </c>
      <c r="I71" s="30">
        <v>0.03</v>
      </c>
      <c r="J71" s="2"/>
    </row>
    <row r="72">
      <c r="B72" s="2" t="s">
        <v>99</v>
      </c>
      <c r="C72" s="2"/>
      <c r="D72" s="1"/>
      <c r="E72" s="1"/>
      <c r="F72" s="1"/>
      <c r="G72" s="1"/>
      <c r="H72" s="1"/>
      <c r="I72" s="3">
        <f>10000*(I71-D71)</f>
        <v>-765.5737704918032</v>
      </c>
      <c r="J72" s="2"/>
    </row>
    <row r="73">
      <c r="B73" s="2"/>
      <c r="C73" s="2"/>
      <c r="D73" s="1"/>
      <c r="E73" s="1"/>
      <c r="F73" s="1"/>
      <c r="G73" s="1"/>
      <c r="H73" s="1"/>
      <c r="I73" s="3"/>
      <c r="J73" s="2"/>
    </row>
    <row r="74">
      <c r="B74" s="2" t="s">
        <v>100</v>
      </c>
      <c r="C74" s="2"/>
      <c r="D74" s="1"/>
      <c r="E74" s="1"/>
      <c r="F74" s="1"/>
      <c r="G74" s="1"/>
      <c r="H74" s="1"/>
      <c r="I74" s="3"/>
      <c r="J74" s="2" t="s">
        <v>101</v>
      </c>
    </row>
    <row r="75">
      <c r="B75" s="2"/>
      <c r="C75" s="2"/>
      <c r="D75" s="1"/>
      <c r="E75" s="1"/>
      <c r="F75" s="1"/>
      <c r="G75" s="1"/>
      <c r="H75" s="1"/>
      <c r="I75" s="3"/>
      <c r="J75" s="2"/>
    </row>
    <row r="76">
      <c r="B76" s="41" t="s">
        <v>102</v>
      </c>
      <c r="C76" s="41"/>
      <c r="D76" s="41"/>
      <c r="E76" s="41"/>
      <c r="F76" s="41"/>
      <c r="G76" s="41"/>
      <c r="H76" s="41"/>
      <c r="I76" s="41"/>
      <c r="J76" s="2"/>
    </row>
    <row r="77">
      <c r="B77" s="14" t="s">
        <v>86</v>
      </c>
      <c r="C77" s="14"/>
      <c r="D77" s="18">
        <f>D53</f>
        <v>195</v>
      </c>
      <c r="E77" s="18">
        <f>E53</f>
        <v>143</v>
      </c>
      <c r="F77" s="18">
        <f>F53</f>
        <v>142</v>
      </c>
      <c r="G77" s="18">
        <f>G53</f>
        <v>125</v>
      </c>
      <c r="H77" s="18">
        <f>H53</f>
        <v>605</v>
      </c>
      <c r="I77" s="31">
        <f>I53</f>
        <v>150.15</v>
      </c>
      <c r="J77" s="2" t="s">
        <v>103</v>
      </c>
    </row>
    <row r="78">
      <c r="B78" s="2" t="s">
        <v>82</v>
      </c>
      <c r="C78" s="2"/>
      <c r="D78" s="29"/>
      <c r="E78" s="29"/>
      <c r="F78" s="29"/>
      <c r="G78" s="29"/>
      <c r="H78" s="29"/>
      <c r="I78" s="15">
        <f>I77/D77-1</f>
        <v>-0.22999999999999998</v>
      </c>
      <c r="J78" s="2"/>
    </row>
    <row r="79">
      <c r="B79" s="2" t="s">
        <v>83</v>
      </c>
      <c r="C79" s="2"/>
      <c r="D79" s="1"/>
      <c r="E79" s="1">
        <f>E77-D77</f>
        <v>-52</v>
      </c>
      <c r="F79" s="1">
        <f>F77-E77</f>
        <v>-1</v>
      </c>
      <c r="G79" s="1">
        <f>G77-F77</f>
        <v>-17</v>
      </c>
      <c r="H79" s="1"/>
      <c r="I79" s="3">
        <f>I77-G77</f>
        <v>25.150000000000006</v>
      </c>
      <c r="J79" s="2"/>
    </row>
    <row r="80">
      <c r="B80" s="2" t="s">
        <v>54</v>
      </c>
      <c r="C80" s="2"/>
      <c r="D80" s="29"/>
      <c r="E80" s="29"/>
      <c r="F80" s="29"/>
      <c r="G80" s="29"/>
      <c r="H80" s="29"/>
      <c r="I80" s="15">
        <f>(1+I83)/((1+I81)*(1+I82))-1</f>
        <v>-0.22999999999999998</v>
      </c>
      <c r="J80" s="2"/>
    </row>
    <row r="81">
      <c r="B81" s="2" t="s">
        <v>55</v>
      </c>
      <c r="C81" s="2"/>
      <c r="D81" s="29"/>
      <c r="E81" s="29"/>
      <c r="F81" s="29"/>
      <c r="G81" s="29"/>
      <c r="H81" s="29"/>
      <c r="I81" s="15">
        <f>I49</f>
        <v>0</v>
      </c>
      <c r="J81" s="2"/>
    </row>
    <row r="82">
      <c r="B82" s="2" t="s">
        <v>56</v>
      </c>
      <c r="C82" s="2"/>
      <c r="D82" s="29"/>
      <c r="E82" s="29"/>
      <c r="F82" s="29"/>
      <c r="G82" s="29"/>
      <c r="H82" s="29"/>
      <c r="I82" s="15">
        <f>I50</f>
        <v>0</v>
      </c>
      <c r="J82" s="2"/>
    </row>
    <row r="83">
      <c r="B83" s="2" t="s">
        <v>57</v>
      </c>
      <c r="C83" s="2"/>
      <c r="D83" s="29"/>
      <c r="E83" s="29"/>
      <c r="F83" s="29"/>
      <c r="G83" s="29"/>
      <c r="H83" s="29"/>
      <c r="I83" s="15">
        <f>I78</f>
        <v>-0.22999999999999998</v>
      </c>
      <c r="J83" s="2"/>
    </row>
    <row r="84">
      <c r="B84" s="2" t="s">
        <v>104</v>
      </c>
      <c r="C84" s="2"/>
      <c r="D84" s="29">
        <f>D77/D45</f>
        <v>0.5327868852459017</v>
      </c>
      <c r="E84" s="29">
        <f>E77/E45</f>
        <v>0.4766666666666667</v>
      </c>
      <c r="F84" s="29">
        <f>F77/F45</f>
        <v>0.5378787878787878</v>
      </c>
      <c r="G84" s="29">
        <f>G77/G45</f>
        <v>0.5122950819672131</v>
      </c>
      <c r="H84" s="29">
        <f>H77/H45</f>
        <v>0.5153321976149915</v>
      </c>
      <c r="I84" s="15">
        <f>I77/I45</f>
        <v>0.5480927176492061</v>
      </c>
      <c r="J84" s="2"/>
    </row>
    <row r="85">
      <c r="B85" s="14" t="s">
        <v>87</v>
      </c>
      <c r="C85" s="14"/>
      <c r="D85" s="18">
        <f>D58</f>
        <v>145</v>
      </c>
      <c r="E85" s="18">
        <f>E58</f>
        <v>132</v>
      </c>
      <c r="F85" s="18">
        <f>F58</f>
        <v>105</v>
      </c>
      <c r="G85" s="18">
        <f>G58</f>
        <v>95</v>
      </c>
      <c r="H85" s="18">
        <f>H58</f>
        <v>477</v>
      </c>
      <c r="I85" s="31">
        <f>I58</f>
        <v>104.29999999999998</v>
      </c>
      <c r="J85" s="2" t="s">
        <v>103</v>
      </c>
    </row>
    <row r="86">
      <c r="B86" s="2" t="s">
        <v>82</v>
      </c>
      <c r="C86" s="2"/>
      <c r="D86" s="29"/>
      <c r="E86" s="29"/>
      <c r="F86" s="29"/>
      <c r="G86" s="29"/>
      <c r="H86" s="29"/>
      <c r="I86" s="15">
        <f>I85/D85-1</f>
        <v>-0.28068965517241395</v>
      </c>
      <c r="J86" s="2"/>
    </row>
    <row r="87">
      <c r="B87" s="2" t="s">
        <v>83</v>
      </c>
      <c r="C87" s="2"/>
      <c r="D87" s="1"/>
      <c r="E87" s="1">
        <f>E85-D85</f>
        <v>-13</v>
      </c>
      <c r="F87" s="1">
        <f>F85-E85</f>
        <v>-27</v>
      </c>
      <c r="G87" s="1">
        <f>G85-F85</f>
        <v>-10</v>
      </c>
      <c r="H87" s="1"/>
      <c r="I87" s="3">
        <f>I85-G85</f>
        <v>9.299999999999983</v>
      </c>
      <c r="J87" s="2"/>
    </row>
    <row r="88">
      <c r="B88" s="2" t="s">
        <v>54</v>
      </c>
      <c r="C88" s="2"/>
      <c r="D88" s="29"/>
      <c r="E88" s="29"/>
      <c r="F88" s="29"/>
      <c r="G88" s="29"/>
      <c r="H88" s="29"/>
      <c r="I88" s="15">
        <f>(1+I91)/((1+I89)*(1+I90))-1</f>
        <v>-0.28068965517241395</v>
      </c>
      <c r="J88" s="2"/>
    </row>
    <row r="89">
      <c r="B89" s="2" t="s">
        <v>55</v>
      </c>
      <c r="C89" s="2"/>
      <c r="D89" s="29"/>
      <c r="E89" s="29"/>
      <c r="F89" s="29"/>
      <c r="G89" s="29"/>
      <c r="H89" s="29"/>
      <c r="I89" s="15">
        <f>I49</f>
        <v>0</v>
      </c>
      <c r="J89" s="2"/>
    </row>
    <row r="90">
      <c r="B90" s="2" t="s">
        <v>56</v>
      </c>
      <c r="C90" s="2"/>
      <c r="D90" s="29"/>
      <c r="E90" s="29"/>
      <c r="F90" s="29"/>
      <c r="G90" s="29"/>
      <c r="H90" s="29"/>
      <c r="I90" s="15">
        <f>I50</f>
        <v>0</v>
      </c>
      <c r="J90" s="2"/>
    </row>
    <row r="91">
      <c r="B91" s="2" t="s">
        <v>57</v>
      </c>
      <c r="C91" s="2"/>
      <c r="D91" s="29"/>
      <c r="E91" s="29"/>
      <c r="F91" s="29"/>
      <c r="G91" s="29"/>
      <c r="H91" s="29"/>
      <c r="I91" s="15">
        <f>I86</f>
        <v>-0.28068965517241395</v>
      </c>
      <c r="J91" s="2"/>
    </row>
    <row r="92">
      <c r="B92" s="2" t="s">
        <v>104</v>
      </c>
      <c r="C92" s="2"/>
      <c r="D92" s="29">
        <f>D85/D45</f>
        <v>0.39617486338797814</v>
      </c>
      <c r="E92" s="29">
        <f>E85/E45</f>
        <v>0.44</v>
      </c>
      <c r="F92" s="29">
        <f>F85/F45</f>
        <v>0.3977272727272727</v>
      </c>
      <c r="G92" s="29">
        <f>G85/G45</f>
        <v>0.38934426229508196</v>
      </c>
      <c r="H92" s="29">
        <f>H85/H45</f>
        <v>0.40630323679727426</v>
      </c>
      <c r="I92" s="15">
        <f>I85/I45</f>
        <v>0.38072640992881907</v>
      </c>
      <c r="J92" s="2"/>
    </row>
    <row r="93">
      <c r="B93" s="14" t="s">
        <v>110</v>
      </c>
      <c r="C93" s="14"/>
      <c r="D93" s="18">
        <f>D63</f>
        <v>26</v>
      </c>
      <c r="E93" s="18">
        <f>E63</f>
        <v>25</v>
      </c>
      <c r="F93" s="18">
        <f>F63</f>
        <v>17</v>
      </c>
      <c r="G93" s="18">
        <f>G63</f>
        <v>24</v>
      </c>
      <c r="H93" s="18">
        <f>H63</f>
        <v>92</v>
      </c>
      <c r="I93" s="31">
        <f>I63</f>
        <v>19.5</v>
      </c>
      <c r="J93" s="2" t="s">
        <v>103</v>
      </c>
    </row>
    <row r="94">
      <c r="B94" s="2" t="s">
        <v>82</v>
      </c>
      <c r="C94" s="2"/>
      <c r="D94" s="29"/>
      <c r="E94" s="29"/>
      <c r="F94" s="29"/>
      <c r="G94" s="29"/>
      <c r="H94" s="29"/>
      <c r="I94" s="15">
        <f>I93/D93-1</f>
        <v>-0.25</v>
      </c>
      <c r="J94" s="2"/>
    </row>
    <row r="95">
      <c r="B95" s="2" t="s">
        <v>83</v>
      </c>
      <c r="C95" s="2"/>
      <c r="D95" s="1"/>
      <c r="E95" s="1">
        <f>E93-D93</f>
        <v>-1</v>
      </c>
      <c r="F95" s="1">
        <f>F93-E93</f>
        <v>-8</v>
      </c>
      <c r="G95" s="1">
        <f>G93-F93</f>
        <v>7</v>
      </c>
      <c r="H95" s="1"/>
      <c r="I95" s="3">
        <f>I93-G93</f>
        <v>-4.5</v>
      </c>
      <c r="J95" s="2"/>
    </row>
    <row r="96">
      <c r="B96" s="2" t="s">
        <v>54</v>
      </c>
      <c r="C96" s="2"/>
      <c r="D96" s="29"/>
      <c r="E96" s="29"/>
      <c r="F96" s="29"/>
      <c r="G96" s="29"/>
      <c r="H96" s="29"/>
      <c r="I96" s="15">
        <f>(1+I99)/((1+I97)*(1+I98))-1</f>
        <v>-0.25</v>
      </c>
      <c r="J96" s="2"/>
    </row>
    <row r="97">
      <c r="B97" s="2" t="s">
        <v>55</v>
      </c>
      <c r="C97" s="2"/>
      <c r="D97" s="29"/>
      <c r="E97" s="29"/>
      <c r="F97" s="29"/>
      <c r="G97" s="29"/>
      <c r="H97" s="29"/>
      <c r="I97" s="15">
        <f>I49</f>
        <v>0</v>
      </c>
      <c r="J97" s="2"/>
    </row>
    <row r="98">
      <c r="B98" s="2" t="s">
        <v>56</v>
      </c>
      <c r="C98" s="2"/>
      <c r="D98" s="29"/>
      <c r="E98" s="29"/>
      <c r="F98" s="29"/>
      <c r="G98" s="29"/>
      <c r="H98" s="29"/>
      <c r="I98" s="15">
        <f>I50</f>
        <v>0</v>
      </c>
      <c r="J98" s="2"/>
    </row>
    <row r="99">
      <c r="B99" s="2" t="s">
        <v>57</v>
      </c>
      <c r="C99" s="2"/>
      <c r="D99" s="29"/>
      <c r="E99" s="29"/>
      <c r="F99" s="29"/>
      <c r="G99" s="29"/>
      <c r="H99" s="29"/>
      <c r="I99" s="15">
        <f>I94</f>
        <v>-0.25</v>
      </c>
      <c r="J99" s="2"/>
    </row>
    <row r="100">
      <c r="B100" s="2" t="s">
        <v>104</v>
      </c>
      <c r="C100" s="2"/>
      <c r="D100" s="29">
        <f>D93/D45</f>
        <v>0.07103825136612021</v>
      </c>
      <c r="E100" s="29">
        <f>E93/E45</f>
        <v>0.08333333333333333</v>
      </c>
      <c r="F100" s="29">
        <f>F93/F45</f>
        <v>0.06439393939393939</v>
      </c>
      <c r="G100" s="29">
        <f>G93/G45</f>
        <v>0.09836065573770492</v>
      </c>
      <c r="H100" s="29">
        <f>H93/H45</f>
        <v>0.07836456558773425</v>
      </c>
      <c r="I100" s="15">
        <f>I93/I45</f>
        <v>0.07118087242197482</v>
      </c>
      <c r="J100" s="2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J56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111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14" t="s">
        <v>112</v>
      </c>
      <c r="C9" s="14"/>
      <c r="D9" s="21">
        <f>'Revenue summary'!D66</f>
        <v>11720</v>
      </c>
      <c r="E9" s="21">
        <f>'Revenue summary'!E66</f>
        <v>12427</v>
      </c>
      <c r="F9" s="21">
        <f>'Revenue summary'!F66</f>
        <v>11279</v>
      </c>
      <c r="G9" s="21">
        <f>'Revenue summary'!G66</f>
        <v>10972</v>
      </c>
      <c r="H9" s="21">
        <f>'Revenue summary'!H66</f>
        <v>46398</v>
      </c>
      <c r="I9" s="38">
        <f>'Revenue summary'!I66</f>
        <v>11285.7</v>
      </c>
      <c r="J9" s="2" t="s">
        <v>113</v>
      </c>
    </row>
    <row r="10">
      <c r="B10" s="2" t="s">
        <v>51</v>
      </c>
      <c r="C10" s="2"/>
      <c r="D10" s="29"/>
      <c r="E10" s="29"/>
      <c r="F10" s="29"/>
      <c r="G10" s="29"/>
      <c r="H10" s="29"/>
      <c r="I10" s="15">
        <f>I9/D9-1</f>
        <v>-0.037056313993173995</v>
      </c>
      <c r="J10" s="2"/>
    </row>
    <row r="11">
      <c r="B11" s="2" t="s">
        <v>114</v>
      </c>
      <c r="C11" s="2"/>
      <c r="D11" s="10">
        <v>6777</v>
      </c>
      <c r="E11" s="10">
        <v>7382</v>
      </c>
      <c r="F11" s="10">
        <v>6749</v>
      </c>
      <c r="G11" s="10">
        <v>5579</v>
      </c>
      <c r="H11" s="10"/>
      <c r="I11" s="3">
        <f>I9*(1-I53)</f>
        <v>6511.8489</v>
      </c>
      <c r="J11" s="2" t="s">
        <v>115</v>
      </c>
    </row>
    <row r="12">
      <c r="B12" s="14" t="s">
        <v>116</v>
      </c>
      <c r="C12" s="14"/>
      <c r="D12" s="18">
        <f>D9-D11</f>
        <v>4943</v>
      </c>
      <c r="E12" s="18">
        <f>E9-E11</f>
        <v>5045</v>
      </c>
      <c r="F12" s="18">
        <f>F9-F11</f>
        <v>4530</v>
      </c>
      <c r="G12" s="18">
        <f>G9-G11</f>
        <v>5393</v>
      </c>
      <c r="H12" s="18">
        <f>H9-H11</f>
        <v>19911</v>
      </c>
      <c r="I12" s="31">
        <f>I9-I11</f>
        <v>4773.851100000001</v>
      </c>
      <c r="J12" s="2"/>
    </row>
    <row r="13">
      <c r="B13" s="2" t="s">
        <v>117</v>
      </c>
      <c r="C13" s="2"/>
      <c r="D13" s="29">
        <f>D12/D9</f>
        <v>0.42175767918088736</v>
      </c>
      <c r="E13" s="29">
        <f>E12/E9</f>
        <v>0.4059708698800998</v>
      </c>
      <c r="F13" s="29">
        <f>F12/F9</f>
        <v>0.40163135029701214</v>
      </c>
      <c r="G13" s="29">
        <f>G12/G9</f>
        <v>0.4915238789646373</v>
      </c>
      <c r="H13" s="29">
        <f>H12/H9</f>
        <v>0.42913487650329757</v>
      </c>
      <c r="I13" s="15">
        <f>I12/I9</f>
        <v>0.42300000000000004</v>
      </c>
      <c r="J13" s="2"/>
    </row>
    <row r="14">
      <c r="B14" s="2" t="s">
        <v>99</v>
      </c>
      <c r="C14" s="2"/>
      <c r="D14" s="1"/>
      <c r="E14" s="1"/>
      <c r="F14" s="1"/>
      <c r="G14" s="1"/>
      <c r="H14" s="1"/>
      <c r="I14" s="3">
        <f>10000*(I13-D13)</f>
        <v>12.423208191126855</v>
      </c>
      <c r="J14" s="2"/>
    </row>
    <row r="15">
      <c r="B15" s="2"/>
      <c r="C15" s="2"/>
      <c r="D15" s="1"/>
      <c r="E15" s="1"/>
      <c r="F15" s="1"/>
      <c r="G15" s="1"/>
      <c r="H15" s="1"/>
      <c r="I15" s="3"/>
      <c r="J15" s="2"/>
    </row>
    <row r="16">
      <c r="B16" s="2" t="s">
        <v>118</v>
      </c>
      <c r="C16" s="2"/>
      <c r="D16" s="10">
        <v>1188</v>
      </c>
      <c r="E16" s="10">
        <v>1273</v>
      </c>
      <c r="F16" s="10">
        <v>1090</v>
      </c>
      <c r="G16" s="10">
        <v>1203</v>
      </c>
      <c r="H16" s="10"/>
      <c r="I16" s="3">
        <f>D16*(1+I54)</f>
        <v>1283.0400000000002</v>
      </c>
      <c r="J16" s="2" t="s">
        <v>119</v>
      </c>
    </row>
    <row r="17">
      <c r="B17" s="2" t="s">
        <v>120</v>
      </c>
      <c r="C17" s="2"/>
      <c r="D17" s="10">
        <v>2828</v>
      </c>
      <c r="E17" s="10">
        <v>2766</v>
      </c>
      <c r="F17" s="10">
        <v>2887</v>
      </c>
      <c r="G17" s="10">
        <v>2879</v>
      </c>
      <c r="H17" s="10"/>
      <c r="I17" s="3">
        <f>D17*(1+I55)</f>
        <v>2749</v>
      </c>
      <c r="J17" s="2" t="s">
        <v>121</v>
      </c>
    </row>
    <row r="18">
      <c r="B18" s="14" t="s">
        <v>122</v>
      </c>
      <c r="C18" s="14"/>
      <c r="D18" s="18">
        <f>SUM(D16:D17)</f>
        <v>4016</v>
      </c>
      <c r="E18" s="18">
        <f>SUM(E16:E17)</f>
        <v>4039</v>
      </c>
      <c r="F18" s="18">
        <f>SUM(F16:F17)</f>
        <v>3977</v>
      </c>
      <c r="G18" s="18">
        <f>SUM(G16:G17)</f>
        <v>4082</v>
      </c>
      <c r="H18" s="18">
        <f>SUM(H16:H17)</f>
        <v>16114</v>
      </c>
      <c r="I18" s="31">
        <f>SUM(I16:I17)</f>
        <v>4032.04</v>
      </c>
      <c r="J18" s="2"/>
    </row>
    <row r="19">
      <c r="B19" s="2" t="s">
        <v>123</v>
      </c>
      <c r="C19" s="2"/>
      <c r="D19" s="29">
        <f>D18/D9</f>
        <v>0.34266211604095564</v>
      </c>
      <c r="E19" s="29">
        <f>E18/E9</f>
        <v>0.32501810573750706</v>
      </c>
      <c r="F19" s="29">
        <f>F18/F9</f>
        <v>0.3526021810444188</v>
      </c>
      <c r="G19" s="29">
        <f>G18/G9</f>
        <v>0.37203791469194314</v>
      </c>
      <c r="H19" s="29">
        <f>H18/H9</f>
        <v>0.34729945256261047</v>
      </c>
      <c r="I19" s="15">
        <f>I18/I9</f>
        <v>0.3572698193288852</v>
      </c>
      <c r="J19" s="2"/>
    </row>
    <row r="20">
      <c r="B20" s="2" t="s">
        <v>124</v>
      </c>
      <c r="C20" s="2"/>
      <c r="D20" s="29"/>
      <c r="E20" s="29"/>
      <c r="F20" s="29"/>
      <c r="G20" s="29"/>
      <c r="H20" s="29"/>
      <c r="I20" s="15">
        <f>I18/D18-1</f>
        <v>0.0039940239043825265</v>
      </c>
      <c r="J20" s="2"/>
    </row>
    <row r="21">
      <c r="B21" s="2"/>
      <c r="C21" s="2"/>
      <c r="D21" s="1"/>
      <c r="E21" s="1"/>
      <c r="F21" s="1"/>
      <c r="G21" s="1"/>
      <c r="H21" s="1"/>
      <c r="I21" s="3"/>
      <c r="J21" s="2"/>
    </row>
    <row r="22">
      <c r="B22" s="14" t="s">
        <v>125</v>
      </c>
      <c r="C22" s="14"/>
      <c r="D22" s="18">
        <f>D12-D18</f>
        <v>927</v>
      </c>
      <c r="E22" s="18">
        <f>E12-E18</f>
        <v>1006</v>
      </c>
      <c r="F22" s="18">
        <f>F12-F18</f>
        <v>553</v>
      </c>
      <c r="G22" s="18">
        <f>G12-G18</f>
        <v>1311</v>
      </c>
      <c r="H22" s="18">
        <f>H12-H18</f>
        <v>3797</v>
      </c>
      <c r="I22" s="31">
        <f>I12-I18</f>
        <v>741.8111000000008</v>
      </c>
      <c r="J22" s="2"/>
    </row>
    <row r="23">
      <c r="B23" s="2" t="s">
        <v>98</v>
      </c>
      <c r="C23" s="2"/>
      <c r="D23" s="29">
        <f>D22/D9</f>
        <v>0.07909556313993174</v>
      </c>
      <c r="E23" s="29">
        <f>E22/E9</f>
        <v>0.08095276414259274</v>
      </c>
      <c r="F23" s="29">
        <f>F22/F9</f>
        <v>0.04902916925259331</v>
      </c>
      <c r="G23" s="29">
        <f>G22/G9</f>
        <v>0.11948596427269413</v>
      </c>
      <c r="H23" s="29">
        <f>H22/H9</f>
        <v>0.0818354239406871</v>
      </c>
      <c r="I23" s="15">
        <f>I22/I9</f>
        <v>0.06573018067111484</v>
      </c>
      <c r="J23" s="2"/>
    </row>
    <row r="24">
      <c r="B24" s="2" t="s">
        <v>126</v>
      </c>
      <c r="C24" s="2"/>
      <c r="D24" s="10">
        <v>-18</v>
      </c>
      <c r="E24" s="10">
        <v>-9</v>
      </c>
      <c r="F24" s="10">
        <v>-15</v>
      </c>
      <c r="G24" s="10">
        <v>-8</v>
      </c>
      <c r="H24" s="10"/>
      <c r="I24" s="24">
        <v>-10</v>
      </c>
      <c r="J24" s="2"/>
    </row>
    <row r="25">
      <c r="B25" s="2" t="s">
        <v>127</v>
      </c>
      <c r="C25" s="2"/>
      <c r="D25" s="10">
        <v>23</v>
      </c>
      <c r="E25" s="10">
        <v>16</v>
      </c>
      <c r="F25" s="10">
        <v>-82</v>
      </c>
      <c r="G25" s="10">
        <v>-10</v>
      </c>
      <c r="H25" s="10"/>
      <c r="I25" s="24">
        <v>0</v>
      </c>
      <c r="J25" s="2"/>
    </row>
    <row r="26">
      <c r="B26" s="14" t="s">
        <v>128</v>
      </c>
      <c r="C26" s="14"/>
      <c r="D26" s="18">
        <f>D22-D24-D25</f>
        <v>922</v>
      </c>
      <c r="E26" s="18">
        <f>E22-E24-E25</f>
        <v>999</v>
      </c>
      <c r="F26" s="18">
        <f>F22-F24-F25</f>
        <v>650</v>
      </c>
      <c r="G26" s="18">
        <f>G22-G24-G25</f>
        <v>1329</v>
      </c>
      <c r="H26" s="18">
        <f>H22-H24-H25</f>
        <v>3900</v>
      </c>
      <c r="I26" s="31">
        <f>I22-I24-I25</f>
        <v>751.8111000000008</v>
      </c>
      <c r="J26" s="2"/>
    </row>
    <row r="27">
      <c r="B27" s="2" t="s">
        <v>129</v>
      </c>
      <c r="C27" s="2"/>
      <c r="D27" s="29">
        <f>D28/D26</f>
        <v>0.21149674620390455</v>
      </c>
      <c r="E27" s="29">
        <f>E28/E26</f>
        <v>0.2072072072072072</v>
      </c>
      <c r="F27" s="29">
        <f>F28/F26</f>
        <v>0.2</v>
      </c>
      <c r="G27" s="29">
        <f>G28/G26</f>
        <v>0.19563581640331076</v>
      </c>
      <c r="H27" s="29">
        <f>H28/H26</f>
        <v>0.20307692307692307</v>
      </c>
      <c r="I27" s="30">
        <v>0.207</v>
      </c>
      <c r="J27" s="2" t="s">
        <v>130</v>
      </c>
    </row>
    <row r="28">
      <c r="B28" s="2" t="s">
        <v>131</v>
      </c>
      <c r="C28" s="2"/>
      <c r="D28" s="10">
        <v>195</v>
      </c>
      <c r="E28" s="10">
        <v>207</v>
      </c>
      <c r="F28" s="10">
        <v>130</v>
      </c>
      <c r="G28" s="10">
        <v>260</v>
      </c>
      <c r="H28" s="1">
        <f>SUM(D28:G28)</f>
        <v>792</v>
      </c>
      <c r="I28" s="3">
        <f>I26*I27</f>
        <v>155.62489770000016</v>
      </c>
      <c r="J28" s="2"/>
    </row>
    <row r="29">
      <c r="B29" s="14" t="s">
        <v>132</v>
      </c>
      <c r="C29" s="14"/>
      <c r="D29" s="18">
        <f>D26-D28</f>
        <v>727</v>
      </c>
      <c r="E29" s="18">
        <f>E26-E28</f>
        <v>792</v>
      </c>
      <c r="F29" s="18">
        <f>F26-F28</f>
        <v>520</v>
      </c>
      <c r="G29" s="18">
        <f>G26-G28</f>
        <v>1069</v>
      </c>
      <c r="H29" s="18">
        <f>H26-H28</f>
        <v>3108</v>
      </c>
      <c r="I29" s="31">
        <f>I26-I28</f>
        <v>596.1862023000007</v>
      </c>
      <c r="J29" s="2"/>
    </row>
    <row r="30">
      <c r="B30" s="2" t="s">
        <v>133</v>
      </c>
      <c r="C30" s="2"/>
      <c r="D30" s="29">
        <f>D29/D9</f>
        <v>0.06203071672354949</v>
      </c>
      <c r="E30" s="29">
        <f>E29/E9</f>
        <v>0.06373219602478475</v>
      </c>
      <c r="F30" s="29">
        <f>F29/F9</f>
        <v>0.04610337795903892</v>
      </c>
      <c r="G30" s="29">
        <f>G29/G9</f>
        <v>0.09742982136347066</v>
      </c>
      <c r="H30" s="29">
        <f>H29/H9</f>
        <v>0.06698564593301436</v>
      </c>
      <c r="I30" s="15">
        <f>I29/I9</f>
        <v>0.05282669238948409</v>
      </c>
      <c r="J30" s="2"/>
    </row>
    <row r="31">
      <c r="B31" s="2" t="s">
        <v>134</v>
      </c>
      <c r="C31" s="2"/>
      <c r="D31" s="29"/>
      <c r="E31" s="29"/>
      <c r="F31" s="29"/>
      <c r="G31" s="29"/>
      <c r="H31" s="29"/>
      <c r="I31" s="15">
        <f>I29/D29-1</f>
        <v>-0.17993644800550113</v>
      </c>
      <c r="J31" s="2"/>
    </row>
    <row r="32">
      <c r="B32" s="2"/>
      <c r="C32" s="2"/>
      <c r="D32" s="1"/>
      <c r="E32" s="1"/>
      <c r="F32" s="1"/>
      <c r="G32" s="1"/>
      <c r="H32" s="1"/>
      <c r="I32" s="3"/>
      <c r="J32" s="2"/>
    </row>
    <row r="33">
      <c r="B33" s="2" t="s">
        <v>135</v>
      </c>
      <c r="C33" s="2"/>
      <c r="D33" s="11">
        <f>'Share Count'!D14</f>
        <v>1476.6</v>
      </c>
      <c r="E33" s="11">
        <f>'Share Count'!E14</f>
        <v>1479.5</v>
      </c>
      <c r="F33" s="11">
        <f>'Share Count'!F14</f>
        <v>1480.5</v>
      </c>
      <c r="G33" s="11">
        <f>'Share Count'!G14</f>
        <v>1482.6</v>
      </c>
      <c r="H33" s="11">
        <f>'Share Count'!H14</f>
        <v>1479.8</v>
      </c>
      <c r="I33" s="27">
        <f>'Share Count'!I14</f>
        <v>1483.5</v>
      </c>
      <c r="J33" s="2"/>
    </row>
    <row r="34">
      <c r="B34" s="2" t="s">
        <v>136</v>
      </c>
      <c r="C34" s="2"/>
      <c r="D34" s="11">
        <f>'Share Count'!D24</f>
        <v>1479</v>
      </c>
      <c r="E34" s="11">
        <f>'Share Count'!E24</f>
        <v>1481</v>
      </c>
      <c r="F34" s="11">
        <f>'Share Count'!F24</f>
        <v>1481.6</v>
      </c>
      <c r="G34" s="11">
        <f>'Share Count'!G24</f>
        <v>1482.9</v>
      </c>
      <c r="H34" s="11">
        <f>'Share Count'!H24</f>
        <v>1481</v>
      </c>
      <c r="I34" s="27">
        <f>'Share Count'!I24</f>
        <v>1485</v>
      </c>
      <c r="J34" s="2"/>
    </row>
    <row r="35">
      <c r="B35" s="14" t="s">
        <v>137</v>
      </c>
      <c r="C35" s="14"/>
      <c r="D35" s="28">
        <f>D29/D34</f>
        <v>0.49154834347532117</v>
      </c>
      <c r="E35" s="28">
        <f>E29/E34</f>
        <v>0.5347738014854828</v>
      </c>
      <c r="F35" s="28">
        <f>F29/F34</f>
        <v>0.3509719222462203</v>
      </c>
      <c r="G35" s="28">
        <f>G29/G34</f>
        <v>0.7208847528491469</v>
      </c>
      <c r="H35" s="28">
        <f>H29/H34</f>
        <v>2.0985820391627277</v>
      </c>
      <c r="I35" s="33">
        <f>I29/I34</f>
        <v>0.40147219010101054</v>
      </c>
      <c r="J35" s="2"/>
    </row>
    <row r="36">
      <c r="B36" s="2" t="s">
        <v>138</v>
      </c>
      <c r="C36" s="2"/>
      <c r="D36" s="1">
        <f>D35*D34-D29</f>
        <v>0</v>
      </c>
      <c r="E36" s="1">
        <f>E35*E34-E29</f>
        <v>0</v>
      </c>
      <c r="F36" s="1">
        <f>F35*F34-F29</f>
        <v>0</v>
      </c>
      <c r="G36" s="1">
        <f>G35*G34-G29</f>
        <v>0</v>
      </c>
      <c r="H36" s="1">
        <f>H35*H34-H29</f>
        <v>0</v>
      </c>
      <c r="I36" s="3">
        <f>I35*I34-I29</f>
        <v>0</v>
      </c>
      <c r="J36" s="2"/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 t="s">
        <v>139</v>
      </c>
      <c r="C39" s="2"/>
      <c r="D39" s="10">
        <v>0</v>
      </c>
      <c r="E39" s="10">
        <v>0</v>
      </c>
      <c r="F39" s="10">
        <v>0</v>
      </c>
      <c r="G39" s="11">
        <f>(Inputs!D16-G35)*G34</f>
        <v>-772.4200000000001</v>
      </c>
      <c r="H39" s="10"/>
      <c r="I39" s="24">
        <v>0</v>
      </c>
      <c r="J39" s="2" t="s">
        <v>140</v>
      </c>
    </row>
    <row r="40">
      <c r="B40" s="2" t="s">
        <v>141</v>
      </c>
      <c r="C40" s="2"/>
      <c r="D40" s="10">
        <v>0</v>
      </c>
      <c r="E40" s="10">
        <v>0</v>
      </c>
      <c r="F40" s="10">
        <v>0</v>
      </c>
      <c r="G40" s="10">
        <v>0</v>
      </c>
      <c r="H40" s="10"/>
      <c r="I40" s="24">
        <v>0</v>
      </c>
      <c r="J40" s="2"/>
    </row>
    <row r="41">
      <c r="B41" s="14" t="s">
        <v>142</v>
      </c>
      <c r="C41" s="14"/>
      <c r="D41" s="18">
        <f>SUM(D29,D39:D40)</f>
        <v>727</v>
      </c>
      <c r="E41" s="18">
        <f>SUM(E29,E39:E40)</f>
        <v>792</v>
      </c>
      <c r="F41" s="18">
        <f>SUM(F29,F39:F40)</f>
        <v>520</v>
      </c>
      <c r="G41" s="18">
        <f>SUM(G29,G39:G40)</f>
        <v>296.5799999999999</v>
      </c>
      <c r="H41" s="18">
        <f>SUM(H29,H39:H40)</f>
        <v>2335.58</v>
      </c>
      <c r="I41" s="31">
        <f>SUM(I29,I39:I40)</f>
        <v>596.1862023000007</v>
      </c>
      <c r="J41" s="2"/>
    </row>
    <row r="42">
      <c r="B42" s="14" t="s">
        <v>143</v>
      </c>
      <c r="C42" s="14"/>
      <c r="D42" s="28">
        <f>D41/D34</f>
        <v>0.49154834347532117</v>
      </c>
      <c r="E42" s="28">
        <f>E41/E34</f>
        <v>0.5347738014854828</v>
      </c>
      <c r="F42" s="28">
        <f>F41/F34</f>
        <v>0.3509719222462203</v>
      </c>
      <c r="G42" s="28">
        <f>G41/G34</f>
        <v>0.19999999999999993</v>
      </c>
      <c r="H42" s="28">
        <f>H41/H34</f>
        <v>1.5770290344361917</v>
      </c>
      <c r="I42" s="33">
        <f>I41/I34</f>
        <v>0.40147219010101054</v>
      </c>
      <c r="J42" s="2" t="s">
        <v>144</v>
      </c>
    </row>
    <row r="43">
      <c r="B43" s="2" t="s">
        <v>145</v>
      </c>
      <c r="C43" s="2"/>
      <c r="D43" s="34">
        <f>Inputs!D13</f>
        <v>0.49</v>
      </c>
      <c r="E43" s="34">
        <f>Inputs!D14</f>
        <v>0.53</v>
      </c>
      <c r="F43" s="34">
        <f>Inputs!D15</f>
        <v>0.35</v>
      </c>
      <c r="G43" s="34">
        <f>Inputs!D16</f>
        <v>0.2</v>
      </c>
      <c r="H43" s="35"/>
      <c r="I43" s="32"/>
      <c r="J43" s="2"/>
    </row>
    <row r="44">
      <c r="B44" s="2" t="s">
        <v>146</v>
      </c>
      <c r="C44" s="2"/>
      <c r="D44" s="34">
        <f>Inputs!F13</f>
        <v>0.49</v>
      </c>
      <c r="E44" s="34">
        <f>Inputs!F14</f>
        <v>0.53</v>
      </c>
      <c r="F44" s="34">
        <f>Inputs!F15</f>
        <v>0.35</v>
      </c>
      <c r="G44" s="34">
        <f>Inputs!F16</f>
        <v>0.72</v>
      </c>
      <c r="H44" s="35"/>
      <c r="I44" s="32"/>
      <c r="J44" s="2"/>
    </row>
    <row r="45">
      <c r="B45" s="2" t="s">
        <v>147</v>
      </c>
      <c r="C45" s="2"/>
      <c r="D45" s="11">
        <f>Inputs!H13</f>
        <v>11720</v>
      </c>
      <c r="E45" s="11">
        <f>Inputs!H14</f>
        <v>12427</v>
      </c>
      <c r="F45" s="11">
        <f>Inputs!H15</f>
        <v>11269</v>
      </c>
      <c r="G45" s="11">
        <f>Inputs!H16</f>
        <v>10972</v>
      </c>
      <c r="H45" s="1"/>
      <c r="I45" s="3"/>
      <c r="J45" s="2"/>
    </row>
    <row r="46">
      <c r="B46" s="2" t="s">
        <v>148</v>
      </c>
      <c r="C46" s="2"/>
      <c r="D46" s="1">
        <f>D9-D45</f>
        <v>0</v>
      </c>
      <c r="E46" s="1">
        <f>E9-E45</f>
        <v>0</v>
      </c>
      <c r="F46" s="1">
        <f>F9-F45</f>
        <v>10</v>
      </c>
      <c r="G46" s="1">
        <f>G9-G45</f>
        <v>0</v>
      </c>
      <c r="H46" s="1"/>
      <c r="I46" s="3"/>
      <c r="J46" s="2" t="s">
        <v>149</v>
      </c>
    </row>
    <row r="47">
      <c r="B47" s="2" t="s">
        <v>150</v>
      </c>
      <c r="C47" s="2"/>
      <c r="D47" s="35">
        <f>D42-D43</f>
        <v>0.0015483434753211789</v>
      </c>
      <c r="E47" s="35">
        <f>E42-E43</f>
        <v>0.004773801485482787</v>
      </c>
      <c r="F47" s="35">
        <f>F42-F43</f>
        <v>0.0009719222462203359</v>
      </c>
      <c r="G47" s="35">
        <f>G42-G43</f>
        <v>0</v>
      </c>
      <c r="H47" s="35"/>
      <c r="I47" s="32"/>
      <c r="J47" s="2"/>
    </row>
    <row r="48">
      <c r="B48" s="2"/>
      <c r="C48" s="2"/>
      <c r="D48" s="1"/>
      <c r="E48" s="1"/>
      <c r="F48" s="1"/>
      <c r="G48" s="1"/>
      <c r="H48" s="1"/>
      <c r="I48" s="3"/>
      <c r="J48" s="2"/>
    </row>
    <row r="49">
      <c r="B49" s="2"/>
      <c r="C49" s="2"/>
      <c r="D49" s="1"/>
      <c r="E49" s="1"/>
      <c r="F49" s="1"/>
      <c r="G49" s="1"/>
      <c r="H49" s="1"/>
      <c r="I49" s="3"/>
      <c r="J49" s="2"/>
    </row>
    <row r="50">
      <c r="B50" s="2"/>
      <c r="C50" s="2"/>
      <c r="D50" s="1"/>
      <c r="E50" s="1"/>
      <c r="F50" s="1"/>
      <c r="G50" s="1"/>
      <c r="H50" s="1"/>
      <c r="I50" s="3"/>
      <c r="J50" s="2"/>
    </row>
    <row r="51">
      <c r="B51" s="2"/>
      <c r="C51" s="2"/>
      <c r="D51" s="1"/>
      <c r="E51" s="1"/>
      <c r="F51" s="1"/>
      <c r="G51" s="1"/>
      <c r="H51" s="1"/>
      <c r="I51" s="3"/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2" t="s">
        <v>151</v>
      </c>
      <c r="C53" s="2"/>
      <c r="D53" s="29"/>
      <c r="E53" s="29"/>
      <c r="F53" s="29"/>
      <c r="G53" s="29"/>
      <c r="H53" s="29"/>
      <c r="I53" s="30">
        <v>0.423</v>
      </c>
      <c r="J53" s="2" t="s">
        <v>152</v>
      </c>
    </row>
    <row r="54">
      <c r="B54" s="2" t="s">
        <v>153</v>
      </c>
      <c r="C54" s="2"/>
      <c r="D54" s="29"/>
      <c r="E54" s="29"/>
      <c r="F54" s="29"/>
      <c r="G54" s="29"/>
      <c r="H54" s="29"/>
      <c r="I54" s="30">
        <v>0.08</v>
      </c>
      <c r="J54" s="2"/>
    </row>
    <row r="55">
      <c r="B55" s="2" t="s">
        <v>154</v>
      </c>
      <c r="C55" s="2"/>
      <c r="D55" s="29"/>
      <c r="E55" s="29"/>
      <c r="F55" s="29"/>
      <c r="G55" s="29"/>
      <c r="H55" s="29"/>
      <c r="I55" s="30">
        <v>-0.027934936350777928</v>
      </c>
      <c r="J55" s="2"/>
    </row>
    <row r="56">
      <c r="B56" s="2"/>
      <c r="C56" s="2"/>
      <c r="D56" s="1"/>
      <c r="E56" s="1"/>
      <c r="F56" s="1"/>
      <c r="G56" s="1"/>
      <c r="H56" s="1"/>
      <c r="I56" s="3"/>
      <c r="J56" s="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J44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155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156</v>
      </c>
      <c r="C9" s="2"/>
      <c r="D9" s="11">
        <f>'Cash Flow Statement'!D39</f>
        <v>7024</v>
      </c>
      <c r="E9" s="11">
        <f>'Cash Flow Statement'!E39</f>
        <v>6974</v>
      </c>
      <c r="F9" s="11">
        <f>'Cash Flow Statement'!F39</f>
        <v>6660</v>
      </c>
      <c r="G9" s="11">
        <f>'Cash Flow Statement'!G39</f>
        <v>7563</v>
      </c>
      <c r="H9" s="11">
        <f>'Cash Flow Statement'!H39</f>
        <v>7563</v>
      </c>
      <c r="I9" s="27">
        <f>G9+'Income Statement'!I29+SUM('Cash Flow Statement'!I11:I19)+SUM('Cash Flow Statement'!I22:I26)+SUM('Cash Flow Statement'!I29:I34)+'Cash Flow Statement'!I37</f>
        <v>7705.186202299999</v>
      </c>
      <c r="J9" s="2"/>
    </row>
    <row r="10">
      <c r="B10" s="2" t="s">
        <v>157</v>
      </c>
      <c r="C10" s="2"/>
      <c r="D10" s="10">
        <v>1551</v>
      </c>
      <c r="E10" s="10">
        <v>1371</v>
      </c>
      <c r="F10" s="10">
        <v>1397</v>
      </c>
      <c r="G10" s="10">
        <v>1464</v>
      </c>
      <c r="H10" s="1">
        <f>G10</f>
        <v>1464</v>
      </c>
      <c r="I10" s="27">
        <f>G10-'Cash Flow Statement'!I22-'Cash Flow Statement'!I23-'Cash Flow Statement'!I24</f>
        <v>1414</v>
      </c>
      <c r="J10" s="2"/>
    </row>
    <row r="11">
      <c r="B11" s="2" t="s">
        <v>158</v>
      </c>
      <c r="C11" s="2"/>
      <c r="D11" s="10">
        <v>4962</v>
      </c>
      <c r="E11" s="10">
        <v>5738</v>
      </c>
      <c r="F11" s="10">
        <v>5369</v>
      </c>
      <c r="G11" s="10">
        <v>5931</v>
      </c>
      <c r="H11" s="1">
        <f>G11</f>
        <v>5931</v>
      </c>
      <c r="I11" s="27">
        <f>G11-'Cash Flow Statement'!I16</f>
        <v>6081</v>
      </c>
      <c r="J11" s="2"/>
    </row>
    <row r="12">
      <c r="B12" s="2" t="s">
        <v>159</v>
      </c>
      <c r="C12" s="2"/>
      <c r="D12" s="10">
        <v>8114</v>
      </c>
      <c r="E12" s="10">
        <v>7726</v>
      </c>
      <c r="F12" s="10">
        <v>7487</v>
      </c>
      <c r="G12" s="10">
        <v>7501</v>
      </c>
      <c r="H12" s="1">
        <f>G12</f>
        <v>7501</v>
      </c>
      <c r="I12" s="27">
        <f>G12-'Cash Flow Statement'!I17</f>
        <v>7581</v>
      </c>
      <c r="J12" s="2"/>
    </row>
    <row r="13">
      <c r="B13" s="2" t="s">
        <v>160</v>
      </c>
      <c r="C13" s="2"/>
      <c r="D13" s="10">
        <v>2247</v>
      </c>
      <c r="E13" s="10">
        <v>2206</v>
      </c>
      <c r="F13" s="10">
        <v>2271</v>
      </c>
      <c r="G13" s="10">
        <v>2144</v>
      </c>
      <c r="H13" s="1">
        <f>G13</f>
        <v>2144</v>
      </c>
      <c r="I13" s="27">
        <f>G13-'Cash Flow Statement'!I18</f>
        <v>2204</v>
      </c>
      <c r="J13" s="2"/>
    </row>
    <row r="14">
      <c r="B14" s="14" t="s">
        <v>161</v>
      </c>
      <c r="C14" s="14"/>
      <c r="D14" s="18">
        <f>SUM(D9:D13)</f>
        <v>23898</v>
      </c>
      <c r="E14" s="18">
        <f>SUM(E9:E13)</f>
        <v>24015</v>
      </c>
      <c r="F14" s="18">
        <f>SUM(F9:F13)</f>
        <v>23184</v>
      </c>
      <c r="G14" s="18">
        <f>SUM(G9:G13)</f>
        <v>24603</v>
      </c>
      <c r="H14" s="18">
        <f>SUM(H9:H13)</f>
        <v>24603</v>
      </c>
      <c r="I14" s="31">
        <f>I9+I10+I11+I12+I13</f>
        <v>24985.1862023</v>
      </c>
      <c r="J14" s="2"/>
    </row>
    <row r="15">
      <c r="B15" s="2"/>
      <c r="C15" s="2"/>
      <c r="D15" s="1"/>
      <c r="E15" s="1"/>
      <c r="F15" s="1"/>
      <c r="G15" s="1"/>
      <c r="H15" s="1"/>
      <c r="I15" s="3"/>
      <c r="J15" s="2"/>
    </row>
    <row r="16">
      <c r="B16" s="2" t="s">
        <v>162</v>
      </c>
      <c r="C16" s="2"/>
      <c r="D16" s="10">
        <v>4861</v>
      </c>
      <c r="E16" s="10">
        <v>4843</v>
      </c>
      <c r="F16" s="10">
        <v>4766</v>
      </c>
      <c r="G16" s="10">
        <v>4796</v>
      </c>
      <c r="H16" s="1">
        <f>G16</f>
        <v>4796</v>
      </c>
      <c r="I16" s="27">
        <f>G16-'Cash Flow Statement'!I25-'Cash Flow Statement'!I11</f>
        <v>4786</v>
      </c>
      <c r="J16" s="2"/>
    </row>
    <row r="17">
      <c r="B17" s="2" t="s">
        <v>163</v>
      </c>
      <c r="C17" s="2"/>
      <c r="D17" s="10">
        <v>2727</v>
      </c>
      <c r="E17" s="10">
        <v>2894</v>
      </c>
      <c r="F17" s="10">
        <v>2886</v>
      </c>
      <c r="G17" s="10">
        <v>2838</v>
      </c>
      <c r="H17" s="1">
        <f>G17</f>
        <v>2838</v>
      </c>
      <c r="I17" s="3">
        <f>G17</f>
        <v>2838</v>
      </c>
      <c r="J17" s="2"/>
    </row>
    <row r="18">
      <c r="B18" s="2" t="s">
        <v>164</v>
      </c>
      <c r="C18" s="2"/>
      <c r="D18" s="10">
        <v>259</v>
      </c>
      <c r="E18" s="10">
        <v>259</v>
      </c>
      <c r="F18" s="10">
        <v>259</v>
      </c>
      <c r="G18" s="10">
        <v>259</v>
      </c>
      <c r="H18" s="1">
        <f>G18</f>
        <v>259</v>
      </c>
      <c r="I18" s="3">
        <f>G18</f>
        <v>259</v>
      </c>
      <c r="J18" s="2"/>
    </row>
    <row r="19">
      <c r="B19" s="2" t="s">
        <v>165</v>
      </c>
      <c r="C19" s="2"/>
      <c r="D19" s="10">
        <v>240</v>
      </c>
      <c r="E19" s="10">
        <v>240</v>
      </c>
      <c r="F19" s="10">
        <v>240</v>
      </c>
      <c r="G19" s="10">
        <v>240</v>
      </c>
      <c r="H19" s="1">
        <f>G19</f>
        <v>240</v>
      </c>
      <c r="I19" s="3">
        <f>G19</f>
        <v>240</v>
      </c>
      <c r="J19" s="2"/>
    </row>
    <row r="20">
      <c r="B20" s="2" t="s">
        <v>166</v>
      </c>
      <c r="C20" s="2"/>
      <c r="D20" s="10">
        <v>5349</v>
      </c>
      <c r="E20" s="10">
        <v>5536</v>
      </c>
      <c r="F20" s="10">
        <v>5729</v>
      </c>
      <c r="G20" s="10">
        <v>5674</v>
      </c>
      <c r="H20" s="1">
        <f>G20</f>
        <v>5674</v>
      </c>
      <c r="I20" s="3">
        <f>G20</f>
        <v>5674</v>
      </c>
      <c r="J20" s="2"/>
    </row>
    <row r="21">
      <c r="B21" s="14" t="s">
        <v>167</v>
      </c>
      <c r="C21" s="14"/>
      <c r="D21" s="18">
        <f>SUM(D14,D16:D20)</f>
        <v>37334</v>
      </c>
      <c r="E21" s="18">
        <f>SUM(E14,E16:E20)</f>
        <v>37787</v>
      </c>
      <c r="F21" s="18">
        <f>SUM(F14,F16:F20)</f>
        <v>37064</v>
      </c>
      <c r="G21" s="18">
        <f>SUM(G14,G16:G20)</f>
        <v>38410</v>
      </c>
      <c r="H21" s="18">
        <f>SUM(H14,H16:H20)</f>
        <v>38410</v>
      </c>
      <c r="I21" s="31">
        <f>I14+I16+I17+I18+I19+I20</f>
        <v>38782.1862023</v>
      </c>
      <c r="J21" s="2"/>
    </row>
    <row r="22">
      <c r="B22" s="2"/>
      <c r="C22" s="2"/>
      <c r="D22" s="1"/>
      <c r="E22" s="1"/>
      <c r="F22" s="1"/>
      <c r="G22" s="1"/>
      <c r="H22" s="1"/>
      <c r="I22" s="3"/>
      <c r="J22" s="2"/>
    </row>
    <row r="23">
      <c r="B23" s="2"/>
      <c r="C23" s="2"/>
      <c r="D23" s="1"/>
      <c r="E23" s="1"/>
      <c r="F23" s="1"/>
      <c r="G23" s="1"/>
      <c r="H23" s="1"/>
      <c r="I23" s="3"/>
      <c r="J23" s="2"/>
    </row>
    <row r="24">
      <c r="B24" s="2" t="s">
        <v>168</v>
      </c>
      <c r="C24" s="2"/>
      <c r="D24" s="10">
        <v>0</v>
      </c>
      <c r="E24" s="10">
        <v>999</v>
      </c>
      <c r="F24" s="10">
        <v>999</v>
      </c>
      <c r="G24" s="10">
        <v>2000</v>
      </c>
      <c r="H24" s="1">
        <f>G24</f>
        <v>2000</v>
      </c>
      <c r="I24" s="24"/>
      <c r="J24" s="2"/>
    </row>
    <row r="25">
      <c r="B25" s="2" t="s">
        <v>169</v>
      </c>
      <c r="C25" s="2"/>
      <c r="D25" s="10">
        <v>4</v>
      </c>
      <c r="E25" s="10">
        <v>0</v>
      </c>
      <c r="F25" s="10">
        <v>0</v>
      </c>
      <c r="G25" s="10">
        <v>0</v>
      </c>
      <c r="H25" s="1">
        <f>G25</f>
        <v>0</v>
      </c>
      <c r="I25" s="24"/>
      <c r="J25" s="2"/>
    </row>
    <row r="26">
      <c r="B26" s="2" t="s">
        <v>170</v>
      </c>
      <c r="C26" s="2"/>
      <c r="D26" s="10">
        <v>3772</v>
      </c>
      <c r="E26" s="10">
        <v>3717</v>
      </c>
      <c r="F26" s="10">
        <v>2888</v>
      </c>
      <c r="G26" s="10">
        <v>3600</v>
      </c>
      <c r="H26" s="1">
        <f>G26</f>
        <v>3600</v>
      </c>
      <c r="I26" s="3">
        <f>G26+I42</f>
        <v>3680</v>
      </c>
      <c r="J26" s="2"/>
    </row>
    <row r="27">
      <c r="B27" s="2" t="s">
        <v>171</v>
      </c>
      <c r="C27" s="2"/>
      <c r="D27" s="10">
        <v>506</v>
      </c>
      <c r="E27" s="10">
        <v>513</v>
      </c>
      <c r="F27" s="10">
        <v>493</v>
      </c>
      <c r="G27" s="10">
        <v>478</v>
      </c>
      <c r="H27" s="1">
        <f>G27</f>
        <v>478</v>
      </c>
      <c r="I27" s="3">
        <f>G27</f>
        <v>478</v>
      </c>
      <c r="J27" s="2"/>
    </row>
    <row r="28">
      <c r="B28" s="2" t="s">
        <v>172</v>
      </c>
      <c r="C28" s="2"/>
      <c r="D28" s="10">
        <v>5923</v>
      </c>
      <c r="E28" s="10">
        <v>5919</v>
      </c>
      <c r="F28" s="10">
        <v>6183</v>
      </c>
      <c r="G28" s="10">
        <v>6092</v>
      </c>
      <c r="H28" s="1">
        <f>G28</f>
        <v>6092</v>
      </c>
      <c r="I28" s="3">
        <f>G28+I43</f>
        <v>6172</v>
      </c>
      <c r="J28" s="2"/>
    </row>
    <row r="29">
      <c r="B29" s="2" t="s">
        <v>173</v>
      </c>
      <c r="C29" s="2"/>
      <c r="D29" s="10">
        <v>706</v>
      </c>
      <c r="E29" s="10">
        <v>492</v>
      </c>
      <c r="F29" s="10">
        <v>275</v>
      </c>
      <c r="G29" s="10">
        <v>377</v>
      </c>
      <c r="H29" s="1">
        <f>G29</f>
        <v>377</v>
      </c>
      <c r="I29" s="24"/>
      <c r="J29" s="2"/>
    </row>
    <row r="30">
      <c r="B30" s="14" t="s">
        <v>174</v>
      </c>
      <c r="C30" s="14"/>
      <c r="D30" s="18">
        <f>SUM(D24:D29)</f>
        <v>10911</v>
      </c>
      <c r="E30" s="18">
        <f>SUM(E24:E29)</f>
        <v>11640</v>
      </c>
      <c r="F30" s="18">
        <f>SUM(F24:F29)</f>
        <v>10838</v>
      </c>
      <c r="G30" s="18">
        <f>SUM(G24:G29)</f>
        <v>12547</v>
      </c>
      <c r="H30" s="18">
        <f>SUM(H24:H29)</f>
        <v>12547</v>
      </c>
      <c r="I30" s="31">
        <f>SUM(I24:I29)</f>
        <v>12707</v>
      </c>
      <c r="J30" s="2"/>
    </row>
    <row r="31">
      <c r="B31" s="2"/>
      <c r="C31" s="2"/>
      <c r="D31" s="1"/>
      <c r="E31" s="1"/>
      <c r="F31" s="1"/>
      <c r="G31" s="1"/>
      <c r="H31" s="1"/>
      <c r="I31" s="3"/>
      <c r="J31" s="2"/>
    </row>
    <row r="32">
      <c r="B32" s="2" t="s">
        <v>175</v>
      </c>
      <c r="C32" s="2"/>
      <c r="D32" s="10">
        <v>7996</v>
      </c>
      <c r="E32" s="10">
        <v>7016</v>
      </c>
      <c r="F32" s="10">
        <v>7030</v>
      </c>
      <c r="G32" s="10">
        <v>5942</v>
      </c>
      <c r="H32" s="1">
        <f>G32</f>
        <v>5942</v>
      </c>
      <c r="I32" s="24"/>
      <c r="J32" s="2"/>
    </row>
    <row r="33">
      <c r="B33" s="2" t="s">
        <v>176</v>
      </c>
      <c r="C33" s="2"/>
      <c r="D33" s="10">
        <v>2555</v>
      </c>
      <c r="E33" s="10">
        <v>2754</v>
      </c>
      <c r="F33" s="10">
        <v>2656</v>
      </c>
      <c r="G33" s="10">
        <v>2613</v>
      </c>
      <c r="H33" s="1">
        <f>G33</f>
        <v>2613</v>
      </c>
      <c r="I33" s="3">
        <f>G33</f>
        <v>2613</v>
      </c>
      <c r="J33" s="2"/>
    </row>
    <row r="34">
      <c r="B34" s="2" t="s">
        <v>177</v>
      </c>
      <c r="C34" s="2"/>
      <c r="D34" s="10">
        <v>2404</v>
      </c>
      <c r="E34" s="10">
        <v>2292</v>
      </c>
      <c r="F34" s="10">
        <v>2450</v>
      </c>
      <c r="G34" s="10">
        <v>2443</v>
      </c>
      <c r="H34" s="1">
        <f>G34</f>
        <v>2443</v>
      </c>
      <c r="I34" s="24"/>
      <c r="J34" s="2"/>
    </row>
    <row r="35">
      <c r="B35" s="14" t="s">
        <v>178</v>
      </c>
      <c r="C35" s="14"/>
      <c r="D35" s="18">
        <f>SUM(D30,D32:D34)</f>
        <v>23866</v>
      </c>
      <c r="E35" s="18">
        <f>SUM(E30,E32:E34)</f>
        <v>23702</v>
      </c>
      <c r="F35" s="18">
        <f>SUM(F30,F32:F34)</f>
        <v>22974</v>
      </c>
      <c r="G35" s="18">
        <f>SUM(G30,G32:G34)</f>
        <v>23545</v>
      </c>
      <c r="H35" s="18">
        <f>SUM(H30,H32:H34)</f>
        <v>23545</v>
      </c>
      <c r="I35" s="31">
        <f>SUM(I30,I32:I34)</f>
        <v>23705</v>
      </c>
      <c r="J35" s="2"/>
    </row>
    <row r="36">
      <c r="B36" s="14" t="s">
        <v>179</v>
      </c>
      <c r="C36" s="14"/>
      <c r="D36" s="25">
        <v>13468</v>
      </c>
      <c r="E36" s="25">
        <v>14085</v>
      </c>
      <c r="F36" s="25">
        <v>14090</v>
      </c>
      <c r="G36" s="25">
        <v>14865</v>
      </c>
      <c r="H36" s="18">
        <f>G36</f>
        <v>14865</v>
      </c>
      <c r="I36" s="38">
        <f>G36+'Income Statement'!I29+'Cash Flow Statement'!I33+'Cash Flow Statement'!I31+'Cash Flow Statement'!I13+I39</f>
        <v>15077.186202300001</v>
      </c>
      <c r="J36" s="2" t="s">
        <v>180</v>
      </c>
    </row>
    <row r="37">
      <c r="B37" s="2"/>
      <c r="C37" s="2"/>
      <c r="D37" s="1"/>
      <c r="E37" s="1"/>
      <c r="F37" s="1"/>
      <c r="G37" s="1"/>
      <c r="H37" s="1"/>
      <c r="I37" s="3"/>
      <c r="J37" s="2"/>
    </row>
    <row r="38">
      <c r="B38" s="14" t="s">
        <v>181</v>
      </c>
      <c r="C38" s="14"/>
      <c r="D38" s="18">
        <f>D21-D35-D36</f>
        <v>0</v>
      </c>
      <c r="E38" s="18">
        <f>E21-E35-E36</f>
        <v>0</v>
      </c>
      <c r="F38" s="18">
        <f>F21-F35-F36</f>
        <v>0</v>
      </c>
      <c r="G38" s="18">
        <f>G21-G35-G36</f>
        <v>0</v>
      </c>
      <c r="H38" s="18">
        <f>H21-H35-H36</f>
        <v>0</v>
      </c>
      <c r="I38" s="31">
        <f>I21-I35-I36</f>
        <v>0</v>
      </c>
      <c r="J38" s="2"/>
    </row>
    <row r="39">
      <c r="B39" s="2" t="s">
        <v>182</v>
      </c>
      <c r="C39" s="2"/>
      <c r="D39" s="1"/>
      <c r="E39" s="1"/>
      <c r="F39" s="1"/>
      <c r="G39" s="1"/>
      <c r="H39" s="1"/>
      <c r="I39" s="24">
        <v>-45</v>
      </c>
      <c r="J39" s="2" t="s">
        <v>183</v>
      </c>
    </row>
    <row r="40">
      <c r="B40" s="2"/>
      <c r="C40" s="2"/>
      <c r="D40" s="1"/>
      <c r="E40" s="1"/>
      <c r="F40" s="1"/>
      <c r="G40" s="1"/>
      <c r="H40" s="1"/>
      <c r="I40" s="3"/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 t="s">
        <v>184</v>
      </c>
      <c r="C42" s="2"/>
      <c r="D42" s="1"/>
      <c r="E42" s="1"/>
      <c r="F42" s="1"/>
      <c r="G42" s="1"/>
      <c r="H42" s="1"/>
      <c r="I42" s="24">
        <v>80</v>
      </c>
      <c r="J42" s="2"/>
    </row>
    <row r="43">
      <c r="B43" s="2" t="s">
        <v>185</v>
      </c>
      <c r="C43" s="2"/>
      <c r="D43" s="1"/>
      <c r="E43" s="1"/>
      <c r="F43" s="1"/>
      <c r="G43" s="1"/>
      <c r="H43" s="1"/>
      <c r="I43" s="24">
        <v>80</v>
      </c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J4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186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14" t="s">
        <v>187</v>
      </c>
      <c r="C9" s="14"/>
      <c r="D9" s="25">
        <v>7464</v>
      </c>
      <c r="E9" s="21">
        <f>'Balance Sheet'!D9</f>
        <v>7024</v>
      </c>
      <c r="F9" s="21">
        <f>'Balance Sheet'!E9</f>
        <v>6974</v>
      </c>
      <c r="G9" s="21">
        <f>'Balance Sheet'!F9</f>
        <v>6660</v>
      </c>
      <c r="H9" s="18">
        <f>D9</f>
        <v>7464</v>
      </c>
      <c r="I9" s="38">
        <f>'Balance Sheet'!H9</f>
        <v>7563</v>
      </c>
      <c r="J9" s="2"/>
    </row>
    <row r="10">
      <c r="B10" s="2" t="s">
        <v>188</v>
      </c>
      <c r="C10" s="2"/>
      <c r="D10" s="11">
        <f>'Income Statement'!D29</f>
        <v>727</v>
      </c>
      <c r="E10" s="11">
        <f>'Income Statement'!E29</f>
        <v>792</v>
      </c>
      <c r="F10" s="11">
        <f>'Income Statement'!F29</f>
        <v>520</v>
      </c>
      <c r="G10" s="11">
        <f>'Income Statement'!G29</f>
        <v>1069</v>
      </c>
      <c r="H10" s="11">
        <f>'Income Statement'!H29</f>
        <v>3108</v>
      </c>
      <c r="I10" s="27">
        <f>'Income Statement'!I29</f>
        <v>596.1862023000007</v>
      </c>
      <c r="J10" s="2"/>
    </row>
    <row r="11">
      <c r="B11" s="2" t="s">
        <v>189</v>
      </c>
      <c r="C11" s="2"/>
      <c r="D11" s="11">
        <f>Inputs!D90</f>
        <v>190</v>
      </c>
      <c r="E11" s="11">
        <f>Inputs!E90-Inputs!D90</f>
        <v>179</v>
      </c>
      <c r="F11" s="11">
        <f>Inputs!F90-Inputs!E90</f>
        <v>185</v>
      </c>
      <c r="G11" s="11">
        <f>Inputs!G90-Inputs!F90</f>
        <v>193</v>
      </c>
      <c r="H11" s="1">
        <f>SUM(D11:G11)</f>
        <v>747</v>
      </c>
      <c r="I11" s="24">
        <v>190</v>
      </c>
      <c r="J11" s="2"/>
    </row>
    <row r="12">
      <c r="B12" s="2" t="s">
        <v>190</v>
      </c>
      <c r="C12" s="2"/>
      <c r="D12" s="11">
        <f>Inputs!D91</f>
        <v>-25</v>
      </c>
      <c r="E12" s="11">
        <f>Inputs!E91-Inputs!D91</f>
        <v>-43</v>
      </c>
      <c r="F12" s="11">
        <f>Inputs!F91-Inputs!E91</f>
        <v>-64</v>
      </c>
      <c r="G12" s="11">
        <f>Inputs!G91-Inputs!F91</f>
        <v>36</v>
      </c>
      <c r="H12" s="1">
        <f>SUM(D12:G12)</f>
        <v>-96</v>
      </c>
      <c r="I12" s="24">
        <v>-25</v>
      </c>
      <c r="J12" s="2"/>
    </row>
    <row r="13">
      <c r="B13" s="2" t="s">
        <v>191</v>
      </c>
      <c r="C13" s="2"/>
      <c r="D13" s="11">
        <f>Inputs!D92</f>
        <v>185</v>
      </c>
      <c r="E13" s="11">
        <f>Inputs!E92-Inputs!D92</f>
        <v>176</v>
      </c>
      <c r="F13" s="11">
        <f>Inputs!F92-Inputs!E92</f>
        <v>194</v>
      </c>
      <c r="G13" s="11">
        <f>Inputs!G92-Inputs!F92</f>
        <v>160</v>
      </c>
      <c r="H13" s="1">
        <f>SUM(D13:G13)</f>
        <v>715</v>
      </c>
      <c r="I13" s="24">
        <v>180</v>
      </c>
      <c r="J13" s="2"/>
    </row>
    <row r="14">
      <c r="B14" s="2" t="s">
        <v>192</v>
      </c>
      <c r="C14" s="2"/>
      <c r="D14" s="11">
        <f>Inputs!D93</f>
        <v>8</v>
      </c>
      <c r="E14" s="11">
        <f>Inputs!E93-Inputs!D93</f>
        <v>1</v>
      </c>
      <c r="F14" s="11">
        <f>Inputs!F93-Inputs!E93</f>
        <v>31</v>
      </c>
      <c r="G14" s="11">
        <f>Inputs!G93-Inputs!F93</f>
        <v>10</v>
      </c>
      <c r="H14" s="1">
        <f>SUM(D14:G14)</f>
        <v>50</v>
      </c>
      <c r="I14" s="24">
        <v>10</v>
      </c>
      <c r="J14" s="2"/>
    </row>
    <row r="15">
      <c r="B15" s="2" t="s">
        <v>193</v>
      </c>
      <c r="C15" s="2"/>
      <c r="D15" s="11">
        <f>Inputs!D94</f>
        <v>34</v>
      </c>
      <c r="E15" s="11">
        <f>Inputs!E94-Inputs!D94</f>
        <v>20</v>
      </c>
      <c r="F15" s="11">
        <f>Inputs!F94-Inputs!E94</f>
        <v>-53</v>
      </c>
      <c r="G15" s="11">
        <f>Inputs!G94-Inputs!F94</f>
        <v>21</v>
      </c>
      <c r="H15" s="1">
        <f>SUM(D15:G15)</f>
        <v>22</v>
      </c>
      <c r="I15" s="24">
        <v>0</v>
      </c>
      <c r="J15" s="2"/>
    </row>
    <row r="16">
      <c r="B16" s="2" t="s">
        <v>194</v>
      </c>
      <c r="C16" s="2"/>
      <c r="D16" s="11">
        <f>Inputs!D95</f>
        <v>-215</v>
      </c>
      <c r="E16" s="11">
        <f>Inputs!E95-Inputs!D95</f>
        <v>-806</v>
      </c>
      <c r="F16" s="11">
        <f>Inputs!F95-Inputs!E95</f>
        <v>398</v>
      </c>
      <c r="G16" s="11">
        <f>Inputs!G95-Inputs!F95</f>
        <v>-584</v>
      </c>
      <c r="H16" s="1">
        <f>SUM(D16:G16)</f>
        <v>-1207</v>
      </c>
      <c r="I16" s="24">
        <v>-150</v>
      </c>
      <c r="J16" s="2"/>
    </row>
    <row r="17">
      <c r="B17" s="2" t="s">
        <v>195</v>
      </c>
      <c r="C17" s="2"/>
      <c r="D17" s="11">
        <f>Inputs!D96</f>
        <v>-610</v>
      </c>
      <c r="E17" s="11">
        <f>Inputs!E96-Inputs!D96</f>
        <v>353</v>
      </c>
      <c r="F17" s="11">
        <f>Inputs!F96-Inputs!E96</f>
        <v>281</v>
      </c>
      <c r="G17" s="11">
        <f>Inputs!G96-Inputs!F96</f>
        <v>-55</v>
      </c>
      <c r="H17" s="1">
        <f>SUM(D17:G17)</f>
        <v>-31</v>
      </c>
      <c r="I17" s="24">
        <v>-80</v>
      </c>
      <c r="J17" s="2"/>
    </row>
    <row r="18">
      <c r="B18" s="2" t="s">
        <v>196</v>
      </c>
      <c r="C18" s="2"/>
      <c r="D18" s="11">
        <f>Inputs!D97</f>
        <v>-165</v>
      </c>
      <c r="E18" s="11">
        <f>Inputs!E97-Inputs!D97</f>
        <v>276</v>
      </c>
      <c r="F18" s="11">
        <f>Inputs!F97-Inputs!E97</f>
        <v>149</v>
      </c>
      <c r="G18" s="11">
        <f>Inputs!G97-Inputs!F97</f>
        <v>259</v>
      </c>
      <c r="H18" s="1">
        <f>SUM(D18:G18)</f>
        <v>519</v>
      </c>
      <c r="I18" s="24">
        <v>-60</v>
      </c>
      <c r="J18" s="2"/>
    </row>
    <row r="19">
      <c r="B19" s="2" t="s">
        <v>197</v>
      </c>
      <c r="C19" s="2"/>
      <c r="D19" s="11">
        <f>Inputs!D98</f>
        <v>93</v>
      </c>
      <c r="E19" s="11">
        <f>Inputs!E98-Inputs!D98</f>
        <v>-369</v>
      </c>
      <c r="F19" s="11">
        <f>Inputs!F98-Inputs!E98</f>
        <v>-1211</v>
      </c>
      <c r="G19" s="11">
        <f>Inputs!G98-Inputs!F98</f>
        <v>528</v>
      </c>
      <c r="H19" s="1">
        <f>SUM(D19:G19)</f>
        <v>-959</v>
      </c>
      <c r="I19" s="27">
        <f>'Balance Sheet'!I42+'Balance Sheet'!I43</f>
        <v>160</v>
      </c>
      <c r="J19" s="2"/>
    </row>
    <row r="20">
      <c r="B20" s="14" t="s">
        <v>198</v>
      </c>
      <c r="C20" s="14"/>
      <c r="D20" s="18">
        <f>SUM(D10:D19)</f>
        <v>222</v>
      </c>
      <c r="E20" s="18">
        <f>SUM(E10:E19)</f>
        <v>579</v>
      </c>
      <c r="F20" s="18">
        <f>SUM(F10:F19)</f>
        <v>430</v>
      </c>
      <c r="G20" s="18">
        <f>SUM(G10:G19)</f>
        <v>1637</v>
      </c>
      <c r="H20" s="18">
        <f>SUM(H10:H19)</f>
        <v>2868</v>
      </c>
      <c r="I20" s="31">
        <f>SUM(I10:I19)</f>
        <v>821.1862023000007</v>
      </c>
      <c r="J20" s="2" t="s">
        <v>199</v>
      </c>
    </row>
    <row r="21">
      <c r="B21" s="2"/>
      <c r="C21" s="2"/>
      <c r="D21" s="1"/>
      <c r="E21" s="1"/>
      <c r="F21" s="1"/>
      <c r="G21" s="1"/>
      <c r="H21" s="1"/>
      <c r="I21" s="3"/>
      <c r="J21" s="2"/>
    </row>
    <row r="22">
      <c r="B22" s="2" t="s">
        <v>200</v>
      </c>
      <c r="C22" s="2"/>
      <c r="D22" s="11">
        <f>Inputs!D99</f>
        <v>-355</v>
      </c>
      <c r="E22" s="11">
        <f>Inputs!E99-Inputs!D99</f>
        <v>-281</v>
      </c>
      <c r="F22" s="11">
        <f>Inputs!F99-Inputs!E99</f>
        <v>-253</v>
      </c>
      <c r="G22" s="11">
        <f>Inputs!G99-Inputs!F99</f>
        <v>-427</v>
      </c>
      <c r="H22" s="1">
        <f>SUM(D22:G22)</f>
        <v>-1316</v>
      </c>
      <c r="I22" s="24">
        <v>-350</v>
      </c>
      <c r="J22" s="2"/>
    </row>
    <row r="23">
      <c r="B23" s="2" t="s">
        <v>201</v>
      </c>
      <c r="C23" s="2"/>
      <c r="D23" s="11">
        <f>Inputs!D100</f>
        <v>209</v>
      </c>
      <c r="E23" s="11">
        <f>Inputs!E100-Inputs!D100</f>
        <v>186</v>
      </c>
      <c r="F23" s="11">
        <f>Inputs!F100-Inputs!E100</f>
        <v>83</v>
      </c>
      <c r="G23" s="11">
        <f>Inputs!G100-Inputs!F100</f>
        <v>78</v>
      </c>
      <c r="H23" s="1">
        <f>SUM(D23:G23)</f>
        <v>556</v>
      </c>
      <c r="I23" s="24">
        <v>150</v>
      </c>
      <c r="J23" s="2"/>
    </row>
    <row r="24">
      <c r="B24" s="2" t="s">
        <v>202</v>
      </c>
      <c r="C24" s="2"/>
      <c r="D24" s="11">
        <f>Inputs!D101</f>
        <v>294</v>
      </c>
      <c r="E24" s="11">
        <f>Inputs!E101-Inputs!D101</f>
        <v>242</v>
      </c>
      <c r="F24" s="11">
        <f>Inputs!F101-Inputs!E101</f>
        <v>208</v>
      </c>
      <c r="G24" s="11">
        <f>Inputs!G101-Inputs!F101</f>
        <v>277</v>
      </c>
      <c r="H24" s="1">
        <f>SUM(D24:G24)</f>
        <v>1021</v>
      </c>
      <c r="I24" s="24">
        <v>250</v>
      </c>
      <c r="J24" s="2"/>
    </row>
    <row r="25">
      <c r="B25" s="2" t="s">
        <v>203</v>
      </c>
      <c r="C25" s="2"/>
      <c r="D25" s="11">
        <f>Inputs!D102</f>
        <v>-207</v>
      </c>
      <c r="E25" s="11">
        <f>Inputs!E102-Inputs!D102</f>
        <v>-193</v>
      </c>
      <c r="F25" s="11">
        <f>Inputs!F102-Inputs!E102</f>
        <v>-146</v>
      </c>
      <c r="G25" s="11">
        <f>Inputs!G102-Inputs!F102</f>
        <v>-138</v>
      </c>
      <c r="H25" s="1">
        <f>SUM(D25:G25)</f>
        <v>-684</v>
      </c>
      <c r="I25" s="24">
        <v>-180</v>
      </c>
      <c r="J25" s="2"/>
    </row>
    <row r="26">
      <c r="B26" s="2" t="s">
        <v>204</v>
      </c>
      <c r="C26" s="2"/>
      <c r="D26" s="11">
        <f>Inputs!D103</f>
        <v>0</v>
      </c>
      <c r="E26" s="11">
        <f>Inputs!E103-Inputs!D103</f>
        <v>-3</v>
      </c>
      <c r="F26" s="11">
        <f>Inputs!F103-Inputs!E103</f>
        <v>-60</v>
      </c>
      <c r="G26" s="11">
        <f>Inputs!G103-Inputs!F103</f>
        <v>-2</v>
      </c>
      <c r="H26" s="1">
        <f>SUM(D26:G26)</f>
        <v>-65</v>
      </c>
      <c r="I26" s="24">
        <v>0</v>
      </c>
      <c r="J26" s="2"/>
    </row>
    <row r="27">
      <c r="B27" s="14" t="s">
        <v>205</v>
      </c>
      <c r="C27" s="14"/>
      <c r="D27" s="18">
        <f>SUM(D22:D26)</f>
        <v>-59</v>
      </c>
      <c r="E27" s="18">
        <f>SUM(E22:E26)</f>
        <v>-49</v>
      </c>
      <c r="F27" s="18">
        <f>SUM(F22:F26)</f>
        <v>-168</v>
      </c>
      <c r="G27" s="18">
        <f>SUM(G22:G26)</f>
        <v>-212</v>
      </c>
      <c r="H27" s="18">
        <f>SUM(H22:H26)</f>
        <v>-488</v>
      </c>
      <c r="I27" s="31">
        <f>SUM(I22:I26)</f>
        <v>-130</v>
      </c>
      <c r="J27" s="2"/>
    </row>
    <row r="28">
      <c r="B28" s="2"/>
      <c r="C28" s="2"/>
      <c r="D28" s="1"/>
      <c r="E28" s="1"/>
      <c r="F28" s="1"/>
      <c r="G28" s="1"/>
      <c r="H28" s="1"/>
      <c r="I28" s="3"/>
      <c r="J28" s="2"/>
    </row>
    <row r="29">
      <c r="B29" s="2" t="s">
        <v>206</v>
      </c>
      <c r="C29" s="2"/>
      <c r="D29" s="11">
        <f>Inputs!D104</f>
        <v>-1</v>
      </c>
      <c r="E29" s="11">
        <f>Inputs!E104-Inputs!D104</f>
        <v>-3</v>
      </c>
      <c r="F29" s="11">
        <f>Inputs!F104-Inputs!E104</f>
        <v>0</v>
      </c>
      <c r="G29" s="11">
        <f>Inputs!G104-Inputs!F104</f>
        <v>4</v>
      </c>
      <c r="H29" s="1">
        <f>SUM(D29:G29)</f>
        <v>0</v>
      </c>
      <c r="I29" s="24">
        <v>0</v>
      </c>
      <c r="J29" s="2"/>
    </row>
    <row r="30">
      <c r="B30" s="2" t="s">
        <v>207</v>
      </c>
      <c r="C30" s="2"/>
      <c r="D30" s="11">
        <f>Inputs!D105</f>
        <v>0</v>
      </c>
      <c r="E30" s="11">
        <f>Inputs!E105-Inputs!D105</f>
        <v>0</v>
      </c>
      <c r="F30" s="11">
        <f>Inputs!F105-Inputs!E105</f>
        <v>0</v>
      </c>
      <c r="G30" s="11">
        <f>Inputs!G105-Inputs!F105</f>
        <v>0</v>
      </c>
      <c r="H30" s="1">
        <f>SUM(D30:G30)</f>
        <v>0</v>
      </c>
      <c r="I30" s="24">
        <v>0</v>
      </c>
      <c r="J30" s="2"/>
    </row>
    <row r="31">
      <c r="B31" s="2" t="s">
        <v>208</v>
      </c>
      <c r="C31" s="2"/>
      <c r="D31" s="11">
        <f>Inputs!D106</f>
        <v>127</v>
      </c>
      <c r="E31" s="11">
        <f>Inputs!E106-Inputs!D106</f>
        <v>107</v>
      </c>
      <c r="F31" s="11">
        <f>Inputs!F106-Inputs!E106</f>
        <v>17</v>
      </c>
      <c r="G31" s="11">
        <f>Inputs!G106-Inputs!F106</f>
        <v>103</v>
      </c>
      <c r="H31" s="1">
        <f>SUM(D31:G31)</f>
        <v>354</v>
      </c>
      <c r="I31" s="24">
        <v>90</v>
      </c>
      <c r="J31" s="2"/>
    </row>
    <row r="32">
      <c r="B32" s="2" t="s">
        <v>209</v>
      </c>
      <c r="C32" s="2"/>
      <c r="D32" s="11">
        <f>Inputs!D107</f>
        <v>-126</v>
      </c>
      <c r="E32" s="11">
        <f>Inputs!E107-Inputs!D107</f>
        <v>-20</v>
      </c>
      <c r="F32" s="11">
        <f>Inputs!F107-Inputs!E107</f>
        <v>0</v>
      </c>
      <c r="G32" s="11">
        <f>Inputs!G107-Inputs!F107</f>
        <v>0</v>
      </c>
      <c r="H32" s="1">
        <f>SUM(D32:G32)</f>
        <v>-146</v>
      </c>
      <c r="I32" s="24">
        <v>0</v>
      </c>
      <c r="J32" s="2"/>
    </row>
    <row r="33">
      <c r="B33" s="2" t="s">
        <v>210</v>
      </c>
      <c r="C33" s="2"/>
      <c r="D33" s="11">
        <f>Inputs!D108</f>
        <v>-591</v>
      </c>
      <c r="E33" s="11">
        <f>Inputs!E108-Inputs!D108</f>
        <v>-598</v>
      </c>
      <c r="F33" s="11">
        <f>Inputs!F108-Inputs!E108</f>
        <v>-609</v>
      </c>
      <c r="G33" s="11">
        <f>Inputs!G108-Inputs!F108</f>
        <v>-609</v>
      </c>
      <c r="H33" s="1">
        <f>SUM(D33:G33)</f>
        <v>-2407</v>
      </c>
      <c r="I33" s="24">
        <v>-609</v>
      </c>
      <c r="J33" s="2"/>
    </row>
    <row r="34">
      <c r="B34" s="2" t="s">
        <v>211</v>
      </c>
      <c r="C34" s="2"/>
      <c r="D34" s="11">
        <f>Inputs!D109</f>
        <v>-7</v>
      </c>
      <c r="E34" s="11">
        <f>Inputs!E109-Inputs!D109</f>
        <v>-65</v>
      </c>
      <c r="F34" s="11">
        <f>Inputs!F109-Inputs!E109</f>
        <v>-9</v>
      </c>
      <c r="G34" s="11">
        <f>Inputs!G109-Inputs!F109</f>
        <v>-12</v>
      </c>
      <c r="H34" s="1">
        <f>SUM(D34:G34)</f>
        <v>-93</v>
      </c>
      <c r="I34" s="24">
        <v>-30</v>
      </c>
      <c r="J34" s="2"/>
    </row>
    <row r="35">
      <c r="B35" s="14" t="s">
        <v>212</v>
      </c>
      <c r="C35" s="14"/>
      <c r="D35" s="18">
        <f>SUM(D29:D34)</f>
        <v>-598</v>
      </c>
      <c r="E35" s="18">
        <f>SUM(E29:E34)</f>
        <v>-579</v>
      </c>
      <c r="F35" s="18">
        <f>SUM(F29:F34)</f>
        <v>-601</v>
      </c>
      <c r="G35" s="18">
        <f>SUM(G29:G34)</f>
        <v>-514</v>
      </c>
      <c r="H35" s="18">
        <f>SUM(H29:H34)</f>
        <v>-2292</v>
      </c>
      <c r="I35" s="31">
        <f>SUM(I29:I34)</f>
        <v>-549</v>
      </c>
      <c r="J35" s="2"/>
    </row>
    <row r="36">
      <c r="B36" s="2"/>
      <c r="C36" s="2"/>
      <c r="D36" s="1"/>
      <c r="E36" s="1"/>
      <c r="F36" s="1"/>
      <c r="G36" s="1"/>
      <c r="H36" s="1"/>
      <c r="I36" s="3"/>
      <c r="J36" s="2"/>
    </row>
    <row r="37">
      <c r="B37" s="2" t="s">
        <v>213</v>
      </c>
      <c r="C37" s="2"/>
      <c r="D37" s="11">
        <f>Inputs!D110</f>
        <v>-5</v>
      </c>
      <c r="E37" s="11">
        <f>Inputs!E110-Inputs!D110</f>
        <v>-1</v>
      </c>
      <c r="F37" s="11">
        <f>Inputs!F110-Inputs!E110</f>
        <v>25</v>
      </c>
      <c r="G37" s="11">
        <f>Inputs!G110-Inputs!F110</f>
        <v>-8</v>
      </c>
      <c r="H37" s="1">
        <f>SUM(D37:G37)</f>
        <v>11</v>
      </c>
      <c r="I37" s="24">
        <v>0</v>
      </c>
      <c r="J37" s="2"/>
    </row>
    <row r="38">
      <c r="B38" s="14" t="s">
        <v>214</v>
      </c>
      <c r="C38" s="14"/>
      <c r="D38" s="18">
        <f>SUM(D20,D27,D35,D37)</f>
        <v>-440</v>
      </c>
      <c r="E38" s="18">
        <f>SUM(E20,E27,E35,E37)</f>
        <v>-50</v>
      </c>
      <c r="F38" s="18">
        <f>SUM(F20,F27,F35,F37)</f>
        <v>-314</v>
      </c>
      <c r="G38" s="18">
        <f>SUM(G20,G27,G35,G37)</f>
        <v>903</v>
      </c>
      <c r="H38" s="18">
        <f>SUM(H20,H27,H35,H37)</f>
        <v>99</v>
      </c>
      <c r="I38" s="31">
        <f>SUM(I20,I27,I35,I37)</f>
        <v>142.18620230000067</v>
      </c>
      <c r="J38" s="2"/>
    </row>
    <row r="39">
      <c r="B39" s="14" t="s">
        <v>215</v>
      </c>
      <c r="C39" s="14"/>
      <c r="D39" s="18">
        <f>D9+D38</f>
        <v>7024</v>
      </c>
      <c r="E39" s="18">
        <f>E9+E38</f>
        <v>6974</v>
      </c>
      <c r="F39" s="18">
        <f>F9+F38</f>
        <v>6660</v>
      </c>
      <c r="G39" s="18">
        <f>G9+G38</f>
        <v>7563</v>
      </c>
      <c r="H39" s="18">
        <f>H9+H38</f>
        <v>7563</v>
      </c>
      <c r="I39" s="31">
        <f>I9+I38</f>
        <v>7705.1862023</v>
      </c>
      <c r="J39" s="2" t="s">
        <v>216</v>
      </c>
    </row>
    <row r="40">
      <c r="B40" s="14" t="s">
        <v>217</v>
      </c>
      <c r="C40" s="14"/>
      <c r="D40" s="21">
        <f>D39-'Balance Sheet'!D9</f>
        <v>0</v>
      </c>
      <c r="E40" s="21">
        <f>E39-'Balance Sheet'!E9</f>
        <v>0</v>
      </c>
      <c r="F40" s="21">
        <f>F39-'Balance Sheet'!F9</f>
        <v>0</v>
      </c>
      <c r="G40" s="21">
        <f>G39-'Balance Sheet'!G9</f>
        <v>0</v>
      </c>
      <c r="H40" s="21">
        <f>H39-'Balance Sheet'!H9</f>
        <v>0</v>
      </c>
      <c r="I40" s="38">
        <f>I39-'Balance Sheet'!I9</f>
        <v>0</v>
      </c>
      <c r="J40" s="2"/>
    </row>
    <row r="41">
      <c r="B41" s="2"/>
      <c r="C41" s="2"/>
      <c r="D41" s="1"/>
      <c r="E41" s="1"/>
      <c r="F41" s="1"/>
      <c r="G41" s="1"/>
      <c r="H41" s="1"/>
      <c r="I41" s="3"/>
      <c r="J41" s="2"/>
    </row>
    <row r="42">
      <c r="B42" s="2"/>
      <c r="C42" s="2"/>
      <c r="D42" s="1"/>
      <c r="E42" s="1"/>
      <c r="F42" s="1"/>
      <c r="G42" s="1"/>
      <c r="H42" s="1"/>
      <c r="I42" s="3"/>
      <c r="J42" s="2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J59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218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50</v>
      </c>
      <c r="C9" s="2"/>
      <c r="D9" s="11">
        <f>'Revenue summary'!D9</f>
        <v>5020</v>
      </c>
      <c r="E9" s="11">
        <f>'Revenue summary'!E9</f>
        <v>5633</v>
      </c>
      <c r="F9" s="11">
        <f>'Revenue summary'!F9</f>
        <v>5026</v>
      </c>
      <c r="G9" s="11">
        <f>'Revenue summary'!G9</f>
        <v>4832</v>
      </c>
      <c r="H9" s="11">
        <f>'Revenue summary'!H9</f>
        <v>20511</v>
      </c>
      <c r="I9" s="27">
        <f>'Revenue summary'!I9</f>
        <v>5135.14</v>
      </c>
      <c r="J9" s="2"/>
    </row>
    <row r="10">
      <c r="B10" s="2" t="s">
        <v>219</v>
      </c>
      <c r="C10" s="2"/>
      <c r="D10" s="36">
        <f>D9/'Revenue summary'!D66</f>
        <v>0.4283276450511945</v>
      </c>
      <c r="E10" s="36">
        <f>E9/'Revenue summary'!E66</f>
        <v>0.4532871972318339</v>
      </c>
      <c r="F10" s="36">
        <f>F9/'Revenue summary'!F66</f>
        <v>0.44560688004255694</v>
      </c>
      <c r="G10" s="36">
        <f>G9/'Revenue summary'!G66</f>
        <v>0.44039372949325556</v>
      </c>
      <c r="H10" s="36">
        <f>H9/'Revenue summary'!H66</f>
        <v>0.4420664683822579</v>
      </c>
      <c r="I10" s="39">
        <f>I9/'Revenue summary'!I66</f>
        <v>0.45501298102908994</v>
      </c>
      <c r="J10" s="2"/>
    </row>
    <row r="11">
      <c r="B11" s="2" t="s">
        <v>51</v>
      </c>
      <c r="C11" s="2"/>
      <c r="D11" s="29"/>
      <c r="E11" s="29"/>
      <c r="F11" s="29"/>
      <c r="G11" s="29"/>
      <c r="H11" s="29"/>
      <c r="I11" s="15">
        <f>I9/D9-1</f>
        <v>0.022936254980079784</v>
      </c>
      <c r="J11" s="2"/>
    </row>
    <row r="12">
      <c r="B12" s="2" t="s">
        <v>56</v>
      </c>
      <c r="C12" s="2"/>
      <c r="D12" s="29"/>
      <c r="E12" s="29"/>
      <c r="F12" s="29"/>
      <c r="G12" s="29"/>
      <c r="H12" s="29"/>
      <c r="I12" s="30">
        <v>0</v>
      </c>
      <c r="J12" s="2"/>
    </row>
    <row r="13">
      <c r="B13" s="2" t="s">
        <v>54</v>
      </c>
      <c r="C13" s="2"/>
      <c r="D13" s="29"/>
      <c r="E13" s="29"/>
      <c r="F13" s="29"/>
      <c r="G13" s="29"/>
      <c r="H13" s="29"/>
      <c r="I13" s="15">
        <f>(1+I11)/(1+I12)-1</f>
        <v>0.022936254980079784</v>
      </c>
      <c r="J13" s="2"/>
    </row>
    <row r="14">
      <c r="B14" s="2"/>
      <c r="C14" s="2"/>
      <c r="D14" s="1"/>
      <c r="E14" s="1"/>
      <c r="F14" s="1"/>
      <c r="G14" s="1"/>
      <c r="H14" s="1"/>
      <c r="I14" s="3"/>
      <c r="J14" s="2"/>
    </row>
    <row r="15">
      <c r="B15" s="2" t="s">
        <v>58</v>
      </c>
      <c r="C15" s="2"/>
      <c r="D15" s="11">
        <f>'Revenue summary'!D17</f>
        <v>3331</v>
      </c>
      <c r="E15" s="11">
        <f>'Revenue summary'!E17</f>
        <v>3392</v>
      </c>
      <c r="F15" s="11">
        <f>'Revenue summary'!F17</f>
        <v>2874</v>
      </c>
      <c r="G15" s="11">
        <f>'Revenue summary'!G17</f>
        <v>2975</v>
      </c>
      <c r="H15" s="11">
        <f>'Revenue summary'!H17</f>
        <v>12572</v>
      </c>
      <c r="I15" s="27">
        <f>'Revenue summary'!I17</f>
        <v>3135.09</v>
      </c>
      <c r="J15" s="2"/>
    </row>
    <row r="16">
      <c r="B16" s="2" t="s">
        <v>219</v>
      </c>
      <c r="C16" s="2"/>
      <c r="D16" s="36">
        <f>D15/'Revenue summary'!D66</f>
        <v>0.2842150170648464</v>
      </c>
      <c r="E16" s="36">
        <f>E15/'Revenue summary'!E66</f>
        <v>0.27295405166170433</v>
      </c>
      <c r="F16" s="36">
        <f>F15/'Revenue summary'!F66</f>
        <v>0.25480982356591897</v>
      </c>
      <c r="G16" s="36">
        <f>G15/'Revenue summary'!G66</f>
        <v>0.271144732045206</v>
      </c>
      <c r="H16" s="36">
        <f>H15/'Revenue summary'!H66</f>
        <v>0.2709599551704815</v>
      </c>
      <c r="I16" s="39">
        <f>I15/'Revenue summary'!I66</f>
        <v>0.27779313644700815</v>
      </c>
      <c r="J16" s="2"/>
    </row>
    <row r="17">
      <c r="B17" s="2" t="s">
        <v>51</v>
      </c>
      <c r="C17" s="2"/>
      <c r="D17" s="29"/>
      <c r="E17" s="29"/>
      <c r="F17" s="29"/>
      <c r="G17" s="29"/>
      <c r="H17" s="29"/>
      <c r="I17" s="15">
        <f>I15/D15-1</f>
        <v>-0.05881416991894317</v>
      </c>
      <c r="J17" s="2"/>
    </row>
    <row r="18">
      <c r="B18" s="2" t="s">
        <v>56</v>
      </c>
      <c r="C18" s="2"/>
      <c r="D18" s="29"/>
      <c r="E18" s="29"/>
      <c r="F18" s="29"/>
      <c r="G18" s="29"/>
      <c r="H18" s="29"/>
      <c r="I18" s="30">
        <v>0</v>
      </c>
      <c r="J18" s="2"/>
    </row>
    <row r="19">
      <c r="B19" s="2" t="s">
        <v>54</v>
      </c>
      <c r="C19" s="2"/>
      <c r="D19" s="29"/>
      <c r="E19" s="29"/>
      <c r="F19" s="29"/>
      <c r="G19" s="29"/>
      <c r="H19" s="29"/>
      <c r="I19" s="15">
        <f>(1+I17)/(1+I18)-1</f>
        <v>-0.05881416991894317</v>
      </c>
      <c r="J19" s="2"/>
    </row>
    <row r="20">
      <c r="B20" s="2"/>
      <c r="C20" s="2"/>
      <c r="D20" s="1"/>
      <c r="E20" s="1"/>
      <c r="F20" s="1"/>
      <c r="G20" s="1"/>
      <c r="H20" s="1"/>
      <c r="I20" s="3"/>
      <c r="J20" s="2"/>
    </row>
    <row r="21">
      <c r="B21" s="2" t="s">
        <v>59</v>
      </c>
      <c r="C21" s="2"/>
      <c r="D21" s="11">
        <f>'Revenue summary'!D25</f>
        <v>1512</v>
      </c>
      <c r="E21" s="11">
        <f>'Revenue summary'!E25</f>
        <v>1423</v>
      </c>
      <c r="F21" s="11">
        <f>'Revenue summary'!F25</f>
        <v>1615</v>
      </c>
      <c r="G21" s="11">
        <f>'Revenue summary'!G25</f>
        <v>1297</v>
      </c>
      <c r="H21" s="11">
        <f>'Revenue summary'!H25</f>
        <v>5847</v>
      </c>
      <c r="I21" s="27">
        <f>'Revenue summary'!I25</f>
        <v>1270.0300000000002</v>
      </c>
      <c r="J21" s="2"/>
    </row>
    <row r="22">
      <c r="B22" s="2" t="s">
        <v>219</v>
      </c>
      <c r="C22" s="2"/>
      <c r="D22" s="36">
        <f>D21/'Revenue summary'!D66</f>
        <v>0.12901023890784982</v>
      </c>
      <c r="E22" s="36">
        <f>E21/'Revenue summary'!E66</f>
        <v>0.11450873098897561</v>
      </c>
      <c r="F22" s="36">
        <f>F21/'Revenue summary'!F66</f>
        <v>0.14318645269970742</v>
      </c>
      <c r="G22" s="36">
        <f>G21/'Revenue summary'!G66</f>
        <v>0.11820998906306963</v>
      </c>
      <c r="H22" s="36">
        <f>H21/'Revenue summary'!H66</f>
        <v>0.12601836286046814</v>
      </c>
      <c r="I22" s="39">
        <f>I21/'Revenue summary'!I66</f>
        <v>0.1125344462461345</v>
      </c>
      <c r="J22" s="2"/>
    </row>
    <row r="23">
      <c r="B23" s="2" t="s">
        <v>51</v>
      </c>
      <c r="C23" s="2"/>
      <c r="D23" s="29"/>
      <c r="E23" s="29"/>
      <c r="F23" s="29"/>
      <c r="G23" s="29"/>
      <c r="H23" s="29"/>
      <c r="I23" s="15">
        <f>I21/D21-1</f>
        <v>-0.16003306878306867</v>
      </c>
      <c r="J23" s="2"/>
    </row>
    <row r="24">
      <c r="B24" s="2" t="s">
        <v>56</v>
      </c>
      <c r="C24" s="2"/>
      <c r="D24" s="29"/>
      <c r="E24" s="29"/>
      <c r="F24" s="29"/>
      <c r="G24" s="29"/>
      <c r="H24" s="29"/>
      <c r="I24" s="30">
        <v>0</v>
      </c>
      <c r="J24" s="2"/>
    </row>
    <row r="25">
      <c r="B25" s="2" t="s">
        <v>54</v>
      </c>
      <c r="C25" s="2"/>
      <c r="D25" s="29"/>
      <c r="E25" s="29"/>
      <c r="F25" s="29"/>
      <c r="G25" s="29"/>
      <c r="H25" s="29"/>
      <c r="I25" s="15">
        <f>(1+I23)/(1+I24)-1</f>
        <v>-0.16003306878306867</v>
      </c>
      <c r="J25" s="2"/>
    </row>
    <row r="26">
      <c r="B26" s="2"/>
      <c r="C26" s="2"/>
      <c r="D26" s="1"/>
      <c r="E26" s="1"/>
      <c r="F26" s="1"/>
      <c r="G26" s="1"/>
      <c r="H26" s="1"/>
      <c r="I26" s="3"/>
      <c r="J26" s="2"/>
    </row>
    <row r="27">
      <c r="B27" s="2" t="s">
        <v>60</v>
      </c>
      <c r="C27" s="2"/>
      <c r="D27" s="11">
        <f>'Revenue summary'!D33</f>
        <v>1490</v>
      </c>
      <c r="E27" s="11">
        <f>'Revenue summary'!E33</f>
        <v>1667</v>
      </c>
      <c r="F27" s="11">
        <f>'Revenue summary'!F33</f>
        <v>1490</v>
      </c>
      <c r="G27" s="11">
        <f>'Revenue summary'!G33</f>
        <v>1596</v>
      </c>
      <c r="H27" s="11">
        <f>'Revenue summary'!H33</f>
        <v>6243</v>
      </c>
      <c r="I27" s="27">
        <f>'Revenue summary'!I33</f>
        <v>1469.59</v>
      </c>
      <c r="J27" s="2"/>
    </row>
    <row r="28">
      <c r="B28" s="2" t="s">
        <v>219</v>
      </c>
      <c r="C28" s="2"/>
      <c r="D28" s="36">
        <f>D27/'Revenue summary'!D66</f>
        <v>0.12713310580204779</v>
      </c>
      <c r="E28" s="36">
        <f>E27/'Revenue summary'!E66</f>
        <v>0.13414339744105577</v>
      </c>
      <c r="F28" s="36">
        <f>F27/'Revenue summary'!F66</f>
        <v>0.1321039099210923</v>
      </c>
      <c r="G28" s="36">
        <f>G27/'Revenue summary'!G66</f>
        <v>0.14546117389719285</v>
      </c>
      <c r="H28" s="36">
        <f>H27/'Revenue summary'!H66</f>
        <v>0.13455321350058191</v>
      </c>
      <c r="I28" s="39">
        <f>I27/'Revenue summary'!I66</f>
        <v>0.1302170002746839</v>
      </c>
      <c r="J28" s="2"/>
    </row>
    <row r="29">
      <c r="B29" s="2" t="s">
        <v>51</v>
      </c>
      <c r="C29" s="2"/>
      <c r="D29" s="29"/>
      <c r="E29" s="29"/>
      <c r="F29" s="29"/>
      <c r="G29" s="29"/>
      <c r="H29" s="29"/>
      <c r="I29" s="15">
        <f>I27/D27-1</f>
        <v>-0.013697986577181243</v>
      </c>
      <c r="J29" s="2"/>
    </row>
    <row r="30">
      <c r="B30" s="2" t="s">
        <v>56</v>
      </c>
      <c r="C30" s="2"/>
      <c r="D30" s="29"/>
      <c r="E30" s="29"/>
      <c r="F30" s="29"/>
      <c r="G30" s="29"/>
      <c r="H30" s="29"/>
      <c r="I30" s="30">
        <v>0</v>
      </c>
      <c r="J30" s="2"/>
    </row>
    <row r="31">
      <c r="B31" s="2" t="s">
        <v>54</v>
      </c>
      <c r="C31" s="2"/>
      <c r="D31" s="29"/>
      <c r="E31" s="29"/>
      <c r="F31" s="29"/>
      <c r="G31" s="29"/>
      <c r="H31" s="29"/>
      <c r="I31" s="15">
        <f>(1+I29)/(1+I30)-1</f>
        <v>-0.013697986577181243</v>
      </c>
      <c r="J31" s="2"/>
    </row>
    <row r="32">
      <c r="B32" s="2"/>
      <c r="C32" s="2"/>
      <c r="D32" s="1"/>
      <c r="E32" s="1"/>
      <c r="F32" s="1"/>
      <c r="G32" s="1"/>
      <c r="H32" s="1"/>
      <c r="I32" s="3"/>
      <c r="J32" s="2"/>
    </row>
    <row r="33">
      <c r="B33" s="2" t="s">
        <v>61</v>
      </c>
      <c r="C33" s="2"/>
      <c r="D33" s="11">
        <f>'Revenue summary'!D41</f>
        <v>9</v>
      </c>
      <c r="E33" s="11">
        <f>'Revenue summary'!E41</f>
        <v>9</v>
      </c>
      <c r="F33" s="11">
        <f>'Revenue summary'!F41</f>
        <v>7</v>
      </c>
      <c r="G33" s="11">
        <f>'Revenue summary'!G41</f>
        <v>24</v>
      </c>
      <c r="H33" s="11">
        <f>'Revenue summary'!H41</f>
        <v>49</v>
      </c>
      <c r="I33" s="27">
        <f>'Revenue summary'!I41</f>
        <v>9.9</v>
      </c>
      <c r="J33" s="2"/>
    </row>
    <row r="34">
      <c r="B34" s="2" t="s">
        <v>219</v>
      </c>
      <c r="C34" s="2"/>
      <c r="D34" s="36">
        <f>D33/'Revenue summary'!D66</f>
        <v>0.0007679180887372013</v>
      </c>
      <c r="E34" s="36">
        <f>E33/'Revenue summary'!E66</f>
        <v>0.0007242295002816448</v>
      </c>
      <c r="F34" s="36">
        <f>F33/'Revenue summary'!F66</f>
        <v>0.000620622395602447</v>
      </c>
      <c r="G34" s="36">
        <f>G33/'Revenue summary'!G66</f>
        <v>0.002187386073641998</v>
      </c>
      <c r="H34" s="36">
        <f>H33/'Revenue summary'!H66</f>
        <v>0.0010560800034484245</v>
      </c>
      <c r="I34" s="39">
        <f>I33/'Revenue summary'!I66</f>
        <v>0.0008772163002737978</v>
      </c>
      <c r="J34" s="2"/>
    </row>
    <row r="35">
      <c r="B35" s="2" t="s">
        <v>51</v>
      </c>
      <c r="C35" s="2"/>
      <c r="D35" s="29"/>
      <c r="E35" s="29"/>
      <c r="F35" s="29"/>
      <c r="G35" s="29"/>
      <c r="H35" s="29"/>
      <c r="I35" s="15">
        <f>I33/D33-1</f>
        <v>0.10000000000000009</v>
      </c>
      <c r="J35" s="2"/>
    </row>
    <row r="36">
      <c r="B36" s="2" t="s">
        <v>56</v>
      </c>
      <c r="C36" s="2"/>
      <c r="D36" s="29"/>
      <c r="E36" s="29"/>
      <c r="F36" s="29"/>
      <c r="G36" s="29"/>
      <c r="H36" s="29"/>
      <c r="I36" s="30">
        <v>0</v>
      </c>
      <c r="J36" s="2"/>
    </row>
    <row r="37">
      <c r="B37" s="2" t="s">
        <v>54</v>
      </c>
      <c r="C37" s="2"/>
      <c r="D37" s="29"/>
      <c r="E37" s="29"/>
      <c r="F37" s="29"/>
      <c r="G37" s="29"/>
      <c r="H37" s="29"/>
      <c r="I37" s="15">
        <f>(1+I35)/(1+I36)-1</f>
        <v>0.10000000000000009</v>
      </c>
      <c r="J37" s="2"/>
    </row>
    <row r="38">
      <c r="B38" s="2"/>
      <c r="C38" s="2"/>
      <c r="D38" s="1"/>
      <c r="E38" s="1"/>
      <c r="F38" s="1"/>
      <c r="G38" s="1"/>
      <c r="H38" s="1"/>
      <c r="I38" s="3"/>
      <c r="J38" s="2"/>
    </row>
    <row r="39">
      <c r="B39" s="2" t="s">
        <v>63</v>
      </c>
      <c r="C39" s="2"/>
      <c r="D39" s="11">
        <f>'Revenue summary'!D49</f>
        <v>366</v>
      </c>
      <c r="E39" s="11">
        <f>'Revenue summary'!E49</f>
        <v>300</v>
      </c>
      <c r="F39" s="11">
        <f>'Revenue summary'!F49</f>
        <v>264</v>
      </c>
      <c r="G39" s="11">
        <f>'Revenue summary'!G49</f>
        <v>244</v>
      </c>
      <c r="H39" s="11">
        <f>'Revenue summary'!H49</f>
        <v>1174</v>
      </c>
      <c r="I39" s="27">
        <f>'Revenue summary'!I49</f>
        <v>273.95</v>
      </c>
      <c r="J39" s="2"/>
    </row>
    <row r="40">
      <c r="B40" s="2" t="s">
        <v>219</v>
      </c>
      <c r="C40" s="2"/>
      <c r="D40" s="36">
        <f>D39/'Revenue summary'!D66</f>
        <v>0.031228668941979523</v>
      </c>
      <c r="E40" s="36">
        <f>E39/'Revenue summary'!E66</f>
        <v>0.024140983342721495</v>
      </c>
      <c r="F40" s="36">
        <f>F39/'Revenue summary'!F66</f>
        <v>0.023406330348435145</v>
      </c>
      <c r="G40" s="36">
        <f>G39/'Revenue summary'!G66</f>
        <v>0.022238425082026978</v>
      </c>
      <c r="H40" s="36">
        <f>H39/'Revenue summary'!H66</f>
        <v>0.025302814776498986</v>
      </c>
      <c r="I40" s="39">
        <f>I39/'Revenue summary'!I66</f>
        <v>0.024274081359596654</v>
      </c>
      <c r="J40" s="2"/>
    </row>
    <row r="41">
      <c r="B41" s="2" t="s">
        <v>51</v>
      </c>
      <c r="C41" s="2"/>
      <c r="D41" s="29"/>
      <c r="E41" s="29"/>
      <c r="F41" s="29"/>
      <c r="G41" s="29"/>
      <c r="H41" s="29"/>
      <c r="I41" s="15">
        <f>I39/D39-1</f>
        <v>-0.2515027322404372</v>
      </c>
      <c r="J41" s="2"/>
    </row>
    <row r="42">
      <c r="B42" s="2" t="s">
        <v>56</v>
      </c>
      <c r="C42" s="2"/>
      <c r="D42" s="29"/>
      <c r="E42" s="29"/>
      <c r="F42" s="29"/>
      <c r="G42" s="29"/>
      <c r="H42" s="29"/>
      <c r="I42" s="30">
        <v>0</v>
      </c>
      <c r="J42" s="2"/>
    </row>
    <row r="43">
      <c r="B43" s="2" t="s">
        <v>54</v>
      </c>
      <c r="C43" s="2"/>
      <c r="D43" s="29"/>
      <c r="E43" s="29"/>
      <c r="F43" s="29"/>
      <c r="G43" s="29"/>
      <c r="H43" s="29"/>
      <c r="I43" s="15">
        <f>(1+I41)/(1+I42)-1</f>
        <v>-0.2515027322404372</v>
      </c>
      <c r="J43" s="2"/>
    </row>
    <row r="44">
      <c r="B44" s="2"/>
      <c r="C44" s="2"/>
      <c r="D44" s="1"/>
      <c r="E44" s="1"/>
      <c r="F44" s="1"/>
      <c r="G44" s="1"/>
      <c r="H44" s="1"/>
      <c r="I44" s="3"/>
      <c r="J44" s="2"/>
    </row>
    <row r="45">
      <c r="B45" s="2" t="s">
        <v>64</v>
      </c>
      <c r="C45" s="2"/>
      <c r="D45" s="11">
        <f>'Revenue summary'!D57</f>
        <v>-8</v>
      </c>
      <c r="E45" s="11">
        <f>'Revenue summary'!E57</f>
        <v>3</v>
      </c>
      <c r="F45" s="11">
        <f>'Revenue summary'!F57</f>
        <v>3</v>
      </c>
      <c r="G45" s="11">
        <f>'Revenue summary'!G57</f>
        <v>4</v>
      </c>
      <c r="H45" s="11">
        <f>'Revenue summary'!H57</f>
        <v>2</v>
      </c>
      <c r="I45" s="27">
        <f>'Revenue summary'!I57</f>
        <v>-8</v>
      </c>
      <c r="J45" s="2"/>
    </row>
    <row r="46">
      <c r="B46" s="2" t="s">
        <v>219</v>
      </c>
      <c r="C46" s="2"/>
      <c r="D46" s="36">
        <f>D45/'Revenue summary'!D66</f>
        <v>-0.0006825938566552901</v>
      </c>
      <c r="E46" s="36">
        <f>E45/'Revenue summary'!E66</f>
        <v>0.00024140983342721493</v>
      </c>
      <c r="F46" s="36">
        <f>F45/'Revenue summary'!F66</f>
        <v>0.00026598102668676303</v>
      </c>
      <c r="G46" s="36">
        <f>G45/'Revenue summary'!G66</f>
        <v>0.0003645643456069996</v>
      </c>
      <c r="H46" s="36">
        <f>H45/'Revenue summary'!H66</f>
        <v>0.000043105306263201</v>
      </c>
      <c r="I46" s="39">
        <f>I45/'Revenue summary'!I66</f>
        <v>-0.0007088616567869073</v>
      </c>
      <c r="J46" s="2"/>
    </row>
    <row r="47">
      <c r="B47" s="2" t="s">
        <v>51</v>
      </c>
      <c r="C47" s="2"/>
      <c r="D47" s="29"/>
      <c r="E47" s="29"/>
      <c r="F47" s="29"/>
      <c r="G47" s="29"/>
      <c r="H47" s="29"/>
      <c r="I47" s="15">
        <f>I45/D45-1</f>
        <v>0</v>
      </c>
      <c r="J47" s="2"/>
    </row>
    <row r="48">
      <c r="B48" s="2" t="s">
        <v>56</v>
      </c>
      <c r="C48" s="2"/>
      <c r="D48" s="29"/>
      <c r="E48" s="29"/>
      <c r="F48" s="29"/>
      <c r="G48" s="29"/>
      <c r="H48" s="29"/>
      <c r="I48" s="30">
        <v>0</v>
      </c>
      <c r="J48" s="2"/>
    </row>
    <row r="49">
      <c r="B49" s="2" t="s">
        <v>54</v>
      </c>
      <c r="C49" s="2"/>
      <c r="D49" s="29"/>
      <c r="E49" s="29"/>
      <c r="F49" s="29"/>
      <c r="G49" s="29"/>
      <c r="H49" s="29"/>
      <c r="I49" s="15">
        <f>(1+I47)/(1+I48)-1</f>
        <v>0</v>
      </c>
      <c r="J49" s="2"/>
    </row>
    <row r="50">
      <c r="B50" s="2"/>
      <c r="C50" s="2"/>
      <c r="D50" s="1"/>
      <c r="E50" s="1"/>
      <c r="F50" s="1"/>
      <c r="G50" s="1"/>
      <c r="H50" s="1"/>
      <c r="I50" s="3"/>
      <c r="J50" s="2"/>
    </row>
    <row r="51">
      <c r="B51" s="2"/>
      <c r="C51" s="2"/>
      <c r="D51" s="1"/>
      <c r="E51" s="1"/>
      <c r="F51" s="1"/>
      <c r="G51" s="1"/>
      <c r="H51" s="1"/>
      <c r="I51" s="3"/>
      <c r="J51" s="2"/>
    </row>
    <row r="52">
      <c r="B52" s="2"/>
      <c r="C52" s="2"/>
      <c r="D52" s="1"/>
      <c r="E52" s="1"/>
      <c r="F52" s="1"/>
      <c r="G52" s="1"/>
      <c r="H52" s="1"/>
      <c r="I52" s="3"/>
      <c r="J52" s="2"/>
    </row>
    <row r="53">
      <c r="B53" s="14" t="s">
        <v>220</v>
      </c>
      <c r="C53" s="14"/>
      <c r="D53" s="18">
        <f>SUM(D9,D15,D21,D27,D33,D39,D45)</f>
        <v>11720</v>
      </c>
      <c r="E53" s="18">
        <f>SUM(E9,E15,E21,E27,E33,E39,E45)</f>
        <v>12427</v>
      </c>
      <c r="F53" s="18">
        <f>SUM(F9,F15,F21,F27,F33,F39,F45)</f>
        <v>11279</v>
      </c>
      <c r="G53" s="18">
        <f>SUM(G9,G15,G21,G27,G33,G39,G45)</f>
        <v>10972</v>
      </c>
      <c r="H53" s="18">
        <f>SUM(H9,H15,H21,H27,H33,H39,H45)</f>
        <v>46398</v>
      </c>
      <c r="I53" s="31">
        <f>SUM(I9,I15,I21,I27,I33,I39,I45)</f>
        <v>11285.7</v>
      </c>
      <c r="J53" s="2" t="s">
        <v>221</v>
      </c>
    </row>
    <row r="54">
      <c r="B54" s="14" t="s">
        <v>222</v>
      </c>
      <c r="C54" s="14"/>
      <c r="D54" s="21">
        <f>D53-'Revenue summary'!D66</f>
        <v>0</v>
      </c>
      <c r="E54" s="21">
        <f>E53-'Revenue summary'!E66</f>
        <v>0</v>
      </c>
      <c r="F54" s="21">
        <f>F53-'Revenue summary'!F66</f>
        <v>0</v>
      </c>
      <c r="G54" s="21">
        <f>G53-'Revenue summary'!G66</f>
        <v>0</v>
      </c>
      <c r="H54" s="21">
        <f>H53-'Revenue summary'!H66</f>
        <v>0</v>
      </c>
      <c r="I54" s="38">
        <f>I53-'Revenue summary'!I66</f>
        <v>0</v>
      </c>
      <c r="J54" s="2"/>
    </row>
    <row r="55">
      <c r="B55" s="2"/>
      <c r="C55" s="2"/>
      <c r="D55" s="1"/>
      <c r="E55" s="1"/>
      <c r="F55" s="1"/>
      <c r="G55" s="1"/>
      <c r="H55" s="1"/>
      <c r="I55" s="3"/>
      <c r="J55" s="2"/>
    </row>
    <row r="56">
      <c r="B56" s="2" t="s">
        <v>223</v>
      </c>
      <c r="C56" s="2"/>
      <c r="D56" s="2"/>
      <c r="E56" s="2"/>
      <c r="F56" s="2"/>
      <c r="G56" s="2"/>
      <c r="H56" s="42">
        <v>0.44</v>
      </c>
      <c r="I56" s="40">
        <f>H56</f>
        <v>0.44</v>
      </c>
      <c r="J56" s="2" t="s">
        <v>224</v>
      </c>
    </row>
    <row r="57">
      <c r="B57" s="2" t="s">
        <v>225</v>
      </c>
      <c r="C57" s="2"/>
      <c r="D57" s="2"/>
      <c r="E57" s="2"/>
      <c r="F57" s="2"/>
      <c r="G57" s="2"/>
      <c r="H57" s="1">
        <f>H53*H56</f>
        <v>20415.12</v>
      </c>
      <c r="I57" s="3">
        <f>I53*I56</f>
        <v>4965.7080000000005</v>
      </c>
      <c r="J57" s="2" t="s">
        <v>226</v>
      </c>
    </row>
    <row r="58">
      <c r="B58" s="2" t="s">
        <v>227</v>
      </c>
      <c r="C58" s="2"/>
      <c r="D58" s="2"/>
      <c r="E58" s="2"/>
      <c r="F58" s="2"/>
      <c r="G58" s="2"/>
      <c r="H58" s="1">
        <f>H53-H57</f>
        <v>25982.88</v>
      </c>
      <c r="I58" s="3">
        <f>I53-I57</f>
        <v>6319.992</v>
      </c>
      <c r="J58" s="2"/>
    </row>
    <row r="59">
      <c r="B59" s="2" t="s">
        <v>228</v>
      </c>
      <c r="C59" s="2"/>
      <c r="D59" s="2"/>
      <c r="E59" s="2"/>
      <c r="F59" s="2"/>
      <c r="G59" s="2"/>
      <c r="H59" s="1">
        <f>SUM(H57:H58)-H53</f>
        <v>0</v>
      </c>
      <c r="I59" s="3">
        <f>SUM(I57:I58)-I53</f>
        <v>0</v>
      </c>
      <c r="J59" s="2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J25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229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230</v>
      </c>
      <c r="C9" s="2"/>
      <c r="D9" s="11">
        <f>-'Cash Flow Statement'!D32</f>
        <v>126</v>
      </c>
      <c r="E9" s="11">
        <f>-'Cash Flow Statement'!E32</f>
        <v>20</v>
      </c>
      <c r="F9" s="11">
        <f>-'Cash Flow Statement'!F32</f>
        <v>0</v>
      </c>
      <c r="G9" s="11">
        <f>-'Cash Flow Statement'!G32</f>
        <v>0</v>
      </c>
      <c r="H9" s="11">
        <f>-'Cash Flow Statement'!H32</f>
        <v>146</v>
      </c>
      <c r="I9" s="27">
        <f>-'Cash Flow Statement'!I32</f>
        <v>0</v>
      </c>
      <c r="J9" s="2"/>
    </row>
    <row r="10">
      <c r="B10" s="2" t="s">
        <v>231</v>
      </c>
      <c r="C10" s="2"/>
      <c r="D10" s="11">
        <f>'Cash Flow Statement'!D31</f>
        <v>127</v>
      </c>
      <c r="E10" s="11">
        <f>'Cash Flow Statement'!E31</f>
        <v>107</v>
      </c>
      <c r="F10" s="11">
        <f>'Cash Flow Statement'!F31</f>
        <v>17</v>
      </c>
      <c r="G10" s="11">
        <f>'Cash Flow Statement'!G31</f>
        <v>103</v>
      </c>
      <c r="H10" s="11">
        <f>'Cash Flow Statement'!H31</f>
        <v>354</v>
      </c>
      <c r="I10" s="27">
        <f>'Cash Flow Statement'!I31</f>
        <v>90</v>
      </c>
      <c r="J10" s="2"/>
    </row>
    <row r="11">
      <c r="B11" s="2" t="s">
        <v>232</v>
      </c>
      <c r="C11" s="2"/>
      <c r="D11" s="10">
        <v>1.8</v>
      </c>
      <c r="E11" s="10">
        <v>0</v>
      </c>
      <c r="F11" s="10">
        <v>0</v>
      </c>
      <c r="G11" s="10">
        <v>0</v>
      </c>
      <c r="H11" s="1">
        <f>SUM(D11:G11)</f>
        <v>1.8</v>
      </c>
      <c r="I11" s="24">
        <v>0</v>
      </c>
      <c r="J11" s="2"/>
    </row>
    <row r="12">
      <c r="B12" s="2" t="s">
        <v>233</v>
      </c>
      <c r="C12" s="2"/>
      <c r="D12" s="10">
        <v>3</v>
      </c>
      <c r="E12" s="1"/>
      <c r="F12" s="1"/>
      <c r="G12" s="1"/>
      <c r="H12" s="1"/>
      <c r="I12" s="3"/>
      <c r="J12" s="2" t="s">
        <v>234</v>
      </c>
    </row>
    <row r="13">
      <c r="B13" s="2"/>
      <c r="C13" s="2"/>
      <c r="D13" s="1"/>
      <c r="E13" s="1"/>
      <c r="F13" s="1"/>
      <c r="G13" s="1"/>
      <c r="H13" s="1"/>
      <c r="I13" s="3"/>
      <c r="J13" s="2"/>
    </row>
    <row r="14">
      <c r="B14" s="14" t="s">
        <v>235</v>
      </c>
      <c r="C14" s="14"/>
      <c r="D14" s="25">
        <v>1476.6</v>
      </c>
      <c r="E14" s="25">
        <v>1479.5</v>
      </c>
      <c r="F14" s="25">
        <v>1480.5</v>
      </c>
      <c r="G14" s="25">
        <v>1482.6</v>
      </c>
      <c r="H14" s="25">
        <v>1479.8</v>
      </c>
      <c r="I14" s="45">
        <v>1483.5</v>
      </c>
      <c r="J14" s="2"/>
    </row>
    <row r="15">
      <c r="B15" s="2" t="s">
        <v>51</v>
      </c>
      <c r="C15" s="2"/>
      <c r="D15" s="29"/>
      <c r="E15" s="29"/>
      <c r="F15" s="29"/>
      <c r="G15" s="29"/>
      <c r="H15" s="29"/>
      <c r="I15" s="15">
        <f>I14/D14-1</f>
        <v>0.004672897196261738</v>
      </c>
      <c r="J15" s="2"/>
    </row>
    <row r="16">
      <c r="B16" s="2" t="s">
        <v>236</v>
      </c>
      <c r="C16" s="2"/>
      <c r="D16" s="1"/>
      <c r="E16" s="1">
        <f>E14-D14</f>
        <v>2.900000000000091</v>
      </c>
      <c r="F16" s="1">
        <f>F14-E14</f>
        <v>1</v>
      </c>
      <c r="G16" s="1">
        <f>G14-F14</f>
        <v>2.099999999999909</v>
      </c>
      <c r="H16" s="1"/>
      <c r="I16" s="3">
        <f>I14-G14</f>
        <v>0.900000000000091</v>
      </c>
      <c r="J16" s="2"/>
    </row>
    <row r="17">
      <c r="B17" s="2" t="s">
        <v>237</v>
      </c>
      <c r="C17" s="2"/>
      <c r="D17" s="1">
        <f>D20-D14</f>
        <v>2.400000000000091</v>
      </c>
      <c r="E17" s="1">
        <f>E20-E14</f>
        <v>1.5</v>
      </c>
      <c r="F17" s="1">
        <f>F20-F14</f>
        <v>1.099999999999909</v>
      </c>
      <c r="G17" s="1">
        <f>G20-G14</f>
        <v>0.3000000000001819</v>
      </c>
      <c r="H17" s="1">
        <f>H20-H14</f>
        <v>1.2000000000000455</v>
      </c>
      <c r="I17" s="24">
        <v>1.5</v>
      </c>
      <c r="J17" s="2"/>
    </row>
    <row r="18">
      <c r="B18" s="14" t="s">
        <v>238</v>
      </c>
      <c r="C18" s="14"/>
      <c r="D18" s="25"/>
      <c r="E18" s="25"/>
      <c r="F18" s="25"/>
      <c r="G18" s="25"/>
      <c r="H18" s="25"/>
      <c r="I18" s="31">
        <f>I17/D17-1</f>
        <v>-0.37500000000002365</v>
      </c>
      <c r="J18" s="2" t="s">
        <v>239</v>
      </c>
    </row>
    <row r="19">
      <c r="B19" s="2" t="s">
        <v>240</v>
      </c>
      <c r="C19" s="2"/>
      <c r="D19" s="1"/>
      <c r="E19" s="1">
        <f>E17-D17</f>
        <v>-0.900000000000091</v>
      </c>
      <c r="F19" s="1">
        <f>F17-E17</f>
        <v>-0.40000000000009095</v>
      </c>
      <c r="G19" s="1">
        <f>G17-F17</f>
        <v>-0.7999999999997272</v>
      </c>
      <c r="H19" s="1"/>
      <c r="I19" s="3">
        <f>I17-G17</f>
        <v>1.199999999999818</v>
      </c>
      <c r="J19" s="2"/>
    </row>
    <row r="20">
      <c r="B20" s="14" t="s">
        <v>241</v>
      </c>
      <c r="C20" s="14"/>
      <c r="D20" s="25">
        <v>1479</v>
      </c>
      <c r="E20" s="25">
        <v>1481</v>
      </c>
      <c r="F20" s="25">
        <v>1481.6</v>
      </c>
      <c r="G20" s="25">
        <v>1482.9</v>
      </c>
      <c r="H20" s="25">
        <v>1481</v>
      </c>
      <c r="I20" s="31">
        <f>I14+I17</f>
        <v>1485</v>
      </c>
      <c r="J20" s="2"/>
    </row>
    <row r="21">
      <c r="B21" s="2" t="s">
        <v>242</v>
      </c>
      <c r="C21" s="2"/>
      <c r="D21" s="1"/>
      <c r="E21" s="1"/>
      <c r="F21" s="1"/>
      <c r="G21" s="1"/>
      <c r="H21" s="1"/>
      <c r="I21" s="3">
        <f>I20/D20-1</f>
        <v>0.0040567951318457585</v>
      </c>
      <c r="J21" s="2"/>
    </row>
    <row r="22">
      <c r="B22" s="2" t="s">
        <v>243</v>
      </c>
      <c r="C22" s="2"/>
      <c r="D22" s="1"/>
      <c r="E22" s="1">
        <f>E20-D20</f>
        <v>2</v>
      </c>
      <c r="F22" s="1">
        <f>F20-E20</f>
        <v>0.599999999999909</v>
      </c>
      <c r="G22" s="1">
        <f>G20-F20</f>
        <v>1.300000000000182</v>
      </c>
      <c r="H22" s="1"/>
      <c r="I22" s="3">
        <f>I20-G20</f>
        <v>2.099999999999909</v>
      </c>
      <c r="J22" s="2"/>
    </row>
    <row r="23">
      <c r="B23" s="2"/>
      <c r="C23" s="2"/>
      <c r="D23" s="1"/>
      <c r="E23" s="1"/>
      <c r="F23" s="1"/>
      <c r="G23" s="1"/>
      <c r="H23" s="1"/>
      <c r="I23" s="3"/>
      <c r="J23" s="2"/>
    </row>
    <row r="24">
      <c r="B24" s="2" t="s">
        <v>244</v>
      </c>
      <c r="C24" s="2"/>
      <c r="D24" s="1">
        <f>D20</f>
        <v>1479</v>
      </c>
      <c r="E24" s="1">
        <f>E20</f>
        <v>1481</v>
      </c>
      <c r="F24" s="1">
        <f>F20</f>
        <v>1481.6</v>
      </c>
      <c r="G24" s="1">
        <f>G20</f>
        <v>1482.9</v>
      </c>
      <c r="H24" s="1">
        <f>H20</f>
        <v>1481</v>
      </c>
      <c r="I24" s="3">
        <f>I20</f>
        <v>1485</v>
      </c>
      <c r="J24" s="2"/>
    </row>
    <row r="25" ht="31.5">
      <c r="B25" s="2" t="s">
        <v>245</v>
      </c>
      <c r="C25" s="2"/>
      <c r="D25" s="2"/>
      <c r="E25" s="2"/>
      <c r="F25" s="2"/>
      <c r="G25" s="2"/>
      <c r="H25" s="2"/>
      <c r="I25" s="2"/>
      <c r="J25" s="47" t="s">
        <v>246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2:J18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4" width="36" customWidth="1"/>
    <col min="5" max="9" width="13" customWidth="1"/>
    <col min="10" max="10" width="45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247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0" t="s">
        <v>248</v>
      </c>
      <c r="C9" s="20" t="s">
        <v>249</v>
      </c>
      <c r="D9" s="9" t="s">
        <v>14</v>
      </c>
      <c r="E9" s="9" t="s">
        <v>250</v>
      </c>
      <c r="F9" s="9" t="s">
        <v>251</v>
      </c>
      <c r="G9" s="9" t="s">
        <v>252</v>
      </c>
      <c r="H9" s="9" t="s">
        <v>253</v>
      </c>
      <c r="I9" s="9" t="s">
        <v>254</v>
      </c>
      <c r="J9" s="7" t="s">
        <v>255</v>
      </c>
    </row>
    <row r="10" ht="39">
      <c r="B10" s="5">
        <v>46203</v>
      </c>
      <c r="C10" s="2" t="s">
        <v>256</v>
      </c>
      <c r="D10" s="1" t="s">
        <v>257</v>
      </c>
      <c r="E10" s="16">
        <v>-0.05</v>
      </c>
      <c r="F10" s="16">
        <v>-0.02</v>
      </c>
      <c r="G10" s="12">
        <f>AVERAGE(E10:F10)</f>
        <v>-0.035</v>
      </c>
      <c r="H10" s="1"/>
      <c r="I10" s="3"/>
      <c r="J10" s="6" t="s">
        <v>258</v>
      </c>
    </row>
    <row r="11" ht="39">
      <c r="B11" s="5">
        <v>46203</v>
      </c>
      <c r="C11" s="2" t="s">
        <v>256</v>
      </c>
      <c r="D11" s="1" t="s">
        <v>259</v>
      </c>
      <c r="E11" s="11">
        <f>'Income Statement'!D9*(1+E10)</f>
        <v>11134</v>
      </c>
      <c r="F11" s="11">
        <f>'Income Statement'!D9*(1+F10)</f>
        <v>11485.6</v>
      </c>
      <c r="G11" s="1">
        <f>AVERAGE(E11:F11)</f>
        <v>11309.8</v>
      </c>
      <c r="H11" s="1"/>
      <c r="I11" s="3"/>
      <c r="J11" s="6" t="s">
        <v>260</v>
      </c>
    </row>
    <row r="12" ht="39">
      <c r="B12" s="5">
        <v>46203</v>
      </c>
      <c r="C12" s="2" t="s">
        <v>256</v>
      </c>
      <c r="D12" s="1" t="s">
        <v>261</v>
      </c>
      <c r="E12" s="1"/>
      <c r="F12" s="1"/>
      <c r="G12" s="1"/>
      <c r="H12" s="1"/>
      <c r="I12" s="3"/>
      <c r="J12" s="6" t="s">
        <v>262</v>
      </c>
    </row>
    <row r="13" ht="39">
      <c r="B13" s="5">
        <v>46203</v>
      </c>
      <c r="C13" s="2" t="s">
        <v>256</v>
      </c>
      <c r="D13" s="1" t="s">
        <v>263</v>
      </c>
      <c r="E13" s="16">
        <v>0</v>
      </c>
      <c r="F13" s="16">
        <v>0</v>
      </c>
      <c r="G13" s="12">
        <f>AVERAGE(E13:F13)</f>
        <v>0</v>
      </c>
      <c r="H13" s="1"/>
      <c r="I13" s="3"/>
      <c r="J13" s="6" t="s">
        <v>264</v>
      </c>
    </row>
    <row r="14" ht="39">
      <c r="B14" s="5">
        <v>46203</v>
      </c>
      <c r="C14" s="2" t="s">
        <v>256</v>
      </c>
      <c r="D14" s="1" t="s">
        <v>265</v>
      </c>
      <c r="E14" s="1"/>
      <c r="F14" s="1"/>
      <c r="G14" s="1"/>
      <c r="H14" s="1"/>
      <c r="I14" s="3"/>
      <c r="J14" s="6" t="s">
        <v>266</v>
      </c>
    </row>
    <row r="15" ht="39">
      <c r="B15" s="5">
        <v>46203</v>
      </c>
      <c r="C15" s="2" t="s">
        <v>267</v>
      </c>
      <c r="D15" s="1" t="s">
        <v>268</v>
      </c>
      <c r="E15" s="1"/>
      <c r="F15" s="1"/>
      <c r="G15" s="1"/>
      <c r="H15" s="1"/>
      <c r="I15" s="3"/>
      <c r="J15" s="6" t="s">
        <v>269</v>
      </c>
    </row>
    <row r="16" ht="39">
      <c r="B16" s="5">
        <v>46289</v>
      </c>
      <c r="C16" s="2" t="s">
        <v>256</v>
      </c>
      <c r="D16" s="1" t="s">
        <v>270</v>
      </c>
      <c r="E16" s="11">
        <f>Inputs!D54</f>
        <v>11016.8</v>
      </c>
      <c r="F16" s="11">
        <f>Inputs!D55</f>
        <v>11602.8</v>
      </c>
      <c r="G16" s="1">
        <f>AVERAGE(E16:F16)</f>
        <v>11309.8</v>
      </c>
      <c r="H16" s="1"/>
      <c r="I16" s="3"/>
      <c r="J16" s="6" t="s">
        <v>271</v>
      </c>
    </row>
    <row r="17" ht="39">
      <c r="B17" s="2"/>
      <c r="C17" s="2"/>
      <c r="D17" s="1"/>
      <c r="E17" s="1"/>
      <c r="F17" s="1"/>
      <c r="G17" s="1"/>
      <c r="H17" s="1"/>
      <c r="I17" s="3"/>
      <c r="J17" s="2"/>
    </row>
    <row r="18">
      <c r="B18" s="2"/>
      <c r="C18" s="2"/>
      <c r="D18" s="1"/>
      <c r="E18" s="1"/>
      <c r="F18" s="1"/>
      <c r="G18" s="1"/>
      <c r="H18" s="1"/>
      <c r="I18" s="3"/>
      <c r="J18" s="2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B2:J42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4" customWidth="1"/>
    <col min="3" max="3" width="2.5" customWidth="1"/>
    <col min="4" max="4" width="23" customWidth="1"/>
    <col min="5" max="5" width="45" customWidth="1"/>
    <col min="6" max="6" width="37" customWidth="1"/>
    <col min="7" max="9" width="13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272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/>
      <c r="C8" s="2"/>
      <c r="D8" s="1"/>
      <c r="E8" s="1"/>
      <c r="F8" s="1"/>
      <c r="G8" s="1"/>
      <c r="H8" s="1"/>
      <c r="I8" s="3"/>
      <c r="J8" s="2"/>
    </row>
    <row r="9">
      <c r="B9" s="2" t="s">
        <v>273</v>
      </c>
      <c r="C9" s="2" t="s">
        <v>274</v>
      </c>
      <c r="D9" s="1" t="s">
        <v>275</v>
      </c>
      <c r="E9" s="1" t="s">
        <v>276</v>
      </c>
      <c r="F9" s="1" t="s">
        <v>277</v>
      </c>
      <c r="G9" s="1"/>
      <c r="H9" s="1"/>
      <c r="I9" s="3"/>
      <c r="J9" s="2"/>
    </row>
    <row r="10" ht="47.25">
      <c r="B10" s="2" t="s">
        <v>278</v>
      </c>
      <c r="C10" s="5">
        <v>45930</v>
      </c>
      <c r="D10" s="1" t="s">
        <v>279</v>
      </c>
      <c r="E10" s="23" t="s">
        <v>280</v>
      </c>
      <c r="F10" s="23" t="s">
        <v>281</v>
      </c>
      <c r="G10" s="1"/>
      <c r="H10" s="1"/>
      <c r="I10" s="3"/>
      <c r="J10" s="2"/>
    </row>
    <row r="11" ht="47.25">
      <c r="B11" s="2" t="s">
        <v>282</v>
      </c>
      <c r="C11" s="5">
        <v>46009</v>
      </c>
      <c r="D11" s="1" t="s">
        <v>279</v>
      </c>
      <c r="E11" s="23" t="s">
        <v>283</v>
      </c>
      <c r="F11" s="23" t="s">
        <v>284</v>
      </c>
      <c r="G11" s="1"/>
      <c r="H11" s="1"/>
      <c r="I11" s="3"/>
      <c r="J11" s="2"/>
    </row>
    <row r="12" ht="47.25">
      <c r="B12" s="2" t="s">
        <v>285</v>
      </c>
      <c r="C12" s="5">
        <v>46112</v>
      </c>
      <c r="D12" s="1" t="s">
        <v>279</v>
      </c>
      <c r="E12" s="23" t="s">
        <v>286</v>
      </c>
      <c r="F12" s="23" t="s">
        <v>287</v>
      </c>
      <c r="G12" s="1"/>
      <c r="H12" s="1"/>
      <c r="I12" s="3"/>
      <c r="J12" s="2"/>
    </row>
    <row r="13" ht="47.25">
      <c r="B13" s="2" t="s">
        <v>288</v>
      </c>
      <c r="C13" s="5">
        <v>46203</v>
      </c>
      <c r="D13" s="1" t="s">
        <v>279</v>
      </c>
      <c r="E13" s="23" t="s">
        <v>289</v>
      </c>
      <c r="F13" s="23" t="s">
        <v>290</v>
      </c>
      <c r="G13" s="1"/>
      <c r="H13" s="1"/>
      <c r="I13" s="3"/>
      <c r="J13" s="2"/>
    </row>
    <row r="14" ht="47.25">
      <c r="B14" s="2" t="s">
        <v>291</v>
      </c>
      <c r="C14" s="5">
        <v>46218</v>
      </c>
      <c r="D14" s="1" t="s">
        <v>279</v>
      </c>
      <c r="E14" s="23" t="s">
        <v>292</v>
      </c>
      <c r="F14" s="23" t="s">
        <v>293</v>
      </c>
      <c r="G14" s="1"/>
      <c r="H14" s="1"/>
      <c r="I14" s="3"/>
      <c r="J14" s="2"/>
    </row>
    <row r="15" ht="47.25">
      <c r="B15" s="2" t="s">
        <v>294</v>
      </c>
      <c r="C15" s="5">
        <v>46218</v>
      </c>
      <c r="D15" s="1" t="s">
        <v>279</v>
      </c>
      <c r="E15" s="23" t="s">
        <v>295</v>
      </c>
      <c r="F15" s="23" t="s">
        <v>296</v>
      </c>
      <c r="G15" s="1"/>
      <c r="H15" s="1"/>
      <c r="I15" s="3"/>
      <c r="J15" s="2"/>
    </row>
    <row r="16" ht="47.25">
      <c r="B16" s="2" t="s">
        <v>297</v>
      </c>
      <c r="C16" s="5">
        <v>45931</v>
      </c>
      <c r="D16" s="1" t="s">
        <v>279</v>
      </c>
      <c r="E16" s="23" t="s">
        <v>298</v>
      </c>
      <c r="F16" s="23" t="s">
        <v>299</v>
      </c>
      <c r="G16" s="1"/>
      <c r="H16" s="1"/>
      <c r="I16" s="3"/>
      <c r="J16" s="2"/>
    </row>
    <row r="17" ht="47.25">
      <c r="B17" s="2" t="s">
        <v>300</v>
      </c>
      <c r="C17" s="5">
        <v>46021</v>
      </c>
      <c r="D17" s="1" t="s">
        <v>279</v>
      </c>
      <c r="E17" s="23" t="s">
        <v>301</v>
      </c>
      <c r="F17" s="23" t="s">
        <v>302</v>
      </c>
      <c r="G17" s="1"/>
      <c r="H17" s="1"/>
      <c r="I17" s="3"/>
      <c r="J17" s="2"/>
    </row>
    <row r="18" ht="47.25">
      <c r="B18" s="2" t="s">
        <v>303</v>
      </c>
      <c r="C18" s="5">
        <v>46113</v>
      </c>
      <c r="D18" s="1" t="s">
        <v>279</v>
      </c>
      <c r="E18" s="23" t="s">
        <v>304</v>
      </c>
      <c r="F18" s="23" t="s">
        <v>305</v>
      </c>
      <c r="G18" s="1"/>
      <c r="H18" s="1"/>
      <c r="I18" s="3"/>
      <c r="J18" s="2"/>
    </row>
    <row r="19" ht="47.25">
      <c r="B19" s="2" t="s">
        <v>306</v>
      </c>
      <c r="C19" s="5">
        <v>45931</v>
      </c>
      <c r="D19" s="1" t="s">
        <v>279</v>
      </c>
      <c r="E19" s="23" t="s">
        <v>307</v>
      </c>
      <c r="F19" s="23" t="s">
        <v>308</v>
      </c>
      <c r="G19" s="1"/>
      <c r="H19" s="1"/>
      <c r="I19" s="3"/>
      <c r="J19" s="2"/>
    </row>
    <row r="20" ht="47.25">
      <c r="B20" s="2" t="s">
        <v>309</v>
      </c>
      <c r="C20" s="5">
        <v>46021</v>
      </c>
      <c r="D20" s="1" t="s">
        <v>279</v>
      </c>
      <c r="E20" s="23" t="s">
        <v>310</v>
      </c>
      <c r="F20" s="23" t="s">
        <v>311</v>
      </c>
      <c r="G20" s="1"/>
      <c r="H20" s="1"/>
      <c r="I20" s="3"/>
      <c r="J20" s="2"/>
    </row>
    <row r="21" ht="47.25">
      <c r="B21" s="2" t="s">
        <v>312</v>
      </c>
      <c r="C21" s="5">
        <v>46113</v>
      </c>
      <c r="D21" s="1" t="s">
        <v>279</v>
      </c>
      <c r="E21" s="23" t="s">
        <v>313</v>
      </c>
      <c r="F21" s="23" t="s">
        <v>314</v>
      </c>
      <c r="G21" s="1"/>
      <c r="H21" s="1"/>
      <c r="I21" s="3"/>
      <c r="J21" s="2"/>
    </row>
    <row r="22" ht="47.25">
      <c r="B22" s="2" t="s">
        <v>315</v>
      </c>
      <c r="C22" s="5">
        <v>46218</v>
      </c>
      <c r="D22" s="1" t="s">
        <v>279</v>
      </c>
      <c r="E22" s="23" t="s">
        <v>316</v>
      </c>
      <c r="F22" s="23" t="s">
        <v>317</v>
      </c>
      <c r="G22" s="1"/>
      <c r="H22" s="1"/>
      <c r="I22" s="3"/>
      <c r="J22" s="2"/>
    </row>
    <row r="23" ht="47.25">
      <c r="B23" s="2" t="s">
        <v>318</v>
      </c>
      <c r="C23" s="5">
        <v>46203</v>
      </c>
      <c r="D23" s="1" t="s">
        <v>319</v>
      </c>
      <c r="E23" s="23" t="s">
        <v>320</v>
      </c>
      <c r="F23" s="23" t="s">
        <v>321</v>
      </c>
      <c r="G23" s="1"/>
      <c r="H23" s="1"/>
      <c r="I23" s="3"/>
      <c r="J23" s="2"/>
    </row>
    <row r="24" ht="47.25">
      <c r="B24" s="2" t="s">
        <v>322</v>
      </c>
      <c r="C24" s="5">
        <v>46282</v>
      </c>
      <c r="D24" s="1" t="s">
        <v>323</v>
      </c>
      <c r="E24" s="23" t="s">
        <v>324</v>
      </c>
      <c r="F24" s="23" t="s">
        <v>325</v>
      </c>
      <c r="G24" s="1"/>
      <c r="H24" s="1"/>
      <c r="I24" s="3"/>
      <c r="J24" s="2"/>
    </row>
    <row r="25" ht="47.25">
      <c r="B25" s="2" t="s">
        <v>326</v>
      </c>
      <c r="C25" s="5">
        <v>46289</v>
      </c>
      <c r="D25" s="1" t="s">
        <v>327</v>
      </c>
      <c r="E25" s="23" t="s">
        <v>328</v>
      </c>
      <c r="F25" s="23" t="s">
        <v>329</v>
      </c>
      <c r="G25" s="1"/>
      <c r="H25" s="1"/>
      <c r="I25" s="3"/>
      <c r="J25" s="2"/>
    </row>
    <row r="26" ht="47.25">
      <c r="B26" s="2" t="s">
        <v>330</v>
      </c>
      <c r="C26" s="5" t="s">
        <v>331</v>
      </c>
      <c r="D26" s="1" t="s">
        <v>327</v>
      </c>
      <c r="E26" s="23" t="s">
        <v>332</v>
      </c>
      <c r="F26" s="23" t="s">
        <v>333</v>
      </c>
      <c r="G26" s="1"/>
      <c r="H26" s="1"/>
      <c r="I26" s="3"/>
      <c r="J26" s="2"/>
    </row>
    <row r="27" ht="47.25">
      <c r="B27" s="2" t="s">
        <v>334</v>
      </c>
      <c r="C27" s="5">
        <v>46288</v>
      </c>
      <c r="D27" s="1" t="s">
        <v>335</v>
      </c>
      <c r="E27" s="23" t="s">
        <v>336</v>
      </c>
      <c r="F27" s="23" t="s">
        <v>337</v>
      </c>
      <c r="G27" s="1"/>
      <c r="H27" s="1"/>
      <c r="I27" s="3"/>
      <c r="J27" s="2"/>
    </row>
    <row r="28" ht="47.25">
      <c r="B28" s="2" t="s">
        <v>338</v>
      </c>
      <c r="C28" s="5">
        <v>46286</v>
      </c>
      <c r="D28" s="1" t="s">
        <v>339</v>
      </c>
      <c r="E28" s="23" t="s">
        <v>340</v>
      </c>
      <c r="F28" s="23" t="s">
        <v>341</v>
      </c>
      <c r="G28" s="1"/>
      <c r="H28" s="1"/>
      <c r="I28" s="3"/>
      <c r="J28" s="2"/>
    </row>
    <row r="29" ht="47.25">
      <c r="B29" s="2" t="s">
        <v>342</v>
      </c>
      <c r="C29" s="5">
        <v>46259</v>
      </c>
      <c r="D29" s="1" t="s">
        <v>343</v>
      </c>
      <c r="E29" s="23" t="s">
        <v>344</v>
      </c>
      <c r="F29" s="23" t="s">
        <v>345</v>
      </c>
      <c r="G29" s="1"/>
      <c r="H29" s="1"/>
      <c r="I29" s="3"/>
      <c r="J29" s="2"/>
    </row>
    <row r="30" ht="47.25">
      <c r="B30" s="2" t="s">
        <v>346</v>
      </c>
      <c r="C30" s="5">
        <v>46288</v>
      </c>
      <c r="D30" s="1" t="s">
        <v>347</v>
      </c>
      <c r="E30" s="23" t="s">
        <v>348</v>
      </c>
      <c r="F30" s="23" t="s">
        <v>349</v>
      </c>
      <c r="G30" s="1"/>
      <c r="H30" s="1"/>
      <c r="I30" s="3"/>
      <c r="J30" s="2"/>
    </row>
    <row r="31" ht="47.25">
      <c r="B31" s="2" t="s">
        <v>350</v>
      </c>
      <c r="C31" s="5">
        <v>46281</v>
      </c>
      <c r="D31" s="1" t="s">
        <v>351</v>
      </c>
      <c r="E31" s="23" t="s">
        <v>352</v>
      </c>
      <c r="F31" s="23" t="s">
        <v>353</v>
      </c>
      <c r="G31" s="1"/>
      <c r="H31" s="1"/>
      <c r="I31" s="3"/>
      <c r="J31" s="2"/>
    </row>
    <row r="32" ht="47.25">
      <c r="B32" s="2" t="s">
        <v>354</v>
      </c>
      <c r="C32" s="5">
        <v>46262</v>
      </c>
      <c r="D32" s="1" t="s">
        <v>355</v>
      </c>
      <c r="E32" s="23" t="s">
        <v>356</v>
      </c>
      <c r="F32" s="23" t="s">
        <v>357</v>
      </c>
      <c r="G32" s="1"/>
      <c r="H32" s="1"/>
      <c r="I32" s="3"/>
      <c r="J32" s="2"/>
    </row>
    <row r="33" ht="47.25">
      <c r="B33" s="2"/>
      <c r="C33" s="2"/>
      <c r="D33" s="1"/>
      <c r="E33" s="1"/>
      <c r="F33" s="1"/>
      <c r="G33" s="1"/>
      <c r="H33" s="1"/>
      <c r="I33" s="3"/>
      <c r="J33" s="2"/>
    </row>
    <row r="34">
      <c r="B34" s="2"/>
      <c r="C34" s="2"/>
      <c r="D34" s="1"/>
      <c r="E34" s="1"/>
      <c r="F34" s="1"/>
      <c r="G34" s="1"/>
      <c r="H34" s="1"/>
      <c r="I34" s="3"/>
      <c r="J34" s="2"/>
    </row>
    <row r="35">
      <c r="B35" s="2"/>
      <c r="C35" s="2"/>
      <c r="D35" s="1"/>
      <c r="E35" s="1"/>
      <c r="F35" s="1"/>
      <c r="G35" s="1"/>
      <c r="H35" s="1"/>
      <c r="I35" s="3"/>
      <c r="J35" s="2"/>
    </row>
    <row r="36">
      <c r="B36" s="2" t="s">
        <v>358</v>
      </c>
      <c r="C36" s="2"/>
      <c r="D36" s="1"/>
      <c r="E36" s="1" t="s">
        <v>359</v>
      </c>
      <c r="F36" s="1"/>
      <c r="G36" s="1"/>
      <c r="H36" s="1"/>
      <c r="I36" s="3"/>
      <c r="J36" s="2"/>
    </row>
    <row r="37">
      <c r="B37" s="2" t="s">
        <v>360</v>
      </c>
      <c r="C37" s="2"/>
      <c r="D37" s="2"/>
      <c r="E37" s="2" t="s">
        <v>361</v>
      </c>
      <c r="F37" s="2"/>
      <c r="G37" s="2"/>
      <c r="H37" s="2"/>
      <c r="I37" s="2"/>
      <c r="J37" s="2"/>
    </row>
    <row r="38">
      <c r="B38" s="2"/>
      <c r="C38" s="2"/>
      <c r="D38" s="2"/>
      <c r="E38" s="2"/>
      <c r="F38" s="2"/>
      <c r="G38" s="2"/>
      <c r="H38" s="2"/>
      <c r="I38" s="2"/>
      <c r="J38" s="2"/>
    </row>
    <row r="39" ht="27.75">
      <c r="B39" s="2" t="s">
        <v>362</v>
      </c>
      <c r="C39" s="2"/>
      <c r="D39" s="2"/>
      <c r="E39" s="2"/>
      <c r="F39" s="2"/>
      <c r="G39" s="2"/>
      <c r="H39" s="2"/>
      <c r="I39" s="2"/>
      <c r="J39" s="2" t="s">
        <v>363</v>
      </c>
    </row>
    <row r="40" ht="27.75">
      <c r="B40" s="2" t="s">
        <v>364</v>
      </c>
      <c r="C40" s="2"/>
      <c r="D40" s="2"/>
      <c r="E40" s="2"/>
      <c r="F40" s="2"/>
      <c r="G40" s="2"/>
      <c r="H40" s="2"/>
      <c r="I40" s="2"/>
      <c r="J40" s="2" t="s">
        <v>365</v>
      </c>
    </row>
    <row r="41">
      <c r="B41" s="2"/>
      <c r="C41" s="2"/>
      <c r="D41" s="2"/>
      <c r="E41" s="2"/>
      <c r="F41" s="2"/>
      <c r="G41" s="2"/>
      <c r="H41" s="2"/>
      <c r="I41" s="2"/>
      <c r="J41" s="2"/>
    </row>
    <row r="42" ht="33">
      <c r="B42" s="2" t="s">
        <v>366</v>
      </c>
      <c r="C42" s="2"/>
      <c r="D42" s="2"/>
      <c r="E42" s="2"/>
      <c r="F42" s="2"/>
      <c r="G42" s="2"/>
      <c r="H42" s="2"/>
      <c r="I42" s="2"/>
      <c r="J42" s="2" t="s">
        <v>367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B2:J120"/>
  <sheetViews>
    <sheetView showGridLines="0" workbookViewId="0">
      <pane xSplit="3" ySplit="7" topLeftCell="D8" activePane="bottomRight" state="frozen"/>
    </sheetView>
  </sheetViews>
  <sheetFormatPr defaultColWidth="8.42578125" defaultRowHeight="15"/>
  <cols>
    <col min="1" max="1" width="2.8" customWidth="1"/>
    <col min="2" max="2" width="35" customWidth="1"/>
    <col min="3" max="3" width="2.5" customWidth="1"/>
    <col min="4" max="4" width="19" customWidth="1"/>
    <col min="5" max="8" width="13" customWidth="1"/>
    <col min="9" max="9" width="16" customWidth="1"/>
    <col min="10" max="10" width="43" customWidth="1"/>
  </cols>
  <sheetData>
    <row r="2">
      <c r="B2" s="17" t="s">
        <v>0</v>
      </c>
      <c r="C2" s="2"/>
      <c r="D2" s="2"/>
      <c r="E2" s="2"/>
      <c r="F2" s="2"/>
      <c r="G2" s="2"/>
      <c r="H2" s="2"/>
      <c r="I2" s="2"/>
      <c r="J2" s="2"/>
    </row>
    <row r="3">
      <c r="B3" s="13" t="s">
        <v>368</v>
      </c>
      <c r="C3" s="2"/>
      <c r="D3" s="2"/>
      <c r="E3" s="2"/>
      <c r="F3" s="2"/>
      <c r="G3" s="2"/>
      <c r="H3" s="2"/>
      <c r="I3" s="2"/>
      <c r="J3" s="2"/>
    </row>
    <row r="4">
      <c r="B4" s="2" t="s">
        <v>2</v>
      </c>
      <c r="C4" s="2"/>
      <c r="D4" s="2"/>
      <c r="E4" s="2"/>
      <c r="F4" s="2"/>
      <c r="G4" s="2"/>
      <c r="H4" s="2"/>
      <c r="I4" s="2"/>
      <c r="J4" s="2"/>
    </row>
    <row r="5">
      <c r="B5" s="4" t="s">
        <v>3</v>
      </c>
      <c r="C5" s="4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2"/>
    </row>
    <row r="6">
      <c r="B6" s="4" t="s">
        <v>10</v>
      </c>
      <c r="C6" s="4"/>
      <c r="D6" s="8">
        <v>45900</v>
      </c>
      <c r="E6" s="8">
        <v>45991</v>
      </c>
      <c r="F6" s="8">
        <v>46081</v>
      </c>
      <c r="G6" s="8">
        <v>46173</v>
      </c>
      <c r="H6" s="8">
        <v>46173</v>
      </c>
      <c r="I6" s="8">
        <v>46265</v>
      </c>
      <c r="J6" s="2"/>
    </row>
    <row r="7">
      <c r="B7" s="4" t="s">
        <v>11</v>
      </c>
      <c r="C7" s="4"/>
      <c r="D7" s="4">
        <v>92</v>
      </c>
      <c r="E7" s="4">
        <v>91</v>
      </c>
      <c r="F7" s="4">
        <v>90</v>
      </c>
      <c r="G7" s="4">
        <v>92</v>
      </c>
      <c r="H7" s="4">
        <v>365</v>
      </c>
      <c r="I7" s="4">
        <v>92</v>
      </c>
      <c r="J7" s="2"/>
    </row>
    <row r="8">
      <c r="B8" s="2" t="s">
        <v>369</v>
      </c>
      <c r="C8" s="2"/>
      <c r="D8" s="1"/>
      <c r="E8" s="1"/>
      <c r="F8" s="1"/>
      <c r="G8" s="1"/>
      <c r="H8" s="1"/>
      <c r="I8" s="3"/>
      <c r="J8" s="2"/>
    </row>
    <row r="9">
      <c r="B9" s="2"/>
      <c r="C9" s="2"/>
      <c r="D9" s="1"/>
      <c r="E9" s="1"/>
      <c r="F9" s="1"/>
      <c r="G9" s="1"/>
      <c r="H9" s="1"/>
      <c r="I9" s="3"/>
      <c r="J9" s="2"/>
    </row>
    <row r="10">
      <c r="B10" s="44" t="s">
        <v>370</v>
      </c>
      <c r="C10" s="44" t="s">
        <v>371</v>
      </c>
      <c r="D10" s="46" t="s">
        <v>372</v>
      </c>
      <c r="E10" s="46" t="s">
        <v>373</v>
      </c>
      <c r="F10" s="46" t="s">
        <v>374</v>
      </c>
      <c r="G10" s="46" t="s">
        <v>375</v>
      </c>
      <c r="H10" s="46" t="s">
        <v>376</v>
      </c>
      <c r="I10" s="46" t="s">
        <v>377</v>
      </c>
      <c r="J10" s="2"/>
    </row>
    <row r="11">
      <c r="B11" s="5">
        <v>45716</v>
      </c>
      <c r="C11" s="43">
        <v>0.29</v>
      </c>
      <c r="D11" s="43">
        <v>0.54</v>
      </c>
      <c r="E11" s="43">
        <v>0.28</v>
      </c>
      <c r="F11" s="43">
        <v>0.54</v>
      </c>
      <c r="G11" s="10">
        <v>11033.49</v>
      </c>
      <c r="H11" s="10">
        <v>11269</v>
      </c>
      <c r="I11" s="24">
        <v>45736</v>
      </c>
      <c r="J11" s="2"/>
    </row>
    <row r="12">
      <c r="B12" s="5">
        <v>45808</v>
      </c>
      <c r="C12" s="43">
        <v>0.12</v>
      </c>
      <c r="D12" s="43">
        <v>0.14</v>
      </c>
      <c r="E12" s="43">
        <v>0.12</v>
      </c>
      <c r="F12" s="43">
        <v>0.14</v>
      </c>
      <c r="G12" s="10">
        <v>10723.43</v>
      </c>
      <c r="H12" s="10">
        <v>11097</v>
      </c>
      <c r="I12" s="24">
        <v>45834</v>
      </c>
      <c r="J12" s="2"/>
    </row>
    <row r="13">
      <c r="B13" s="5">
        <v>45900</v>
      </c>
      <c r="C13" s="43">
        <v>0.27</v>
      </c>
      <c r="D13" s="43">
        <v>0.49</v>
      </c>
      <c r="E13" s="43">
        <v>0.27</v>
      </c>
      <c r="F13" s="43">
        <v>0.49</v>
      </c>
      <c r="G13" s="10">
        <v>10989.77</v>
      </c>
      <c r="H13" s="10">
        <v>11720</v>
      </c>
      <c r="I13" s="24">
        <v>45930</v>
      </c>
      <c r="J13" s="2"/>
    </row>
    <row r="14">
      <c r="B14" s="5">
        <v>45991</v>
      </c>
      <c r="C14" s="43">
        <v>0.38</v>
      </c>
      <c r="D14" s="43">
        <v>0.53</v>
      </c>
      <c r="E14" s="43">
        <v>0.37</v>
      </c>
      <c r="F14" s="43">
        <v>0.53</v>
      </c>
      <c r="G14" s="10">
        <v>12208.69</v>
      </c>
      <c r="H14" s="10">
        <v>12427</v>
      </c>
      <c r="I14" s="24">
        <v>46009</v>
      </c>
      <c r="J14" s="2"/>
    </row>
    <row r="15">
      <c r="B15" s="5">
        <v>46081</v>
      </c>
      <c r="C15" s="43">
        <v>0.28</v>
      </c>
      <c r="D15" s="43">
        <v>0.35</v>
      </c>
      <c r="E15" s="43">
        <v>0.28</v>
      </c>
      <c r="F15" s="43">
        <v>0.35</v>
      </c>
      <c r="G15" s="10">
        <v>11229.43</v>
      </c>
      <c r="H15" s="10">
        <v>11269</v>
      </c>
      <c r="I15" s="24">
        <v>46112</v>
      </c>
      <c r="J15" s="2"/>
    </row>
    <row r="16">
      <c r="B16" s="5">
        <v>46173</v>
      </c>
      <c r="C16" s="43">
        <v>0.13</v>
      </c>
      <c r="D16" s="43">
        <v>0.2</v>
      </c>
      <c r="E16" s="43">
        <v>0.13</v>
      </c>
      <c r="F16" s="43">
        <v>0.72</v>
      </c>
      <c r="G16" s="10">
        <v>10849.4</v>
      </c>
      <c r="H16" s="10">
        <v>10972</v>
      </c>
      <c r="I16" s="24">
        <v>46203</v>
      </c>
      <c r="J16" s="2"/>
    </row>
    <row r="17">
      <c r="B17" s="2"/>
      <c r="C17" s="2"/>
      <c r="D17" s="1"/>
      <c r="E17" s="1"/>
      <c r="F17" s="1"/>
      <c r="G17" s="1"/>
      <c r="H17" s="1"/>
      <c r="I17" s="3"/>
      <c r="J17" s="2"/>
    </row>
    <row r="18">
      <c r="B18" s="2"/>
      <c r="C18" s="2"/>
      <c r="D18" s="1"/>
      <c r="E18" s="1"/>
      <c r="F18" s="1"/>
      <c r="G18" s="1"/>
      <c r="H18" s="1"/>
      <c r="I18" s="3"/>
      <c r="J18" s="2"/>
    </row>
    <row r="19">
      <c r="B19" s="2"/>
      <c r="C19" s="2"/>
      <c r="D19" s="1"/>
      <c r="E19" s="1"/>
      <c r="F19" s="1"/>
      <c r="G19" s="1"/>
      <c r="H19" s="1"/>
      <c r="I19" s="3"/>
      <c r="J19" s="2"/>
    </row>
    <row r="20">
      <c r="B20" s="2" t="s">
        <v>378</v>
      </c>
      <c r="C20" s="2"/>
      <c r="D20" s="1"/>
      <c r="E20" s="1"/>
      <c r="F20" s="1"/>
      <c r="G20" s="1"/>
      <c r="H20" s="1"/>
      <c r="I20" s="3"/>
      <c r="J20" s="2"/>
    </row>
    <row r="21">
      <c r="B21" s="2" t="s">
        <v>379</v>
      </c>
      <c r="C21" s="2"/>
      <c r="D21" s="1"/>
      <c r="E21" s="1"/>
      <c r="F21" s="1"/>
      <c r="G21" s="1"/>
      <c r="H21" s="1"/>
      <c r="I21" s="3"/>
      <c r="J21" s="2"/>
    </row>
    <row r="22">
      <c r="B22" s="2" t="s">
        <v>380</v>
      </c>
      <c r="C22" s="2"/>
      <c r="D22" s="1" t="s">
        <v>381</v>
      </c>
      <c r="E22" s="1"/>
      <c r="F22" s="1"/>
      <c r="G22" s="1"/>
      <c r="H22" s="1"/>
      <c r="I22" s="3"/>
      <c r="J22" s="2"/>
    </row>
    <row r="23">
      <c r="B23" s="2" t="s">
        <v>382</v>
      </c>
      <c r="C23" s="2"/>
      <c r="D23" s="1" t="s">
        <v>0</v>
      </c>
      <c r="E23" s="1"/>
      <c r="F23" s="1"/>
      <c r="G23" s="1"/>
      <c r="H23" s="1"/>
      <c r="I23" s="3"/>
      <c r="J23" s="2"/>
    </row>
    <row r="24">
      <c r="B24" s="2" t="s">
        <v>383</v>
      </c>
      <c r="C24" s="2"/>
      <c r="D24" s="1" t="s">
        <v>32</v>
      </c>
      <c r="E24" s="1"/>
      <c r="F24" s="1"/>
      <c r="G24" s="1"/>
      <c r="H24" s="1"/>
      <c r="I24" s="3"/>
      <c r="J24" s="2"/>
    </row>
    <row r="25">
      <c r="B25" s="2" t="s">
        <v>384</v>
      </c>
      <c r="C25" s="2"/>
      <c r="D25" s="10">
        <v>291981</v>
      </c>
      <c r="E25" s="1"/>
      <c r="F25" s="1"/>
      <c r="G25" s="1"/>
      <c r="H25" s="1"/>
      <c r="I25" s="3"/>
      <c r="J25" s="2"/>
    </row>
    <row r="26">
      <c r="B26" s="2" t="s">
        <v>385</v>
      </c>
      <c r="C26" s="2"/>
      <c r="D26" s="10">
        <v>43</v>
      </c>
      <c r="E26" s="1"/>
      <c r="F26" s="1"/>
      <c r="G26" s="1"/>
      <c r="H26" s="1"/>
      <c r="I26" s="3"/>
      <c r="J26" s="2"/>
    </row>
    <row r="27">
      <c r="B27" s="2" t="s">
        <v>386</v>
      </c>
      <c r="C27" s="2"/>
      <c r="D27" s="1" t="s">
        <v>387</v>
      </c>
      <c r="E27" s="1"/>
      <c r="F27" s="1"/>
      <c r="G27" s="1"/>
      <c r="H27" s="1"/>
      <c r="I27" s="3"/>
      <c r="J27" s="2"/>
    </row>
    <row r="28">
      <c r="B28" s="2" t="s">
        <v>388</v>
      </c>
      <c r="C28" s="2"/>
      <c r="D28" s="1" t="s">
        <v>389</v>
      </c>
      <c r="E28" s="1"/>
      <c r="F28" s="1"/>
      <c r="G28" s="1"/>
      <c r="H28" s="1"/>
      <c r="I28" s="3"/>
      <c r="J28" s="2"/>
    </row>
    <row r="29">
      <c r="B29" s="2" t="s">
        <v>370</v>
      </c>
      <c r="C29" s="2"/>
      <c r="D29" s="10">
        <v>46265</v>
      </c>
      <c r="E29" s="1"/>
      <c r="F29" s="1"/>
      <c r="G29" s="1"/>
      <c r="H29" s="1"/>
      <c r="I29" s="3"/>
      <c r="J29" s="2"/>
    </row>
    <row r="30">
      <c r="B30" s="2" t="s">
        <v>390</v>
      </c>
      <c r="C30" s="2"/>
      <c r="D30" s="10">
        <v>46296</v>
      </c>
      <c r="E30" s="1"/>
      <c r="F30" s="1"/>
      <c r="G30" s="1"/>
      <c r="H30" s="1"/>
      <c r="I30" s="3"/>
      <c r="J30" s="2"/>
    </row>
    <row r="31">
      <c r="B31" s="2" t="s">
        <v>391</v>
      </c>
      <c r="C31" s="2"/>
      <c r="D31" s="43">
        <v>0.44</v>
      </c>
      <c r="E31" s="1"/>
      <c r="F31" s="1"/>
      <c r="G31" s="1"/>
      <c r="H31" s="1"/>
      <c r="I31" s="3"/>
      <c r="J31" s="2"/>
    </row>
    <row r="32">
      <c r="B32" s="2" t="s">
        <v>392</v>
      </c>
      <c r="C32" s="2"/>
      <c r="D32" s="43">
        <v>0.44</v>
      </c>
      <c r="E32" s="1"/>
      <c r="F32" s="1"/>
      <c r="G32" s="1"/>
      <c r="H32" s="1"/>
      <c r="I32" s="3"/>
      <c r="J32" s="2"/>
    </row>
    <row r="33">
      <c r="B33" s="2" t="s">
        <v>393</v>
      </c>
      <c r="C33" s="2"/>
      <c r="D33" s="43">
        <v>0.5</v>
      </c>
      <c r="E33" s="1"/>
      <c r="F33" s="1"/>
      <c r="G33" s="1"/>
      <c r="H33" s="1"/>
      <c r="I33" s="3"/>
      <c r="J33" s="2"/>
    </row>
    <row r="34">
      <c r="B34" s="2" t="s">
        <v>394</v>
      </c>
      <c r="C34" s="2"/>
      <c r="D34" s="43">
        <v>0.4</v>
      </c>
      <c r="E34" s="1"/>
      <c r="F34" s="1"/>
      <c r="G34" s="1"/>
      <c r="H34" s="1"/>
      <c r="I34" s="3"/>
      <c r="J34" s="2"/>
    </row>
    <row r="35">
      <c r="B35" s="2" t="s">
        <v>395</v>
      </c>
      <c r="C35" s="2"/>
      <c r="D35" s="43">
        <v>0.03</v>
      </c>
      <c r="E35" s="1"/>
      <c r="F35" s="1"/>
      <c r="G35" s="1"/>
      <c r="H35" s="1"/>
      <c r="I35" s="3"/>
      <c r="J35" s="2"/>
    </row>
    <row r="36">
      <c r="B36" s="2" t="s">
        <v>396</v>
      </c>
      <c r="C36" s="2"/>
      <c r="D36" s="10">
        <v>17</v>
      </c>
      <c r="E36" s="1"/>
      <c r="F36" s="1"/>
      <c r="G36" s="1"/>
      <c r="H36" s="1"/>
      <c r="I36" s="3"/>
      <c r="J36" s="2"/>
    </row>
    <row r="37">
      <c r="B37" s="2" t="s">
        <v>397</v>
      </c>
      <c r="C37" s="2"/>
      <c r="D37" s="1"/>
      <c r="E37" s="1"/>
      <c r="F37" s="1"/>
      <c r="G37" s="1"/>
      <c r="H37" s="1"/>
      <c r="I37" s="3"/>
      <c r="J37" s="2"/>
    </row>
    <row r="38">
      <c r="B38" s="2" t="s">
        <v>398</v>
      </c>
      <c r="C38" s="2"/>
      <c r="D38" s="1"/>
      <c r="E38" s="1"/>
      <c r="F38" s="1"/>
      <c r="G38" s="1"/>
      <c r="H38" s="1"/>
      <c r="I38" s="3"/>
      <c r="J38" s="2"/>
    </row>
    <row r="39">
      <c r="B39" s="2" t="s">
        <v>399</v>
      </c>
      <c r="C39" s="2"/>
      <c r="D39" s="1"/>
      <c r="E39" s="1"/>
      <c r="F39" s="1"/>
      <c r="G39" s="1"/>
      <c r="H39" s="1"/>
      <c r="I39" s="3"/>
      <c r="J39" s="2"/>
    </row>
    <row r="40">
      <c r="B40" s="2" t="s">
        <v>400</v>
      </c>
      <c r="C40" s="2"/>
      <c r="D40" s="43">
        <v>0.44</v>
      </c>
      <c r="E40" s="1"/>
      <c r="F40" s="1"/>
      <c r="G40" s="1"/>
      <c r="H40" s="1"/>
      <c r="I40" s="3"/>
      <c r="J40" s="2"/>
    </row>
    <row r="41">
      <c r="B41" s="2" t="s">
        <v>401</v>
      </c>
      <c r="C41" s="2"/>
      <c r="D41" s="43">
        <v>0.44</v>
      </c>
      <c r="E41" s="1"/>
      <c r="F41" s="1"/>
      <c r="G41" s="1"/>
      <c r="H41" s="1"/>
      <c r="I41" s="3"/>
      <c r="J41" s="2"/>
    </row>
    <row r="42">
      <c r="B42" s="2" t="s">
        <v>402</v>
      </c>
      <c r="C42" s="2"/>
      <c r="D42" s="43">
        <v>0.5</v>
      </c>
      <c r="E42" s="1"/>
      <c r="F42" s="1"/>
      <c r="G42" s="1"/>
      <c r="H42" s="1"/>
      <c r="I42" s="3"/>
      <c r="J42" s="2"/>
    </row>
    <row r="43">
      <c r="B43" s="2" t="s">
        <v>403</v>
      </c>
      <c r="C43" s="2"/>
      <c r="D43" s="43">
        <v>0.38</v>
      </c>
      <c r="E43" s="1"/>
      <c r="F43" s="1"/>
      <c r="G43" s="1"/>
      <c r="H43" s="1"/>
      <c r="I43" s="3"/>
      <c r="J43" s="2"/>
    </row>
    <row r="44">
      <c r="B44" s="2" t="s">
        <v>404</v>
      </c>
      <c r="C44" s="2"/>
      <c r="D44" s="43">
        <v>0.03</v>
      </c>
      <c r="E44" s="1"/>
      <c r="F44" s="1"/>
      <c r="G44" s="1"/>
      <c r="H44" s="1"/>
      <c r="I44" s="3"/>
      <c r="J44" s="2"/>
    </row>
    <row r="45">
      <c r="B45" s="2" t="s">
        <v>405</v>
      </c>
      <c r="C45" s="2"/>
      <c r="D45" s="10">
        <v>23</v>
      </c>
      <c r="E45" s="1"/>
      <c r="F45" s="1"/>
      <c r="G45" s="1"/>
      <c r="H45" s="1"/>
      <c r="I45" s="3"/>
      <c r="J45" s="2"/>
    </row>
    <row r="46">
      <c r="B46" s="2" t="s">
        <v>406</v>
      </c>
      <c r="C46" s="2"/>
      <c r="D46" s="1"/>
      <c r="E46" s="1"/>
      <c r="F46" s="1"/>
      <c r="G46" s="1"/>
      <c r="H46" s="1"/>
      <c r="I46" s="3"/>
      <c r="J46" s="2"/>
    </row>
    <row r="47">
      <c r="B47" s="2" t="s">
        <v>407</v>
      </c>
      <c r="C47" s="2"/>
      <c r="D47" s="1"/>
      <c r="E47" s="1"/>
      <c r="F47" s="1"/>
      <c r="G47" s="1"/>
      <c r="H47" s="1"/>
      <c r="I47" s="3"/>
      <c r="J47" s="2"/>
    </row>
    <row r="48">
      <c r="B48" s="2" t="s">
        <v>408</v>
      </c>
      <c r="C48" s="2"/>
      <c r="D48" s="10">
        <v>11328.63</v>
      </c>
      <c r="E48" s="1"/>
      <c r="F48" s="1"/>
      <c r="G48" s="1"/>
      <c r="H48" s="1"/>
      <c r="I48" s="3"/>
      <c r="J48" s="2"/>
    </row>
    <row r="49">
      <c r="B49" s="2" t="s">
        <v>409</v>
      </c>
      <c r="C49" s="2"/>
      <c r="D49" s="10">
        <v>11341.12</v>
      </c>
      <c r="E49" s="1"/>
      <c r="F49" s="1"/>
      <c r="G49" s="1"/>
      <c r="H49" s="1"/>
      <c r="I49" s="3"/>
      <c r="J49" s="2"/>
    </row>
    <row r="50">
      <c r="B50" s="2" t="s">
        <v>410</v>
      </c>
      <c r="C50" s="2"/>
      <c r="D50" s="10">
        <v>11537</v>
      </c>
      <c r="E50" s="1"/>
      <c r="F50" s="1"/>
      <c r="G50" s="1"/>
      <c r="H50" s="1"/>
      <c r="I50" s="3"/>
      <c r="J50" s="2"/>
    </row>
    <row r="51">
      <c r="B51" s="2" t="s">
        <v>411</v>
      </c>
      <c r="C51" s="2"/>
      <c r="D51" s="10">
        <v>11050</v>
      </c>
      <c r="E51" s="1"/>
      <c r="F51" s="1"/>
      <c r="G51" s="1"/>
      <c r="H51" s="1"/>
      <c r="I51" s="3"/>
      <c r="J51" s="2"/>
    </row>
    <row r="52">
      <c r="B52" s="2" t="s">
        <v>412</v>
      </c>
      <c r="C52" s="2"/>
      <c r="D52" s="10">
        <v>102.3</v>
      </c>
      <c r="E52" s="1"/>
      <c r="F52" s="1"/>
      <c r="G52" s="1"/>
      <c r="H52" s="1"/>
      <c r="I52" s="3"/>
      <c r="J52" s="2"/>
    </row>
    <row r="53">
      <c r="B53" s="2" t="s">
        <v>413</v>
      </c>
      <c r="C53" s="2"/>
      <c r="D53" s="10">
        <v>28</v>
      </c>
      <c r="E53" s="1"/>
      <c r="F53" s="1"/>
      <c r="G53" s="1"/>
      <c r="H53" s="1"/>
      <c r="I53" s="3"/>
      <c r="J53" s="2"/>
    </row>
    <row r="54">
      <c r="B54" s="2" t="s">
        <v>414</v>
      </c>
      <c r="C54" s="2"/>
      <c r="D54" s="10">
        <v>11016.8</v>
      </c>
      <c r="E54" s="1"/>
      <c r="F54" s="1"/>
      <c r="G54" s="1"/>
      <c r="H54" s="1"/>
      <c r="I54" s="3"/>
      <c r="J54" s="2"/>
    </row>
    <row r="55">
      <c r="B55" s="2" t="s">
        <v>415</v>
      </c>
      <c r="C55" s="2"/>
      <c r="D55" s="10">
        <v>11602.8</v>
      </c>
      <c r="E55" s="1"/>
      <c r="F55" s="1"/>
      <c r="G55" s="1"/>
      <c r="H55" s="1"/>
      <c r="I55" s="3"/>
      <c r="J55" s="2"/>
    </row>
    <row r="56">
      <c r="B56" s="2" t="s">
        <v>416</v>
      </c>
      <c r="C56" s="2"/>
      <c r="D56" s="10">
        <v>990.16</v>
      </c>
      <c r="E56" s="1"/>
      <c r="F56" s="1"/>
      <c r="G56" s="1"/>
      <c r="H56" s="1"/>
      <c r="I56" s="3"/>
      <c r="J56" s="2"/>
    </row>
    <row r="57">
      <c r="B57" s="2" t="s">
        <v>417</v>
      </c>
      <c r="C57" s="2"/>
      <c r="D57" s="10">
        <v>802.7</v>
      </c>
      <c r="E57" s="1"/>
      <c r="F57" s="1"/>
      <c r="G57" s="1"/>
      <c r="H57" s="1"/>
      <c r="I57" s="3"/>
      <c r="J57" s="2"/>
    </row>
    <row r="58">
      <c r="B58" s="2" t="s">
        <v>418</v>
      </c>
      <c r="C58" s="2"/>
      <c r="D58" s="10">
        <v>654.36</v>
      </c>
      <c r="E58" s="1"/>
      <c r="F58" s="1"/>
      <c r="G58" s="1"/>
      <c r="H58" s="1"/>
      <c r="I58" s="3"/>
      <c r="J58" s="2"/>
    </row>
    <row r="59">
      <c r="B59" s="2" t="s">
        <v>419</v>
      </c>
      <c r="C59" s="2"/>
      <c r="D59" s="10">
        <v>653.35</v>
      </c>
      <c r="E59" s="1"/>
      <c r="F59" s="1"/>
      <c r="G59" s="1"/>
      <c r="H59" s="1"/>
      <c r="I59" s="3"/>
      <c r="J59" s="2"/>
    </row>
    <row r="60">
      <c r="B60" s="2" t="s">
        <v>420</v>
      </c>
      <c r="C60" s="2"/>
      <c r="D60" s="10">
        <v>42.41</v>
      </c>
      <c r="E60" s="1"/>
      <c r="F60" s="1"/>
      <c r="G60" s="1"/>
      <c r="H60" s="1"/>
      <c r="I60" s="3"/>
      <c r="J60" s="2"/>
    </row>
    <row r="61">
      <c r="B61" s="2" t="s">
        <v>421</v>
      </c>
      <c r="C61" s="2"/>
      <c r="D61" s="10">
        <v>20.61</v>
      </c>
      <c r="E61" s="1"/>
      <c r="F61" s="1"/>
      <c r="G61" s="1"/>
      <c r="H61" s="1"/>
      <c r="I61" s="3"/>
      <c r="J61" s="2"/>
    </row>
    <row r="62">
      <c r="B62" s="2" t="s">
        <v>422</v>
      </c>
      <c r="C62" s="2"/>
      <c r="D62" s="10">
        <v>-193.75</v>
      </c>
      <c r="E62" s="1"/>
      <c r="F62" s="1"/>
      <c r="G62" s="1"/>
      <c r="H62" s="1"/>
      <c r="I62" s="3"/>
      <c r="J62" s="2"/>
    </row>
    <row r="63">
      <c r="B63" s="2" t="s">
        <v>423</v>
      </c>
      <c r="C63" s="2"/>
      <c r="D63" s="10">
        <v>1555.55</v>
      </c>
      <c r="E63" s="1"/>
      <c r="F63" s="1"/>
      <c r="G63" s="1"/>
      <c r="H63" s="1"/>
      <c r="I63" s="3"/>
      <c r="J63" s="2"/>
    </row>
    <row r="64">
      <c r="B64" s="2" t="s">
        <v>424</v>
      </c>
      <c r="C64" s="2"/>
      <c r="D64" s="10">
        <v>1660.97</v>
      </c>
      <c r="E64" s="1"/>
      <c r="F64" s="1"/>
      <c r="G64" s="1"/>
      <c r="H64" s="1"/>
      <c r="I64" s="3"/>
      <c r="J64" s="2"/>
    </row>
    <row r="65">
      <c r="B65" s="2" t="s">
        <v>425</v>
      </c>
      <c r="C65" s="2"/>
      <c r="D65" s="10">
        <v>196.3</v>
      </c>
      <c r="E65" s="1"/>
      <c r="F65" s="1"/>
      <c r="G65" s="1"/>
      <c r="H65" s="1"/>
      <c r="I65" s="3"/>
      <c r="J65" s="2"/>
    </row>
    <row r="66">
      <c r="B66" s="2" t="s">
        <v>426</v>
      </c>
      <c r="C66" s="2"/>
      <c r="D66" s="1" t="s">
        <v>427</v>
      </c>
      <c r="E66" s="1"/>
      <c r="F66" s="1"/>
      <c r="G66" s="1"/>
      <c r="H66" s="1"/>
      <c r="I66" s="3"/>
      <c r="J66" s="2"/>
    </row>
    <row r="67">
      <c r="B67" s="2" t="s">
        <v>428</v>
      </c>
      <c r="C67" s="2"/>
      <c r="D67" s="10">
        <v>2.74</v>
      </c>
      <c r="E67" s="1"/>
      <c r="F67" s="1"/>
      <c r="G67" s="1"/>
      <c r="H67" s="1"/>
      <c r="I67" s="3"/>
      <c r="J67" s="2"/>
    </row>
    <row r="68">
      <c r="B68" s="2" t="s">
        <v>429</v>
      </c>
      <c r="C68" s="2"/>
      <c r="D68" s="10">
        <v>35.99</v>
      </c>
      <c r="E68" s="1"/>
      <c r="F68" s="1"/>
      <c r="G68" s="1"/>
      <c r="H68" s="1"/>
      <c r="I68" s="3"/>
      <c r="J68" s="2"/>
    </row>
    <row r="69">
      <c r="B69" s="2" t="s">
        <v>430</v>
      </c>
      <c r="C69" s="2"/>
      <c r="D69" s="1" t="s">
        <v>431</v>
      </c>
      <c r="E69" s="1"/>
      <c r="F69" s="1"/>
      <c r="G69" s="1"/>
      <c r="H69" s="1"/>
      <c r="I69" s="3"/>
      <c r="J69" s="2"/>
    </row>
    <row r="70">
      <c r="B70" s="2"/>
      <c r="C70" s="2"/>
      <c r="D70" s="1"/>
      <c r="E70" s="1"/>
      <c r="F70" s="1"/>
      <c r="G70" s="1"/>
      <c r="H70" s="1"/>
      <c r="I70" s="3"/>
      <c r="J70" s="2"/>
    </row>
    <row r="71">
      <c r="B71" s="2"/>
      <c r="C71" s="2"/>
      <c r="D71" s="1"/>
      <c r="E71" s="1"/>
      <c r="F71" s="1"/>
      <c r="G71" s="1"/>
      <c r="H71" s="1"/>
      <c r="I71" s="3"/>
      <c r="J71" s="2"/>
    </row>
    <row r="72">
      <c r="B72" s="2" t="s">
        <v>358</v>
      </c>
      <c r="C72" s="2"/>
      <c r="D72" s="1" t="s">
        <v>359</v>
      </c>
      <c r="E72" s="1"/>
      <c r="F72" s="1"/>
      <c r="G72" s="1"/>
      <c r="H72" s="1"/>
      <c r="I72" s="3"/>
      <c r="J72" s="2"/>
    </row>
    <row r="73">
      <c r="B73" s="2" t="s">
        <v>360</v>
      </c>
      <c r="C73" s="2"/>
      <c r="D73" s="1" t="s">
        <v>361</v>
      </c>
      <c r="E73" s="1"/>
      <c r="F73" s="1"/>
      <c r="G73" s="1"/>
      <c r="H73" s="1"/>
      <c r="I73" s="3"/>
      <c r="J73" s="2"/>
    </row>
    <row r="74">
      <c r="B74" s="2"/>
      <c r="C74" s="2"/>
      <c r="D74" s="1"/>
      <c r="E74" s="1"/>
      <c r="F74" s="1"/>
      <c r="G74" s="1"/>
      <c r="H74" s="1"/>
      <c r="I74" s="3"/>
      <c r="J74" s="2"/>
    </row>
    <row r="75">
      <c r="B75" s="2"/>
      <c r="C75" s="2"/>
      <c r="D75" s="1"/>
      <c r="E75" s="1"/>
      <c r="F75" s="1"/>
      <c r="G75" s="1"/>
      <c r="H75" s="1"/>
      <c r="I75" s="3"/>
      <c r="J75" s="2"/>
    </row>
    <row r="77">
      <c r="B77" s="2" t="s">
        <v>432</v>
      </c>
      <c r="C77" s="2"/>
      <c r="D77" s="2"/>
      <c r="E77" s="2"/>
      <c r="F77" s="2"/>
      <c r="G77" s="2"/>
    </row>
    <row r="78">
      <c r="B78" s="2" t="s">
        <v>433</v>
      </c>
      <c r="C78" s="2"/>
      <c r="D78" s="2">
        <v>47.21</v>
      </c>
      <c r="E78" s="2"/>
      <c r="F78" s="2"/>
      <c r="G78" s="2"/>
    </row>
    <row r="79">
      <c r="B79" s="2" t="s">
        <v>434</v>
      </c>
      <c r="C79" s="2"/>
      <c r="D79" s="2">
        <v>44.8</v>
      </c>
      <c r="E79" s="2"/>
      <c r="F79" s="2"/>
      <c r="G79" s="2"/>
    </row>
    <row r="80">
      <c r="B80" s="2" t="s">
        <v>435</v>
      </c>
      <c r="C80" s="2"/>
      <c r="D80" s="2">
        <v>94</v>
      </c>
      <c r="E80" s="2"/>
      <c r="F80" s="2"/>
      <c r="G80" s="2"/>
    </row>
    <row r="81">
      <c r="B81" s="2" t="s">
        <v>436</v>
      </c>
      <c r="C81" s="2"/>
      <c r="D81" s="2">
        <v>23</v>
      </c>
      <c r="E81" s="2"/>
      <c r="F81" s="2"/>
      <c r="G81" s="2"/>
    </row>
    <row r="82">
      <c r="B82" s="2" t="s">
        <v>437</v>
      </c>
      <c r="C82" s="2"/>
      <c r="D82" s="2">
        <v>12.89</v>
      </c>
      <c r="E82" s="2"/>
      <c r="F82" s="2"/>
      <c r="G82" s="2"/>
    </row>
    <row r="83">
      <c r="B83" s="2" t="s">
        <v>438</v>
      </c>
      <c r="C83" s="2"/>
      <c r="D83" s="2">
        <v>36</v>
      </c>
      <c r="E83" s="2"/>
      <c r="F83" s="2"/>
      <c r="G83" s="2"/>
    </row>
    <row r="84">
      <c r="B84" s="2"/>
      <c r="C84" s="2"/>
      <c r="D84" s="2"/>
      <c r="E84" s="2"/>
      <c r="F84" s="2"/>
      <c r="G84" s="2"/>
    </row>
    <row r="85">
      <c r="B85" s="2"/>
      <c r="C85" s="2"/>
      <c r="D85" s="2"/>
      <c r="E85" s="2"/>
      <c r="F85" s="2"/>
      <c r="G85" s="2"/>
    </row>
    <row r="86">
      <c r="B86" s="2"/>
      <c r="C86" s="2"/>
      <c r="D86" s="2"/>
      <c r="E86" s="2"/>
      <c r="F86" s="2"/>
      <c r="G86" s="2"/>
    </row>
    <row r="87">
      <c r="B87" s="2" t="s">
        <v>439</v>
      </c>
      <c r="C87" s="2"/>
      <c r="D87" s="2"/>
      <c r="E87" s="2"/>
      <c r="F87" s="2"/>
      <c r="G87" s="2"/>
    </row>
    <row r="88">
      <c r="B88" s="2" t="s">
        <v>440</v>
      </c>
      <c r="C88" s="2"/>
      <c r="D88" s="2" t="s">
        <v>441</v>
      </c>
      <c r="E88" s="2" t="s">
        <v>442</v>
      </c>
      <c r="F88" s="2" t="s">
        <v>443</v>
      </c>
      <c r="G88" s="2" t="s">
        <v>444</v>
      </c>
    </row>
    <row r="89">
      <c r="B89" s="2"/>
      <c r="C89" s="2"/>
      <c r="D89" s="2"/>
      <c r="E89" s="2"/>
      <c r="F89" s="2"/>
      <c r="G89" s="2"/>
    </row>
    <row r="90">
      <c r="B90" s="2" t="s">
        <v>189</v>
      </c>
      <c r="C90" s="2"/>
      <c r="D90" s="10">
        <v>190</v>
      </c>
      <c r="E90" s="10">
        <v>369</v>
      </c>
      <c r="F90" s="10">
        <v>554</v>
      </c>
      <c r="G90" s="10">
        <v>747</v>
      </c>
    </row>
    <row r="91">
      <c r="B91" s="2" t="s">
        <v>190</v>
      </c>
      <c r="C91" s="2"/>
      <c r="D91" s="10">
        <v>-25</v>
      </c>
      <c r="E91" s="10">
        <v>-68</v>
      </c>
      <c r="F91" s="10">
        <v>-132</v>
      </c>
      <c r="G91" s="10">
        <v>-96</v>
      </c>
    </row>
    <row r="92">
      <c r="B92" s="2" t="s">
        <v>191</v>
      </c>
      <c r="C92" s="2"/>
      <c r="D92" s="10">
        <v>185</v>
      </c>
      <c r="E92" s="10">
        <v>361</v>
      </c>
      <c r="F92" s="10">
        <v>555</v>
      </c>
      <c r="G92" s="10">
        <v>715</v>
      </c>
    </row>
    <row r="93">
      <c r="B93" s="2" t="s">
        <v>192</v>
      </c>
      <c r="C93" s="2"/>
      <c r="D93" s="10">
        <v>8</v>
      </c>
      <c r="E93" s="10">
        <v>9</v>
      </c>
      <c r="F93" s="10">
        <v>40</v>
      </c>
      <c r="G93" s="10">
        <v>50</v>
      </c>
    </row>
    <row r="94">
      <c r="B94" s="2" t="s">
        <v>193</v>
      </c>
      <c r="C94" s="2"/>
      <c r="D94" s="10">
        <v>34</v>
      </c>
      <c r="E94" s="10">
        <v>54</v>
      </c>
      <c r="F94" s="10">
        <v>1</v>
      </c>
      <c r="G94" s="10">
        <v>22</v>
      </c>
    </row>
    <row r="95">
      <c r="B95" s="2" t="s">
        <v>194</v>
      </c>
      <c r="C95" s="2"/>
      <c r="D95" s="10">
        <v>-215</v>
      </c>
      <c r="E95" s="10">
        <v>-1021</v>
      </c>
      <c r="F95" s="10">
        <v>-623</v>
      </c>
      <c r="G95" s="10">
        <v>-1207</v>
      </c>
    </row>
    <row r="96">
      <c r="B96" s="2" t="s">
        <v>195</v>
      </c>
      <c r="C96" s="2"/>
      <c r="D96" s="10">
        <v>-610</v>
      </c>
      <c r="E96" s="10">
        <v>-257</v>
      </c>
      <c r="F96" s="10">
        <v>24</v>
      </c>
      <c r="G96" s="10">
        <v>-31</v>
      </c>
    </row>
    <row r="97">
      <c r="B97" s="2" t="s">
        <v>445</v>
      </c>
      <c r="C97" s="2"/>
      <c r="D97" s="10">
        <v>-165</v>
      </c>
      <c r="E97" s="10">
        <v>111</v>
      </c>
      <c r="F97" s="10">
        <v>260</v>
      </c>
      <c r="G97" s="10">
        <v>519</v>
      </c>
    </row>
    <row r="98">
      <c r="B98" s="2" t="s">
        <v>446</v>
      </c>
      <c r="C98" s="2"/>
      <c r="D98" s="10">
        <v>93</v>
      </c>
      <c r="E98" s="10">
        <v>-276</v>
      </c>
      <c r="F98" s="10">
        <v>-1487</v>
      </c>
      <c r="G98" s="10">
        <v>-959</v>
      </c>
    </row>
    <row r="99">
      <c r="B99" s="2" t="s">
        <v>200</v>
      </c>
      <c r="C99" s="2"/>
      <c r="D99" s="10">
        <v>-355</v>
      </c>
      <c r="E99" s="10">
        <v>-636</v>
      </c>
      <c r="F99" s="10">
        <v>-889</v>
      </c>
      <c r="G99" s="10">
        <v>-1316</v>
      </c>
    </row>
    <row r="100">
      <c r="B100" s="2" t="s">
        <v>201</v>
      </c>
      <c r="C100" s="2"/>
      <c r="D100" s="10">
        <v>209</v>
      </c>
      <c r="E100" s="10">
        <v>395</v>
      </c>
      <c r="F100" s="10">
        <v>478</v>
      </c>
      <c r="G100" s="10">
        <v>556</v>
      </c>
    </row>
    <row r="101">
      <c r="B101" s="2" t="s">
        <v>202</v>
      </c>
      <c r="C101" s="2"/>
      <c r="D101" s="10">
        <v>294</v>
      </c>
      <c r="E101" s="10">
        <v>536</v>
      </c>
      <c r="F101" s="10">
        <v>744</v>
      </c>
      <c r="G101" s="10">
        <v>1021</v>
      </c>
    </row>
    <row r="102">
      <c r="B102" s="2" t="s">
        <v>203</v>
      </c>
      <c r="C102" s="2"/>
      <c r="D102" s="10">
        <v>-207</v>
      </c>
      <c r="E102" s="10">
        <v>-400</v>
      </c>
      <c r="F102" s="10">
        <v>-546</v>
      </c>
      <c r="G102" s="10">
        <v>-684</v>
      </c>
    </row>
    <row r="103">
      <c r="B103" s="2" t="s">
        <v>204</v>
      </c>
      <c r="C103" s="2"/>
      <c r="D103" s="10">
        <v>0</v>
      </c>
      <c r="E103" s="10">
        <v>-3</v>
      </c>
      <c r="F103" s="10">
        <v>-63</v>
      </c>
      <c r="G103" s="10">
        <v>-65</v>
      </c>
    </row>
    <row r="104">
      <c r="B104" s="2" t="s">
        <v>206</v>
      </c>
      <c r="C104" s="2"/>
      <c r="D104" s="10">
        <v>-1</v>
      </c>
      <c r="E104" s="10">
        <v>-4</v>
      </c>
      <c r="F104" s="10">
        <v>-4</v>
      </c>
      <c r="G104" s="10">
        <v>0</v>
      </c>
    </row>
    <row r="105">
      <c r="B105" s="2" t="s">
        <v>207</v>
      </c>
      <c r="C105" s="2"/>
      <c r="D105" s="10">
        <v>0</v>
      </c>
      <c r="E105" s="10">
        <v>0</v>
      </c>
      <c r="F105" s="10">
        <v>0</v>
      </c>
      <c r="G105" s="10">
        <v>0</v>
      </c>
    </row>
    <row r="106">
      <c r="B106" s="2" t="s">
        <v>208</v>
      </c>
      <c r="C106" s="2"/>
      <c r="D106" s="10">
        <v>127</v>
      </c>
      <c r="E106" s="10">
        <v>234</v>
      </c>
      <c r="F106" s="10">
        <v>251</v>
      </c>
      <c r="G106" s="10">
        <v>354</v>
      </c>
    </row>
    <row r="107">
      <c r="B107" s="2" t="s">
        <v>209</v>
      </c>
      <c r="C107" s="2"/>
      <c r="D107" s="10">
        <v>-126</v>
      </c>
      <c r="E107" s="10">
        <v>-146</v>
      </c>
      <c r="F107" s="10">
        <v>-146</v>
      </c>
      <c r="G107" s="10">
        <v>-146</v>
      </c>
    </row>
    <row r="108">
      <c r="B108" s="2" t="s">
        <v>210</v>
      </c>
      <c r="C108" s="2"/>
      <c r="D108" s="10">
        <v>-591</v>
      </c>
      <c r="E108" s="10">
        <v>-1189</v>
      </c>
      <c r="F108" s="10">
        <v>-1798</v>
      </c>
      <c r="G108" s="10">
        <v>-2407</v>
      </c>
    </row>
    <row r="109">
      <c r="B109" s="2" t="s">
        <v>211</v>
      </c>
      <c r="C109" s="2"/>
      <c r="D109" s="10">
        <v>-7</v>
      </c>
      <c r="E109" s="10">
        <v>-72</v>
      </c>
      <c r="F109" s="10">
        <v>-81</v>
      </c>
      <c r="G109" s="10">
        <v>-93</v>
      </c>
    </row>
    <row r="110">
      <c r="B110" s="2" t="s">
        <v>213</v>
      </c>
      <c r="C110" s="2"/>
      <c r="D110" s="10">
        <v>-5</v>
      </c>
      <c r="E110" s="10">
        <v>-6</v>
      </c>
      <c r="F110" s="10">
        <v>19</v>
      </c>
      <c r="G110" s="10">
        <v>11</v>
      </c>
    </row>
    <row r="111">
      <c r="B111" s="2"/>
      <c r="C111" s="2"/>
      <c r="D111" s="2"/>
      <c r="E111" s="2"/>
      <c r="F111" s="2"/>
      <c r="G111" s="2"/>
    </row>
    <row r="112">
      <c r="B112" s="2"/>
      <c r="C112" s="2"/>
      <c r="D112" s="2"/>
      <c r="E112" s="2"/>
      <c r="F112" s="2"/>
      <c r="G112" s="2"/>
    </row>
    <row r="113">
      <c r="B113" s="2"/>
      <c r="C113" s="2"/>
      <c r="D113" s="2"/>
      <c r="E113" s="2"/>
      <c r="F113" s="2"/>
      <c r="G113" s="2"/>
    </row>
    <row r="114">
      <c r="B114" s="2"/>
      <c r="C114" s="2"/>
      <c r="D114" s="2"/>
      <c r="E114" s="2"/>
      <c r="F114" s="2"/>
      <c r="G114" s="2"/>
    </row>
    <row r="115">
      <c r="B115" s="2"/>
      <c r="C115" s="2"/>
      <c r="D115" s="2"/>
      <c r="E115" s="2"/>
      <c r="F115" s="2"/>
      <c r="G115" s="2"/>
    </row>
    <row r="116">
      <c r="B116" s="2"/>
      <c r="C116" s="2"/>
      <c r="D116" s="2"/>
      <c r="E116" s="2"/>
      <c r="F116" s="2"/>
      <c r="G116" s="2"/>
    </row>
    <row r="117">
      <c r="B117" s="2"/>
      <c r="C117" s="2"/>
      <c r="D117" s="2"/>
      <c r="E117" s="2"/>
      <c r="F117" s="2"/>
      <c r="G117" s="2"/>
    </row>
    <row r="118">
      <c r="B118" s="2" t="s">
        <v>447</v>
      </c>
      <c r="C118" s="2"/>
      <c r="D118" s="2"/>
      <c r="E118" s="2"/>
      <c r="F118" s="2"/>
      <c r="G118" s="2"/>
    </row>
    <row r="119">
      <c r="B119" s="2"/>
      <c r="C119" s="2"/>
      <c r="D119" s="2"/>
      <c r="E119" s="2"/>
      <c r="F119" s="2"/>
      <c r="G119" s="2"/>
    </row>
    <row r="120">
      <c r="B120" s="2" t="s">
        <v>448</v>
      </c>
      <c r="C120" s="2"/>
      <c r="D120" s="10">
        <v>11720</v>
      </c>
      <c r="E120" s="10">
        <v>12427</v>
      </c>
      <c r="F120" s="10">
        <v>11279</v>
      </c>
      <c r="G120" s="10">
        <v>10972</v>
      </c>
      <c r="H120" s="10">
        <v>46398</v>
      </c>
    </row>
  </sheetData>
</worksheet>
</file>