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Income Statement" sheetId="3" r:id="rId4"/>
    <sheet name="Balance Sheet" sheetId="4" r:id="rId5"/>
    <sheet name="Cash Flow Statement" sheetId="5" r:id="rId6"/>
    <sheet name="Geo" sheetId="6" r:id="rId7"/>
    <sheet name="Share Count" sheetId="7" r:id="rId8"/>
    <sheet name="Guidance" sheetId="8" r:id="rId9"/>
    <sheet name="Sources" sheetId="9" r:id="rId10"/>
    <sheet name="Inputs" sheetId="10" r:id="rId11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C16" authorId="0">
      <text>
        <t>prgs-20250831.htm | Page 4 | 63,437</t>
      </text>
    </comment>
    <comment ref="C22" authorId="0">
      <text>
        <t>prgs-20250831.htm | Page 18 | 104,849</t>
      </text>
    </comment>
    <comment ref="C28" authorId="0">
      <text>
        <t>prgs-20250831.htm | Page 18 | 71,512</t>
      </text>
    </comment>
    <comment ref="C34" authorId="0">
      <text>
        <t>prgs-20250831.htm | Page 18 | 9,997</t>
      </text>
    </comment>
    <comment ref="G16" authorId="0">
      <text>
        <t>prgs-20260531.htm | Page 4 | 68,979</t>
      </text>
    </comment>
    <comment ref="G22" authorId="0">
      <text>
        <t>prgs-20260531.htm | Page 13 | 101,222</t>
      </text>
    </comment>
    <comment ref="G28" authorId="0">
      <text>
        <t>prgs-20260531.htm | Page 13 | 73,005</t>
      </text>
    </comment>
    <comment ref="G34" authorId="0">
      <text>
        <t>prgs-20260531.htm | Page 13 | 10,259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E11" authorId="0">
      <text>
        <t>prgs-20251130.htm | Page 55 | 595,336</t>
      </text>
    </comment>
    <comment ref="E12" authorId="0">
      <text>
        <t>prgs-20251130.htm | Page 55 | 28,430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G20" authorId="0">
      <text>
        <t>prgs-20260531.htm | Page 3 | 42,075</t>
      </text>
    </comment>
    <comment ref="G25" authorId="0">
      <text>
        <t>prgs-20260531.htm | Page 6 | 41,312</t>
      </text>
    </comment>
    <comment ref="F20" authorId="0">
      <text>
        <t>prgs-20260228.htm | Page 3 | 42,336</t>
      </text>
    </comment>
    <comment ref="C25" authorId="0">
      <text>
        <t>prgs-20250831.htm | Page 6 | 42,905</t>
      </text>
    </comment>
    <comment ref="E25" authorId="0">
      <text>
        <t>prgs-20251130.htm | Page 40 | 42,336</t>
      </text>
    </comment>
  </commentList>
</comments>
</file>

<file path=xl/comments4.xml><?xml version="1.0" encoding="utf-8"?>
<comments xmlns="http://schemas.openxmlformats.org/spreadsheetml/2006/main">
  <authors>
    <author>Shortcut</author>
  </authors>
  <commentList>
    <comment ref="F18" authorId="0">
      <text>
        <t>exhibit991-q22026earningsr.htm | Page 2 | $244</t>
      </text>
    </comment>
    <comment ref="G18" authorId="0">
      <text>
        <t>exhibit991-q22026earningsr.htm | Page 2 | $250</t>
      </text>
    </comment>
    <comment ref="F20" authorId="0">
      <text>
        <t>exhibit991-q22026earningsr.htm | Page 2 | $1.53</t>
      </text>
    </comment>
    <comment ref="G20" authorId="0">
      <text>
        <t>exhibit991-q22026earningsr.htm | Page 2 | $1.59</t>
      </text>
    </comment>
    <comment ref="F25" authorId="0">
      <text>
        <t>exhibit991-q22026earningsr.htm | Page 2 | $250</t>
      </text>
    </comment>
  </commentList>
</comments>
</file>

<file path=xl/comments5.xml><?xml version="1.0" encoding="utf-8"?>
<comments xmlns="http://schemas.openxmlformats.org/spreadsheetml/2006/main">
  <authors>
    <author>Shortcut</author>
  </authors>
  <commentList>
    <comment ref="L19" authorId="0">
      <text>
        <t>PRGS_consensus.json | Page 1 | 1.52</t>
      </text>
    </comment>
    <comment ref="L24" authorId="0">
      <text>
        <t>PRGS_consensus.json | Page 1 | 4</t>
      </text>
    </comment>
    <comment ref="L28" authorId="0">
      <text>
        <t>PRGS_consensus.json | Page 1 | 0.39</t>
      </text>
    </comment>
    <comment ref="L36" authorId="0">
      <text>
        <t>PRGS_consensus.json | Page 1 | 247.59</t>
      </text>
    </comment>
    <comment ref="L46" authorId="0">
      <text>
        <t>PRGS_consensus.json | Page 1 | 63.25</t>
      </text>
    </comment>
    <comment ref="L47" authorId="0">
      <text>
        <t>PRGS_consensus.json | Page 1 | 15.88</t>
      </text>
    </comment>
    <comment ref="H13" authorId="0">
      <text>
        <t>PRGS_history.csv | Page 4 | 249.8</t>
      </text>
    </comment>
    <comment ref="D13" authorId="0">
      <text>
        <t>PRGS_history.csv | Page 4 | 1.5</t>
      </text>
    </comment>
  </commentList>
</comments>
</file>

<file path=xl/sharedStrings.xml><?xml version="1.0" encoding="utf-8"?>
<sst xmlns="http://schemas.openxmlformats.org/spreadsheetml/2006/main" count="706" uniqueCount="476">
  <si>
    <t>Progress Software Corporation</t>
  </si>
  <si>
    <t>Company Model — built by Shortcut</t>
  </si>
  <si>
    <t>$ millions, except per share</t>
  </si>
  <si>
    <t>Period</t>
  </si>
  <si>
    <t>3Q25A</t>
  </si>
  <si>
    <t>4Q25A</t>
  </si>
  <si>
    <t>FY25A</t>
  </si>
  <si>
    <t>1Q26A</t>
  </si>
  <si>
    <t>2Q26A</t>
  </si>
  <si>
    <t>3Q26E</t>
  </si>
  <si>
    <t>Period end</t>
  </si>
  <si>
    <t>Days in period</t>
  </si>
  <si>
    <t>Headline ($m; EPS per share)</t>
  </si>
  <si>
    <t>Shortcut est.</t>
  </si>
  <si>
    <t>CapIQ Sep 24</t>
  </si>
  <si>
    <t>Variance</t>
  </si>
  <si>
    <t>June 30 mid</t>
  </si>
  <si>
    <t>July 22 floor</t>
  </si>
  <si>
    <t>Revenue</t>
  </si>
  <si>
    <t>GAAP net income</t>
  </si>
  <si>
    <t>unavailable</t>
  </si>
  <si>
    <t>Normalized net income</t>
  </si>
  <si>
    <t>Normalized diluted EPS ($)</t>
  </si>
  <si>
    <t>GAAP diluted EPS ($)</t>
  </si>
  <si>
    <t>P(beat consensus EPS)</t>
  </si>
  <si>
    <t>Confidence</t>
  </si>
  <si>
    <t>Model checks</t>
  </si>
  <si>
    <t>Cover vs statement figures</t>
  </si>
  <si>
    <t>Company</t>
  </si>
  <si>
    <t>Ticker / exchange</t>
  </si>
  <si>
    <t>NasdaqGS:PRGS</t>
  </si>
  <si>
    <t>Fiscal year-end</t>
  </si>
  <si>
    <t>November 30</t>
  </si>
  <si>
    <t>Reporting currency</t>
  </si>
  <si>
    <t>USD</t>
  </si>
  <si>
    <t>EPS basis</t>
  </si>
  <si>
    <t>Non-GAAP / normalized diluted USD per common share</t>
  </si>
  <si>
    <t>Information cutoff</t>
  </si>
  <si>
    <t>2026-09-26T18:44:22Z</t>
  </si>
  <si>
    <t>Expected earnings release</t>
  </si>
  <si>
    <t>2026-09-30 (after market close)</t>
  </si>
  <si>
    <t>CapIQ consensus as-of</t>
  </si>
  <si>
    <t>2026-09-24 (date only)</t>
  </si>
  <si>
    <t>Notes</t>
  </si>
  <si>
    <t>Domo acquired Sep 22, after the quarter: no Q3 acquired revenue or debt.</t>
  </si>
  <si>
    <t>Risk: license renewal timing and acquisition/cybersecurity costs.</t>
  </si>
  <si>
    <t>July 22 guidance states Q3 revenue and adjusted EPS at or above June range high ends; it is not a new range midpoint.</t>
  </si>
  <si>
    <t>Revenue summary</t>
  </si>
  <si>
    <t>Annualized recurring revenue (ARR)</t>
  </si>
  <si>
    <t xml:space="preserve">  Y/Y change</t>
  </si>
  <si>
    <t xml:space="preserve">  sequential change</t>
  </si>
  <si>
    <t>Net retention rate</t>
  </si>
  <si>
    <t xml:space="preserve">  change (bps)</t>
  </si>
  <si>
    <t>Software license revenue</t>
  </si>
  <si>
    <t xml:space="preserve">  organic growth</t>
  </si>
  <si>
    <t xml:space="preserve">  M&amp;A / scope</t>
  </si>
  <si>
    <t xml:space="preserve">  FX impact</t>
  </si>
  <si>
    <t xml:space="preserve">  total Y/Y</t>
  </si>
  <si>
    <t xml:space="preserve">  sequential change ($m)</t>
  </si>
  <si>
    <t>Maintenance revenue</t>
  </si>
  <si>
    <t>SaaS revenue</t>
  </si>
  <si>
    <t>Professional services revenue</t>
  </si>
  <si>
    <t>Recurring &amp; services subtotal</t>
  </si>
  <si>
    <t>Total revenue</t>
  </si>
  <si>
    <t xml:space="preserve">  % Q/Q</t>
  </si>
  <si>
    <t xml:space="preserve">  Capital IQ reported total (rounded)</t>
  </si>
  <si>
    <t xml:space="preserve">  SEC less rounded CapIQ revenue</t>
  </si>
  <si>
    <t>Software products (one segment)</t>
  </si>
  <si>
    <t xml:space="preserve">  % Y/Y</t>
  </si>
  <si>
    <t xml:space="preserve">  % of total</t>
  </si>
  <si>
    <t>Segments less consolidated revenue</t>
  </si>
  <si>
    <t>Income Statement</t>
  </si>
  <si>
    <t xml:space="preserve">  growth Y/Y</t>
  </si>
  <si>
    <t xml:space="preserve">  Software license revenue</t>
  </si>
  <si>
    <t xml:space="preserve">  Maintenance, SaaS, services</t>
  </si>
  <si>
    <t>Cost of software licenses</t>
  </si>
  <si>
    <t>Cost of maintenance &amp; services</t>
  </si>
  <si>
    <t>Acquired amortization — cost</t>
  </si>
  <si>
    <t>Total cost of revenue</t>
  </si>
  <si>
    <t>Gross profit</t>
  </si>
  <si>
    <t xml:space="preserve">  gross margin</t>
  </si>
  <si>
    <t xml:space="preserve">  gross-margin change (bps)</t>
  </si>
  <si>
    <t>Sales and marketing</t>
  </si>
  <si>
    <t>Product development</t>
  </si>
  <si>
    <t>General and administrative</t>
  </si>
  <si>
    <t>Acquired amortization — operating</t>
  </si>
  <si>
    <t>MOVEit / cyber response, net</t>
  </si>
  <si>
    <t>Restructuring expenses</t>
  </si>
  <si>
    <t>Acquisition-related expenses</t>
  </si>
  <si>
    <t>Total operating expenses</t>
  </si>
  <si>
    <t>GAAP operating income</t>
  </si>
  <si>
    <t xml:space="preserve">  operating margin</t>
  </si>
  <si>
    <t>Interest expense</t>
  </si>
  <si>
    <t>Interest income / other</t>
  </si>
  <si>
    <t>Foreign currency (loss)</t>
  </si>
  <si>
    <t>Total other expense</t>
  </si>
  <si>
    <t>Pretax income</t>
  </si>
  <si>
    <t>Income tax provision</t>
  </si>
  <si>
    <t xml:space="preserve">  effective tax rate</t>
  </si>
  <si>
    <t xml:space="preserve">  net margin</t>
  </si>
  <si>
    <t>Basic weighted shares (m)</t>
  </si>
  <si>
    <t>Diluted weighted shares (m)</t>
  </si>
  <si>
    <t>GAAP basic EPS ($)</t>
  </si>
  <si>
    <t>Add: acquired intangibles amort.</t>
  </si>
  <si>
    <t>Add: share-based compensation</t>
  </si>
  <si>
    <t>Add: restructuring expenses</t>
  </si>
  <si>
    <t>Add: acquisition costs</t>
  </si>
  <si>
    <t>Add: cybersecurity response, net</t>
  </si>
  <si>
    <t>Less: GAAP-to-non-GAAP income tax</t>
  </si>
  <si>
    <t>Normalized diluted net income</t>
  </si>
  <si>
    <t xml:space="preserve">  normalized EPS Y/Y</t>
  </si>
  <si>
    <t>GAAP EPS / diluted-share check</t>
  </si>
  <si>
    <t>CapIQ normalized EPS (rounded source)</t>
  </si>
  <si>
    <t>CapIQ GAAP EPS (rounded source)</t>
  </si>
  <si>
    <t xml:space="preserve">  operating-margin change (bps)</t>
  </si>
  <si>
    <t xml:space="preserve">  effective-tax-rate change (bps)</t>
  </si>
  <si>
    <t xml:space="preserve">  net-margin change (bps)</t>
  </si>
  <si>
    <t>Normalized net margin</t>
  </si>
  <si>
    <t xml:space="preserve">  normalized-margin change (bps)</t>
  </si>
  <si>
    <t>Balance Sheet</t>
  </si>
  <si>
    <t>Cash and equivalents</t>
  </si>
  <si>
    <t>Trade receivables</t>
  </si>
  <si>
    <t>Current unbilled receivables</t>
  </si>
  <si>
    <t>Other current assets / forecast WC</t>
  </si>
  <si>
    <t>Total current assets</t>
  </si>
  <si>
    <t>Property and equipment, net</t>
  </si>
  <si>
    <t>Goodwill</t>
  </si>
  <si>
    <t>Acquired intangible assets, net</t>
  </si>
  <si>
    <t>Lease assets</t>
  </si>
  <si>
    <t>Non-current unbilled receivables</t>
  </si>
  <si>
    <t>Deferred income tax assets</t>
  </si>
  <si>
    <t>Other non-current assets</t>
  </si>
  <si>
    <t>Total assets</t>
  </si>
  <si>
    <t>Accounts payable</t>
  </si>
  <si>
    <t>Accrued compensation</t>
  </si>
  <si>
    <t>Other current accruals</t>
  </si>
  <si>
    <t>Current deferred revenue</t>
  </si>
  <si>
    <t>Current convertible debt</t>
  </si>
  <si>
    <t>Current lease liabilities</t>
  </si>
  <si>
    <t>Total current liabilities</t>
  </si>
  <si>
    <t>Long-term borrowings</t>
  </si>
  <si>
    <t>Non-current convertible notes</t>
  </si>
  <si>
    <t>Long-term deferred revenue</t>
  </si>
  <si>
    <t>Long-term lease liability</t>
  </si>
  <si>
    <t>Deferred income tax liabilities</t>
  </si>
  <si>
    <t>Other non-current liabilities</t>
  </si>
  <si>
    <t>Total liabilities</t>
  </si>
  <si>
    <t>Shareholders equity</t>
  </si>
  <si>
    <t>Liabilities + shareholders equity</t>
  </si>
  <si>
    <t>Assets - liabilities - equity</t>
  </si>
  <si>
    <t>Working capital: receivables +8, unbilled +3, prepaids +8, deferred revenue +2 ($m); other noncash +4 accrues a liability; PPE reflects capital spending and depreciation.</t>
  </si>
  <si>
    <t>Cash Flow Statement</t>
  </si>
  <si>
    <t>Depreciation &amp; amortization</t>
  </si>
  <si>
    <t>Stock compensation</t>
  </si>
  <si>
    <t>Other noncash items</t>
  </si>
  <si>
    <t>Change in operating assets / liabilities</t>
  </si>
  <si>
    <t>Net operating cash flow</t>
  </si>
  <si>
    <t>Capital expenditures</t>
  </si>
  <si>
    <t>Payments for acquisitions</t>
  </si>
  <si>
    <t>Other investing activities</t>
  </si>
  <si>
    <t>Net investing cash flow</t>
  </si>
  <si>
    <t>Share repurchases</t>
  </si>
  <si>
    <t>Remaining financing (incl. net debt)</t>
  </si>
  <si>
    <t>Other financing activities</t>
  </si>
  <si>
    <t>Net financing cash flow</t>
  </si>
  <si>
    <t>FX effect on cash</t>
  </si>
  <si>
    <t>Net change in cash</t>
  </si>
  <si>
    <t>Beginning cash</t>
  </si>
  <si>
    <t>Ending cash</t>
  </si>
  <si>
    <t>Cash flow less balance-sheet cash</t>
  </si>
  <si>
    <t>Geo</t>
  </si>
  <si>
    <t>Geographic revenues as reported</t>
  </si>
  <si>
    <t>United States — annual only</t>
  </si>
  <si>
    <t>Canada — annual only</t>
  </si>
  <si>
    <t>North America (US + Canada)</t>
  </si>
  <si>
    <t>Quarterly regional revenue</t>
  </si>
  <si>
    <t>Europe / Middle East / Africa</t>
  </si>
  <si>
    <t>Latin America</t>
  </si>
  <si>
    <t>Asia Pacific</t>
  </si>
  <si>
    <t>Total geography revenue</t>
  </si>
  <si>
    <t>Geography less reported revenue</t>
  </si>
  <si>
    <t>REGIONAL GROWTH &amp; MIX DRIVERS</t>
  </si>
  <si>
    <t>FY25 US/Canada separately reported; quarterly country split unavailable.</t>
  </si>
  <si>
    <t>Projected four-region revenue uses last reported quarter regional mix; no region-specific forward guidance was issued.</t>
  </si>
  <si>
    <t>North America revenue</t>
  </si>
  <si>
    <t xml:space="preserve">  Q/Q change</t>
  </si>
  <si>
    <t xml:space="preserve">  absolute sequential change</t>
  </si>
  <si>
    <t xml:space="preserve">  % of total revenue</t>
  </si>
  <si>
    <t xml:space="preserve">  mix change (bps)</t>
  </si>
  <si>
    <t>EMEA revenue</t>
  </si>
  <si>
    <t>Latin America revenue</t>
  </si>
  <si>
    <t>Asia Pacific revenue</t>
  </si>
  <si>
    <t>REGIONAL GROWTH DECOMPOSITION</t>
  </si>
  <si>
    <t>North America organic Y/Y</t>
  </si>
  <si>
    <t xml:space="preserve">  FX impact¹</t>
  </si>
  <si>
    <t>Regional currency effects are unavailable. Zero is an explicit unsplit-model assumption, not an issuer-disclosed value; company Q3 FX guidance impact $0.2m appears only in Revenue summary!H49.</t>
  </si>
  <si>
    <t>EMEA organic Y/Y</t>
  </si>
  <si>
    <t>Latin America organic Y/Y</t>
  </si>
  <si>
    <t>Asia Pacific organic Y/Y</t>
  </si>
  <si>
    <t>Share Count</t>
  </si>
  <si>
    <t>Basic weighted shares (millions)</t>
  </si>
  <si>
    <t>Dilutive securities (millions)</t>
  </si>
  <si>
    <t>Diluted weighted shares (millions)</t>
  </si>
  <si>
    <t xml:space="preserve">  growth vs year ago</t>
  </si>
  <si>
    <t xml:space="preserve">  diluted growth change (bps)</t>
  </si>
  <si>
    <t>Repurchases ($ millions)</t>
  </si>
  <si>
    <t>Gross issued shares (m)</t>
  </si>
  <si>
    <t>Share count used in forecast EPS</t>
  </si>
  <si>
    <t>Opening common shares, period (m)</t>
  </si>
  <si>
    <t>Last observed share close used as buyback-price proxy; Q3 gross issuance and RSU withholding are assumptions.</t>
  </si>
  <si>
    <t>Gross issuance, period (m)</t>
  </si>
  <si>
    <t>Repurchased shares, period (m)</t>
  </si>
  <si>
    <t>RSUs withheld for tax (m)</t>
  </si>
  <si>
    <t>Net share additions (m)</t>
  </si>
  <si>
    <t>Closing common shares (m)</t>
  </si>
  <si>
    <t>Midpoint shares (m)</t>
  </si>
  <si>
    <t>Weighted basic vs midpoint (timing)</t>
  </si>
  <si>
    <t>Share roll-forward check</t>
  </si>
  <si>
    <t>SHARE-COUNT DRIVER COMPARISONS</t>
  </si>
  <si>
    <t>Basic weighted shares</t>
  </si>
  <si>
    <t xml:space="preserve">  Y/Y change (absolute)</t>
  </si>
  <si>
    <t xml:space="preserve">  sequential change (absolute)</t>
  </si>
  <si>
    <t>Dilutive securities</t>
  </si>
  <si>
    <t>Diluted weighted shares</t>
  </si>
  <si>
    <t>Repurchase cash</t>
  </si>
  <si>
    <t>Gross share issuance</t>
  </si>
  <si>
    <t>Opening shares</t>
  </si>
  <si>
    <t>Gross additions</t>
  </si>
  <si>
    <t>Repurchased shares</t>
  </si>
  <si>
    <t>RSUs withheld for taxes</t>
  </si>
  <si>
    <t>Prior-year quarter comparisons outside the four-quarter timeline are unavailable except 3Q25 against projected 3Q26.</t>
  </si>
  <si>
    <t>Net additions</t>
  </si>
  <si>
    <t>Closing shares</t>
  </si>
  <si>
    <t>Average shares</t>
  </si>
  <si>
    <t>Guidance</t>
  </si>
  <si>
    <t>ID</t>
  </si>
  <si>
    <t>Announced</t>
  </si>
  <si>
    <t>Metric</t>
  </si>
  <si>
    <t>Low</t>
  </si>
  <si>
    <t>High</t>
  </si>
  <si>
    <t>Midpoint</t>
  </si>
  <si>
    <t>Actual (if reported)</t>
  </si>
  <si>
    <t>Beat vs midpoint</t>
  </si>
  <si>
    <t>G01</t>
  </si>
  <si>
    <t>FY26</t>
  </si>
  <si>
    <t>G02</t>
  </si>
  <si>
    <t>GAAP EPS</t>
  </si>
  <si>
    <t>G03</t>
  </si>
  <si>
    <t>Non-GAAP EPS</t>
  </si>
  <si>
    <t>G04</t>
  </si>
  <si>
    <t>Non-GAAP op margin</t>
  </si>
  <si>
    <t>G05</t>
  </si>
  <si>
    <t>GAAP operating cash</t>
  </si>
  <si>
    <t>G06</t>
  </si>
  <si>
    <t>Non-GAAP tax rate</t>
  </si>
  <si>
    <t>G07</t>
  </si>
  <si>
    <t>3Q26</t>
  </si>
  <si>
    <t>G08</t>
  </si>
  <si>
    <t>G09</t>
  </si>
  <si>
    <t>G10</t>
  </si>
  <si>
    <t>2Q26</t>
  </si>
  <si>
    <t>G11</t>
  </si>
  <si>
    <t>G12</t>
  </si>
  <si>
    <t>1Q26</t>
  </si>
  <si>
    <t>G13</t>
  </si>
  <si>
    <t>G14</t>
  </si>
  <si>
    <t>Revenue: at/above high end</t>
  </si>
  <si>
    <t>G15</t>
  </si>
  <si>
    <t>EPS: at/above high end</t>
  </si>
  <si>
    <t>July 22 reaffirmation predates the September 24 consensus and is not added to it twice.</t>
  </si>
  <si>
    <t>Sources</t>
  </si>
  <si>
    <t>Source ID</t>
  </si>
  <si>
    <t>Published</t>
  </si>
  <si>
    <t>Publisher</t>
  </si>
  <si>
    <t>URL / local file</t>
  </si>
  <si>
    <t>Model usage</t>
  </si>
  <si>
    <t>S01</t>
  </si>
  <si>
    <t>SEC / Progress</t>
  </si>
  <si>
    <t>https://www.sec.gov/Archives/edgar/data/876167/000087616725000143/prgs-20250831.htm</t>
  </si>
  <si>
    <t>3Q25 P&amp;L, balance, revenue and geography; single segment</t>
  </si>
  <si>
    <t>S02</t>
  </si>
  <si>
    <t>https://www.sec.gov/Archives/edgar/data/876167/000087616726000008/prgs-20251130.htm</t>
  </si>
  <si>
    <t>FY25 statement and revenue totals</t>
  </si>
  <si>
    <t>S03</t>
  </si>
  <si>
    <t>Issuer release</t>
  </si>
  <si>
    <t>https://investors.progress.com/static-files/921f0aaa-4630-49d5-ab9f-befcc93d5ade</t>
  </si>
  <si>
    <t>4Q25 EPS reconciliation and CFO</t>
  </si>
  <si>
    <t>S04</t>
  </si>
  <si>
    <t>https://www.sec.gov/Archives/edgar/data/876167/000087616726000051/prgs-20260228.htm</t>
  </si>
  <si>
    <t>1Q26 statements and geography</t>
  </si>
  <si>
    <t>S05</t>
  </si>
  <si>
    <t>SEC release</t>
  </si>
  <si>
    <t>https://www.sec.gov/Archives/edgar/data/876167/000087616726000050/exhibit991-q12026earningsr.htm</t>
  </si>
  <si>
    <t>1Q26 adjusted EPS and 2Q26 guidance</t>
  </si>
  <si>
    <t>S06</t>
  </si>
  <si>
    <t>https://www.sec.gov/Archives/edgar/data/876167/000087616726000078/prgs-20260531.htm</t>
  </si>
  <si>
    <t>2Q26 statements; one reportable segment (Note 11)</t>
  </si>
  <si>
    <t>S07</t>
  </si>
  <si>
    <t>https://www.sec.gov/Archives/edgar/data/876167/000087616726000077/exhibit991-q22026earningsr.htm</t>
  </si>
  <si>
    <t>Guidance, FX, GAAP/normalized bridge</t>
  </si>
  <si>
    <t>S08</t>
  </si>
  <si>
    <t>https://www.sec.gov/Archives/edgar/data/876167/000155278126000390/e26303_ex99-1.htm</t>
  </si>
  <si>
    <t>Q3 at or above top-end reaffirmation</t>
  </si>
  <si>
    <t>S09</t>
  </si>
  <si>
    <t>Issuer press release</t>
  </si>
  <si>
    <t>https://www.globenewswire.com/news-release/2026/09/22/3366879/0/en/progress-software-completes-acquisition-of-domo-s-ai-and-data-platform-business.html</t>
  </si>
  <si>
    <t>Domo transaction after quarter end; no Q3 acquisition revenue</t>
  </si>
  <si>
    <t>S10</t>
  </si>
  <si>
    <t>Alphastreet</t>
  </si>
  <si>
    <t>https://news.alphastreet.com/progress-software-prgs-q3-2026-preview-eps-est-1-52-reports-september-30/amp/</t>
  </si>
  <si>
    <t>EPS estimates stable last 30 days; public consensus corroboration</t>
  </si>
  <si>
    <t>S11</t>
  </si>
  <si>
    <t>10-K Revenue note</t>
  </si>
  <si>
    <t>https://app.edgar.tools/companies/PRGS/disclosures/revenue</t>
  </si>
  <si>
    <t>FY25 US vs Canada and international sales</t>
  </si>
  <si>
    <t>S12</t>
  </si>
  <si>
    <t>S&amp;P Capital IQ</t>
  </si>
  <si>
    <t>PRGS_history.csv</t>
  </si>
  <si>
    <t>Six historical quarters; rounded consensus and actuals</t>
  </si>
  <si>
    <t>S13</t>
  </si>
  <si>
    <t>PRGS_consensus.json</t>
  </si>
  <si>
    <t>Full cutoff summary / normalized mean n=4</t>
  </si>
  <si>
    <t>S14</t>
  </si>
  <si>
    <t>Issuer transcript</t>
  </si>
  <si>
    <t>https://stockanalysis.com/stocks/prgs/transcripts/626725-q2-2026/</t>
  </si>
  <si>
    <t>License strength, ARR, 100% retention, uncertainties</t>
  </si>
  <si>
    <t>Omissions</t>
  </si>
  <si>
    <t>10-Q Note 11</t>
  </si>
  <si>
    <t>No Segment tab: one reportable segment; drivers appear on Revenue summary</t>
  </si>
  <si>
    <t>Disclosure</t>
  </si>
  <si>
    <t>FY2025 10-K</t>
  </si>
  <si>
    <t>S02 / S11</t>
  </si>
  <si>
    <t>Geo tab required: US, Canada, EMEA, LatAm, APAC annual; four quarterly regions</t>
  </si>
  <si>
    <t>Inputs audit</t>
  </si>
  <si>
    <t>Capital IQ</t>
  </si>
  <si>
    <t>Inputs!B10:I16, K10:L63</t>
  </si>
  <si>
    <t>Historical source and full summary preserved; target-price entries not modeled</t>
  </si>
  <si>
    <t>Cutoff</t>
  </si>
  <si>
    <t>Forecast methodology</t>
  </si>
  <si>
    <t>Pre-release only</t>
  </si>
  <si>
    <t>Time 18:44:22 UTC; target-quarter results not consulted</t>
  </si>
  <si>
    <t>Input</t>
  </si>
  <si>
    <t>Captured / filed</t>
  </si>
  <si>
    <t>SHA256 / file</t>
  </si>
  <si>
    <t>Usage</t>
  </si>
  <si>
    <t>CapIQ capture</t>
  </si>
  <si>
    <t>Date-only capture; exact clock time unavailable</t>
  </si>
  <si>
    <t>History SHA256</t>
  </si>
  <si>
    <t>PRGS_history.csv; verification of six source rows</t>
  </si>
  <si>
    <t>Consensus SHA256</t>
  </si>
  <si>
    <t>PRGS_consensus.json; full summary Inputs!K10:L63</t>
  </si>
  <si>
    <t>Inputs</t>
  </si>
  <si>
    <t>period_end_date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</si>
  <si>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</si>
  <si>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</si>
  <si>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</si>
  <si>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</si>
  <si>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</si>
  <si>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</si>
  <si>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 xml:space="preserve">report_date_x000D_</t>
  </si>
  <si>
    <t>ticker</t>
  </si>
  <si>
    <t>PRGS</t>
  </si>
  <si>
    <t>License sequential growth</t>
  </si>
  <si>
    <t>company</t>
  </si>
  <si>
    <t>Maintenance sequential growth</t>
  </si>
  <si>
    <t>exchange_ticker</t>
  </si>
  <si>
    <t>SaaS sequential growth</t>
  </si>
  <si>
    <t>capiq_company_id</t>
  </si>
  <si>
    <t>Professional sequential growth</t>
  </si>
  <si>
    <t>analyst_count</t>
  </si>
  <si>
    <t>ARR sequential growth</t>
  </si>
  <si>
    <t>fiscal_year_end</t>
  </si>
  <si>
    <t>Nov-30</t>
  </si>
  <si>
    <t>M&amp;A revenue scope Q3</t>
  </si>
  <si>
    <t>forward_quarter_label</t>
  </si>
  <si>
    <t>FQ3 2026 - Aug 2026</t>
  </si>
  <si>
    <t>FX impact on Q3 revenue</t>
  </si>
  <si>
    <t>Revenue confidence P(beat)</t>
  </si>
  <si>
    <t>expected_report_date</t>
  </si>
  <si>
    <t>EPS net retention Q2</t>
  </si>
  <si>
    <t>eps_normalized_mean</t>
  </si>
  <si>
    <t>Q3 licensed products investment</t>
  </si>
  <si>
    <t>eps_normalized_median</t>
  </si>
  <si>
    <t>License cost</t>
  </si>
  <si>
    <t>eps_normalized_high</t>
  </si>
  <si>
    <t>Maintenance/SaaS/services cost</t>
  </si>
  <si>
    <t>eps_normalized_low</t>
  </si>
  <si>
    <t>Amortization in cost</t>
  </si>
  <si>
    <t>eps_normalized_std_dev</t>
  </si>
  <si>
    <t>eps_normalized_n_est</t>
  </si>
  <si>
    <t>eps_normalized_guidance</t>
  </si>
  <si>
    <t>eps_normalized_guidance_low</t>
  </si>
  <si>
    <t>Amortization operating</t>
  </si>
  <si>
    <t>eps_normalized_guidance_high</t>
  </si>
  <si>
    <t>Cyber response</t>
  </si>
  <si>
    <t>eps_gaap_mean</t>
  </si>
  <si>
    <t>Restructuring cost</t>
  </si>
  <si>
    <t>eps_gaap_median</t>
  </si>
  <si>
    <t>Acquisition transaction expense</t>
  </si>
  <si>
    <t>Forecast transaction-cost assumption; actual undisclosed.</t>
  </si>
  <si>
    <t>eps_gaap_high</t>
  </si>
  <si>
    <t>eps_gaap_low</t>
  </si>
  <si>
    <t>Other interest income</t>
  </si>
  <si>
    <t>eps_gaap_std_dev</t>
  </si>
  <si>
    <t>Currency loss</t>
  </si>
  <si>
    <t>eps_gaap_n_est</t>
  </si>
  <si>
    <t>GAAP tax rate</t>
  </si>
  <si>
    <t>eps_gaap_guidance_low</t>
  </si>
  <si>
    <t>eps_gaap_guidance_high</t>
  </si>
  <si>
    <t>Normalized tax rate</t>
  </si>
  <si>
    <t>revenue_m_mean</t>
  </si>
  <si>
    <t>Forecast basic shares (m)</t>
  </si>
  <si>
    <t>revenue_m_median</t>
  </si>
  <si>
    <t>Forecast dilution (m)</t>
  </si>
  <si>
    <t>revenue_m_high</t>
  </si>
  <si>
    <t>Forecast CFO D&amp;A</t>
  </si>
  <si>
    <t>revenue_m_low</t>
  </si>
  <si>
    <t>Forecast other non-cash</t>
  </si>
  <si>
    <t>revenue_m_std_dev</t>
  </si>
  <si>
    <t>revenue_m_n_est</t>
  </si>
  <si>
    <t>Forecast buyback cash</t>
  </si>
  <si>
    <t>revenue_m_guidance_low</t>
  </si>
  <si>
    <t>Forecast debt repayment</t>
  </si>
  <si>
    <t>revenue_m_guidance_high</t>
  </si>
  <si>
    <t>Forecast capex</t>
  </si>
  <si>
    <t>ebitda_m_mean</t>
  </si>
  <si>
    <t>Forecast quarter-end FX cash</t>
  </si>
  <si>
    <t>ebit_m_mean</t>
  </si>
  <si>
    <t>Forecast acquisitions during quarter</t>
  </si>
  <si>
    <t>net_income_excl_excep_m_mean</t>
  </si>
  <si>
    <t>Forecast confidence</t>
  </si>
  <si>
    <t>medium</t>
  </si>
  <si>
    <t>net_income_gaap_m_mean</t>
  </si>
  <si>
    <t>FY25 nine-month share repurchases</t>
  </si>
  <si>
    <t>gross_margin_pct_mean</t>
  </si>
  <si>
    <t>Forecast gross share issuance (m)</t>
  </si>
  <si>
    <t>effective_tax_rate_pct_mean</t>
  </si>
  <si>
    <t>Forecast RSU withholding (m)</t>
  </si>
  <si>
    <t>capex_m_mean</t>
  </si>
  <si>
    <t>3Q25 financing cash flow</t>
  </si>
  <si>
    <t>fcf_m_mean</t>
  </si>
  <si>
    <t>4Q25 financing cash flow</t>
  </si>
  <si>
    <t>cfo_m_mean</t>
  </si>
  <si>
    <t>FY25 financing cash flow</t>
  </si>
  <si>
    <t>d_and_a_m_mean</t>
  </si>
  <si>
    <t>1Q26 financing cash flow</t>
  </si>
  <si>
    <t>target_price_mean</t>
  </si>
  <si>
    <t>2Q26 financing cash flow</t>
  </si>
  <si>
    <t>target_price_median</t>
  </si>
  <si>
    <t>2Q25 diluted weighted shares</t>
  </si>
  <si>
    <t>target_price_high</t>
  </si>
  <si>
    <t>1Q25 diluted weighted shares</t>
  </si>
  <si>
    <t>target_price_low</t>
  </si>
  <si>
    <t>4Q24 diluted weighted shares</t>
  </si>
  <si>
    <t>target_price_std_dev</t>
  </si>
  <si>
    <t>FY24 diluted weighted shares</t>
  </si>
  <si>
    <t>target_price_n_est</t>
  </si>
  <si>
    <t>3Q24 diluted weighted shares</t>
  </si>
  <si>
    <t>recommendation</t>
  </si>
  <si>
    <t>Buy</t>
  </si>
  <si>
    <t>recommendation_score</t>
  </si>
  <si>
    <t>Receivables change, Q3 ($m)</t>
  </si>
  <si>
    <t>Working-capital movements are independent forecast assumptions, not reported Q3 results.</t>
  </si>
  <si>
    <t>last_close_price</t>
  </si>
  <si>
    <t>Unbilled current change ($m)</t>
  </si>
  <si>
    <t>notes</t>
  </si>
  <si>
    <t>Results after close Sep 30. 52wk range 47.37/23.82. FY2026 guidance EPSn 6.09/6.21, revenue 990.00/1002.00.</t>
  </si>
  <si>
    <t>Other current assets change ($m)</t>
  </si>
  <si>
    <t>Deferred revenue change ($m)</t>
  </si>
  <si>
    <t>Regional FX impact — assumed zero</t>
  </si>
  <si>
    <t>Issuer disclosed only corporate Q3 $0.2m FX translation; regional impacts are unavailable.</t>
  </si>
  <si>
    <t>CapIQ consensus captured</t>
  </si>
  <si>
    <t>8f2a83ebb5c33552dda97a307c8df14ff1563f73eef13eb1bfbf5e93fa662fff</t>
  </si>
  <si>
    <t>c2bba6c20e9011bebeb214a1a7bfcc6ed7fe7b2397cac29941cb9639db46efb5</t>
  </si>
  <si>
    <t>Target-price fields</t>
  </si>
  <si>
    <t>Archival only; not modeled</t>
  </si>
</sst>
</file>

<file path=xl/styles.xml><?xml version="1.0" encoding="utf-8"?>
<styleSheet xmlns="http://schemas.openxmlformats.org/spreadsheetml/2006/main">
  <numFmts count="5">
    <numFmt numFmtId="164" formatCode="yyyy-mm-dd"/>
    <numFmt numFmtId="165" formatCode="#,##0.0_);(#,##0.0);–_)"/>
    <numFmt numFmtId="166" formatCode="$0.00"/>
    <numFmt numFmtId="167" formatCode="0.0%_);(0.0%);–_)"/>
    <numFmt numFmtId="168" formatCode="#,##0.0"/>
  </numFmts>
  <fonts count="14">
    <font>
      <sz val="11"/>
      <name val="Calibri"/>
    </font>
    <font>
      <b val="0"/>
      <i val="0"/>
      <strike val="0"/>
      <sz val="10"/>
      <color rgb="FF000000"/>
      <name val="Aptos Narrow"/>
    </font>
    <font>
      <b/>
      <i val="0"/>
      <strike val="0"/>
      <sz val="13"/>
      <color rgb="FF000000"/>
      <name val="Aptos Narrow"/>
    </font>
    <font>
      <b/>
      <i val="0"/>
      <strike val="0"/>
      <sz val="10"/>
      <color rgb="FF000000"/>
      <name val="Aptos Narrow"/>
    </font>
    <font>
      <b/>
      <i val="0"/>
      <strike val="0"/>
      <sz val="10"/>
      <color rgb="FF006100"/>
      <name val="Aptos Narrow"/>
    </font>
    <font>
      <b val="0"/>
      <i val="0"/>
      <strike val="0"/>
      <sz val="10"/>
      <color rgb="FF0000FF"/>
      <name val="Aptos Narrow"/>
    </font>
    <font>
      <b/>
      <i val="0"/>
      <strike val="0"/>
      <sz val="12"/>
      <color rgb="FF000000"/>
      <name val="Aptos Narrow"/>
    </font>
    <font>
      <b val="0"/>
      <i val="0"/>
      <strike val="0"/>
      <sz val="10"/>
      <color rgb="FF006100"/>
      <name val="Aptos Narrow"/>
    </font>
    <font>
      <b val="0"/>
      <i/>
      <strike val="0"/>
      <sz val="10"/>
      <color rgb="FF006100"/>
      <name val="Aptos Narrow"/>
    </font>
    <font>
      <b val="0"/>
      <i/>
      <strike val="0"/>
      <sz val="10"/>
      <color rgb="FF000000"/>
      <name val="Aptos Narrow"/>
    </font>
    <font>
      <b/>
      <i val="0"/>
      <strike val="0"/>
      <sz val="10"/>
      <color rgb="FF0000FF"/>
      <name val="Aptos Narrow"/>
    </font>
    <font>
      <b val="0"/>
      <i/>
      <strike val="0"/>
      <sz val="10"/>
      <color rgb="FF0000FF"/>
      <name val="Aptos Narrow"/>
    </font>
    <font>
      <b val="0"/>
      <i val="0"/>
      <strike val="0"/>
      <sz val="11"/>
      <color rgb="FF000000"/>
      <name val="Calibri"/>
    </font>
    <font>
      <b/>
      <i/>
      <strike val="0"/>
      <sz val="10"/>
      <color rgb="FF000000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F2F7FD"/>
      </patternFill>
    </fill>
    <fill>
      <patternFill patternType="solid">
        <fgColor rgb="FFEDF0F2"/>
      </patternFill>
    </fill>
    <fill>
      <patternFill patternType="solid">
        <fgColor rgb="FFFFF4CC"/>
      </patternFill>
    </fill>
  </fills>
  <borders count="3">
    <border>
      <left/>
      <right/>
      <top/>
      <bottom/>
      <diagonal/>
    </border>
    <border>
      <top style="thin">
        <color rgb="FFB2B9C2"/>
      </top>
    </border>
    <border>
      <top style="thin">
        <color rgb="FF9CA3AF"/>
      </top>
      <bottom style="thin">
        <color rgb="FF9CA3AF"/>
      </bottom>
    </border>
  </borders>
  <cellStyleXfs count="1">
    <xf numFmtId="0" fontId="0" fillId="0" borderId="0"/>
  </cellStyleXfs>
  <cellXfs count="55">
    <xf numFmtId="0" fontId="0" fillId="0" borderId="0" xfId="0"/>
    <xf numFmtId="164" fontId="1" fillId="0" borderId="0" xfId="0" applyNumberFormat="1" applyFont="1" applyFill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general" vertical="bottom"/>
      <protection locked="1" hidden="0"/>
    </xf>
    <xf numFmtId="0" fontId="2" fillId="0" borderId="0" xfId="0" applyFont="1" applyFill="1" applyAlignment="1" applyProtection="1">
      <alignment horizontal="general" vertical="bottom"/>
      <protection locked="1" hidden="0"/>
    </xf>
    <xf numFmtId="165" fontId="1" fillId="2" borderId="0" xfId="0" applyNumberFormat="1" applyFont="1" applyFill="1" applyAlignment="1" applyProtection="1">
      <alignment horizontal="general" vertical="bottom"/>
      <protection locked="1" hidden="0"/>
    </xf>
    <xf numFmtId="165" fontId="1" fillId="0" borderId="0" xfId="0" applyNumberFormat="1" applyFont="1" applyFill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general" vertical="bottom" wrapText="1"/>
      <protection locked="1" hidden="0"/>
    </xf>
    <xf numFmtId="0" fontId="3" fillId="0" borderId="1" xfId="0" applyFont="1" applyFill="1" applyBorder="1" applyAlignment="1" applyProtection="1">
      <alignment horizontal="general" vertical="bottom"/>
      <protection locked="1" hidden="0"/>
    </xf>
    <xf numFmtId="165" fontId="3" fillId="3" borderId="2" xfId="0" applyNumberFormat="1" applyFont="1" applyFill="1" applyBorder="1" applyAlignment="1" applyProtection="1">
      <alignment horizontal="general" vertical="bottom"/>
      <protection locked="1" hidden="0"/>
    </xf>
    <xf numFmtId="166" fontId="4" fillId="2" borderId="1" xfId="0" applyNumberFormat="1" applyFont="1" applyFill="1" applyBorder="1" applyAlignment="1" applyProtection="1">
      <alignment horizontal="general" vertical="bottom"/>
      <protection locked="1" hidden="0"/>
    </xf>
    <xf numFmtId="0" fontId="3" fillId="3" borderId="2" xfId="0" applyFont="1" applyFill="1" applyBorder="1" applyAlignment="1" applyProtection="1">
      <alignment horizontal="general" vertical="bottom"/>
      <protection locked="1" hidden="0"/>
    </xf>
    <xf numFmtId="165" fontId="3" fillId="0" borderId="1" xfId="0" applyNumberFormat="1" applyFont="1" applyFill="1" applyBorder="1" applyAlignment="1" applyProtection="1">
      <alignment horizontal="general" vertical="bottom"/>
      <protection locked="1" hidden="0"/>
    </xf>
    <xf numFmtId="166" fontId="5" fillId="0" borderId="0" xfId="0" applyNumberFormat="1" applyFont="1" applyFill="1" applyAlignment="1" applyProtection="1">
      <alignment horizontal="general" vertical="bottom"/>
      <protection locked="1" hidden="0"/>
    </xf>
    <xf numFmtId="165" fontId="5" fillId="0" borderId="0" xfId="0" applyNumberFormat="1" applyFont="1" applyFill="1" applyAlignment="1" applyProtection="1">
      <alignment horizontal="general" vertical="bottom"/>
      <protection locked="1" hidden="0"/>
    </xf>
    <xf numFmtId="0" fontId="3" fillId="2" borderId="2" xfId="0" applyFont="1" applyFill="1" applyBorder="1" applyAlignment="1" applyProtection="1">
      <alignment horizontal="general" vertical="bottom"/>
      <protection locked="1" hidden="0"/>
    </xf>
    <xf numFmtId="166" fontId="1" fillId="0" borderId="0" xfId="0" applyNumberFormat="1" applyFont="1" applyFill="1" applyAlignment="1" applyProtection="1">
      <alignment horizontal="general" vertical="bottom"/>
      <protection locked="1" hidden="0"/>
    </xf>
    <xf numFmtId="0" fontId="6" fillId="0" borderId="0" xfId="0" applyFont="1" applyFill="1" applyAlignment="1" applyProtection="1">
      <alignment horizontal="general" vertical="bottom"/>
      <protection locked="1" hidden="0"/>
    </xf>
    <xf numFmtId="0" fontId="1" fillId="2" borderId="0" xfId="0" applyFont="1" applyFill="1" applyAlignment="1" applyProtection="1">
      <alignment horizontal="general" vertical="bottom"/>
      <protection locked="1" hidden="0"/>
    </xf>
    <xf numFmtId="167" fontId="5" fillId="0" borderId="0" xfId="0" applyNumberFormat="1" applyFont="1" applyFill="1" applyAlignment="1" applyProtection="1">
      <alignment horizontal="general" vertical="bottom"/>
      <protection locked="1" hidden="0"/>
    </xf>
    <xf numFmtId="165" fontId="4" fillId="0" borderId="1" xfId="0" applyNumberFormat="1" applyFont="1" applyFill="1" applyBorder="1" applyAlignment="1" applyProtection="1">
      <alignment horizontal="general" vertical="bottom"/>
      <protection locked="1" hidden="0"/>
    </xf>
    <xf numFmtId="165" fontId="4" fillId="2" borderId="1" xfId="0" applyNumberFormat="1" applyFont="1" applyFill="1" applyBorder="1" applyAlignment="1" applyProtection="1">
      <alignment horizontal="general" vertical="bottom"/>
      <protection locked="1" hidden="0"/>
    </xf>
    <xf numFmtId="165" fontId="7" fillId="2" borderId="0" xfId="0" applyNumberFormat="1" applyFont="1" applyFill="1" applyAlignment="1" applyProtection="1">
      <alignment horizontal="general" vertical="bottom"/>
      <protection locked="1" hidden="0"/>
    </xf>
    <xf numFmtId="165" fontId="7" fillId="0" borderId="0" xfId="0" applyNumberFormat="1" applyFont="1" applyFill="1" applyAlignment="1" applyProtection="1">
      <alignment horizontal="general" vertical="bottom"/>
      <protection locked="1" hidden="0"/>
    </xf>
    <xf numFmtId="167" fontId="7" fillId="2" borderId="0" xfId="0" applyNumberFormat="1" applyFont="1" applyFill="1" applyAlignment="1" applyProtection="1">
      <alignment horizontal="general" vertical="bottom"/>
      <protection locked="1" hidden="0"/>
    </xf>
    <xf numFmtId="166" fontId="7" fillId="0" borderId="0" xfId="0" applyNumberFormat="1" applyFont="1" applyFill="1" applyAlignment="1" applyProtection="1">
      <alignment horizontal="general" vertical="bottom"/>
      <protection locked="1" hidden="0"/>
    </xf>
    <xf numFmtId="167" fontId="1" fillId="0" borderId="0" xfId="0" applyNumberFormat="1" applyFont="1" applyFill="1" applyAlignment="1" applyProtection="1">
      <alignment horizontal="general" vertical="bottom"/>
      <protection locked="1" hidden="0"/>
    </xf>
    <xf numFmtId="164" fontId="1" fillId="2" borderId="0" xfId="0" applyNumberFormat="1" applyFont="1" applyFill="1" applyAlignment="1" applyProtection="1">
      <alignment horizontal="general" vertical="bottom"/>
      <protection locked="1" hidden="0"/>
    </xf>
    <xf numFmtId="166" fontId="7" fillId="2" borderId="0" xfId="0" applyNumberFormat="1" applyFont="1" applyFill="1" applyAlignment="1" applyProtection="1">
      <alignment horizontal="general" vertical="bottom"/>
      <protection locked="1" hidden="0"/>
    </xf>
    <xf numFmtId="167" fontId="8" fillId="2" borderId="0" xfId="0" applyNumberFormat="1" applyFont="1" applyFill="1" applyAlignment="1" applyProtection="1">
      <alignment horizontal="general" vertical="bottom"/>
      <protection locked="1" hidden="0"/>
    </xf>
    <xf numFmtId="167" fontId="9" fillId="0" borderId="0" xfId="0" applyNumberFormat="1" applyFont="1" applyFill="1" applyAlignment="1" applyProtection="1">
      <alignment horizontal="general" vertical="bottom"/>
      <protection locked="1" hidden="0"/>
    </xf>
    <xf numFmtId="167" fontId="9" fillId="2" borderId="0" xfId="0" applyNumberFormat="1" applyFont="1" applyFill="1" applyAlignment="1" applyProtection="1">
      <alignment horizontal="general" vertical="bottom"/>
      <protection locked="1" hidden="0"/>
    </xf>
    <xf numFmtId="166" fontId="4" fillId="0" borderId="1" xfId="0" applyNumberFormat="1" applyFont="1" applyFill="1" applyBorder="1" applyAlignment="1" applyProtection="1">
      <alignment horizontal="general" vertical="bottom"/>
      <protection locked="1" hidden="0"/>
    </xf>
    <xf numFmtId="168" fontId="1" fillId="2" borderId="0" xfId="0" applyNumberFormat="1" applyFont="1" applyFill="1" applyAlignment="1" applyProtection="1">
      <alignment horizontal="general" vertical="bottom"/>
      <protection locked="1" hidden="0"/>
    </xf>
    <xf numFmtId="165" fontId="10" fillId="3" borderId="2" xfId="0" applyNumberFormat="1" applyFont="1" applyFill="1" applyBorder="1" applyAlignment="1" applyProtection="1">
      <alignment horizontal="general" vertical="bottom"/>
      <protection locked="1" hidden="0"/>
    </xf>
    <xf numFmtId="167" fontId="11" fillId="0" borderId="0" xfId="0" applyNumberFormat="1" applyFont="1" applyFill="1" applyAlignment="1" applyProtection="1">
      <alignment horizontal="general" vertical="bottom"/>
      <protection locked="1" hidden="0"/>
    </xf>
    <xf numFmtId="166" fontId="3" fillId="0" borderId="1" xfId="0" applyNumberFormat="1" applyFont="1" applyFill="1" applyBorder="1" applyAlignment="1" applyProtection="1">
      <alignment horizontal="general" vertical="bottom"/>
      <protection locked="1" hidden="0"/>
    </xf>
    <xf numFmtId="165" fontId="3" fillId="2" borderId="1" xfId="0" applyNumberFormat="1" applyFont="1" applyFill="1" applyBorder="1" applyAlignment="1" applyProtection="1">
      <alignment horizontal="general" vertical="bottom"/>
      <protection locked="1" hidden="0"/>
    </xf>
    <xf numFmtId="168" fontId="1" fillId="0" borderId="0" xfId="0" applyNumberFormat="1" applyFont="1" applyFill="1" applyAlignment="1" applyProtection="1">
      <alignment horizontal="general" vertical="bottom"/>
      <protection locked="1" hidden="0"/>
    </xf>
    <xf numFmtId="165" fontId="10" fillId="0" borderId="1" xfId="0" applyNumberFormat="1" applyFont="1" applyFill="1" applyBorder="1" applyAlignment="1" applyProtection="1">
      <alignment horizontal="general" vertical="bottom"/>
      <protection locked="1" hidden="0"/>
    </xf>
    <xf numFmtId="165" fontId="4" fillId="3" borderId="2" xfId="0" applyNumberFormat="1" applyFont="1" applyFill="1" applyBorder="1" applyAlignment="1" applyProtection="1">
      <alignment horizontal="general" vertical="bottom"/>
      <protection locked="1" hidden="0"/>
    </xf>
    <xf numFmtId="0" fontId="12" fillId="2" borderId="0" xfId="0" applyFont="1" applyFill="1" applyAlignment="1" applyProtection="1">
      <alignment horizontal="general" vertical="bottom"/>
      <protection locked="1" hidden="0"/>
    </xf>
    <xf numFmtId="167" fontId="8" fillId="0" borderId="0" xfId="0" applyNumberFormat="1" applyFont="1" applyFill="1" applyAlignment="1" applyProtection="1">
      <alignment horizontal="general" vertical="bottom"/>
      <protection locked="1" hidden="0"/>
    </xf>
    <xf numFmtId="165" fontId="10" fillId="3" borderId="1" xfId="0" applyNumberFormat="1" applyFont="1" applyFill="1" applyBorder="1" applyAlignment="1" applyProtection="1">
      <alignment horizontal="general" vertical="bottom"/>
      <protection locked="1" hidden="0"/>
    </xf>
    <xf numFmtId="165" fontId="4" fillId="3" borderId="1" xfId="0" applyNumberFormat="1" applyFont="1" applyFill="1" applyBorder="1" applyAlignment="1" applyProtection="1">
      <alignment horizontal="general" vertical="bottom"/>
      <protection locked="1" hidden="0"/>
    </xf>
    <xf numFmtId="166" fontId="3" fillId="2" borderId="1" xfId="0" applyNumberFormat="1" applyFont="1" applyFill="1" applyBorder="1" applyAlignment="1" applyProtection="1">
      <alignment horizontal="general" vertical="bottom"/>
      <protection locked="1" hidden="0"/>
    </xf>
    <xf numFmtId="166" fontId="1" fillId="2" borderId="0" xfId="0" applyNumberFormat="1" applyFont="1" applyFill="1" applyAlignment="1" applyProtection="1">
      <alignment horizontal="general" vertical="bottom"/>
      <protection locked="1" hidden="0"/>
    </xf>
    <xf numFmtId="0" fontId="3" fillId="3" borderId="1" xfId="0" applyFont="1" applyFill="1" applyBorder="1" applyAlignment="1" applyProtection="1">
      <alignment horizontal="general" vertical="bottom"/>
      <protection locked="1" hidden="0"/>
    </xf>
    <xf numFmtId="0" fontId="7" fillId="0" borderId="0" xfId="0" applyFont="1" applyFill="1" applyAlignment="1" applyProtection="1">
      <alignment horizontal="general" vertical="bottom"/>
      <protection locked="1" hidden="0"/>
    </xf>
    <xf numFmtId="167" fontId="13" fillId="3" borderId="2" xfId="0" applyNumberFormat="1" applyFont="1" applyFill="1" applyBorder="1" applyAlignment="1" applyProtection="1">
      <alignment horizontal="general" vertical="bottom"/>
      <protection locked="1" hidden="0"/>
    </xf>
    <xf numFmtId="0" fontId="5" fillId="0" borderId="0" xfId="0" applyFont="1" applyFill="1" applyAlignment="1" applyProtection="1">
      <alignment horizontal="general" vertical="bottom"/>
      <protection locked="1" hidden="0"/>
    </xf>
    <xf numFmtId="0" fontId="3" fillId="3" borderId="2" xfId="0" applyFont="1" applyFill="1" applyBorder="1" applyAlignment="1" applyProtection="1">
      <alignment horizontal="general" vertical="bottom" wrapText="1"/>
      <protection locked="1" hidden="0"/>
    </xf>
    <xf numFmtId="0" fontId="5" fillId="4" borderId="0" xfId="0" applyFont="1" applyFill="1" applyAlignment="1" applyProtection="1">
      <alignment horizontal="general" vertical="bottom"/>
      <protection locked="1" hidden="0"/>
    </xf>
    <xf numFmtId="167" fontId="10" fillId="3" borderId="0" xfId="0" applyNumberFormat="1" applyFont="1" applyFill="1" applyAlignment="1" applyProtection="1">
      <alignment horizontal="general" vertical="bottom"/>
      <protection locked="1" hidden="0"/>
    </xf>
    <xf numFmtId="0" fontId="3" fillId="3" borderId="0" xfId="0" applyFont="1" applyFill="1" applyAlignment="1" applyProtection="1">
      <alignment horizontal="general" vertical="bottom"/>
      <protection locked="1" hidden="0"/>
    </xf>
    <xf numFmtId="164" fontId="5" fillId="0" borderId="0" xfId="0" applyNumberFormat="1" applyFont="1" applyFill="1" applyAlignment="1" applyProtection="1">
      <alignment horizontal="general" vertical="bottom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theme" Target="theme/theme1.xml"/><Relationship Id="rId1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</xdr:col>
      <xdr:colOff>0</xdr:colOff>
      <xdr:row>1</xdr:row>
      <xdr:rowOff>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33"/>
  <sheetViews>
    <sheetView showGridLines="0" workbookViewId="0">
      <pane xSplit="2" ySplit="8" topLeftCell="C9" activePane="bottomRight" state="frozen"/>
    </sheetView>
  </sheetViews>
  <sheetFormatPr defaultRowHeight="15"/>
  <cols>
    <col min="1" max="1" width="3" customWidth="1"/>
    <col min="2" max="2" width="38" customWidth="1"/>
    <col min="3" max="3" width="19" customWidth="1"/>
    <col min="4" max="5" width="15" customWidth="1"/>
    <col min="6" max="6" width="17" customWidth="1"/>
    <col min="7" max="7" width="19" customWidth="1"/>
    <col min="8" max="8" width="12" customWidth="1"/>
    <col min="9" max="9" width="3" customWidth="1"/>
    <col min="10" max="10" width="48" customWidth="1"/>
  </cols>
  <sheetData>
    <row r="2">
      <c r="B2" s="3"/>
      <c r="C2" s="3" t="s">
        <v>0</v>
      </c>
      <c r="D2" s="3"/>
      <c r="E2" s="3"/>
      <c r="F2" s="3"/>
      <c r="G2" s="3"/>
      <c r="H2" s="3"/>
    </row>
    <row r="3">
      <c r="B3" s="2"/>
      <c r="C3" s="16" t="s">
        <v>1</v>
      </c>
      <c r="D3" s="2"/>
      <c r="E3" s="2"/>
      <c r="F3" s="2"/>
      <c r="G3" s="2"/>
      <c r="H3" s="2"/>
    </row>
    <row r="4">
      <c r="B4" s="2"/>
      <c r="C4" s="2" t="s">
        <v>2</v>
      </c>
      <c r="D4" s="2"/>
      <c r="E4" s="2"/>
      <c r="F4" s="2"/>
      <c r="G4" s="2"/>
      <c r="H4" s="2"/>
    </row>
    <row r="5">
      <c r="B5" s="2"/>
      <c r="C5" s="2"/>
      <c r="D5" s="2"/>
      <c r="E5" s="2"/>
      <c r="F5" s="2"/>
      <c r="G5" s="2"/>
      <c r="H5" s="2"/>
    </row>
    <row r="6"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4" t="s">
        <v>9</v>
      </c>
    </row>
    <row r="7">
      <c r="B7" s="2" t="s">
        <v>10</v>
      </c>
      <c r="C7" s="1">
        <v>45900</v>
      </c>
      <c r="D7" s="1">
        <v>45991</v>
      </c>
      <c r="E7" s="1">
        <v>45991</v>
      </c>
      <c r="F7" s="1">
        <v>46081</v>
      </c>
      <c r="G7" s="1">
        <v>46173</v>
      </c>
      <c r="H7" s="26">
        <v>46265</v>
      </c>
    </row>
    <row r="8">
      <c r="B8" s="2" t="s">
        <v>11</v>
      </c>
      <c r="C8" s="2">
        <v>92</v>
      </c>
      <c r="D8" s="2">
        <v>91</v>
      </c>
      <c r="E8" s="2">
        <v>365</v>
      </c>
      <c r="F8" s="2">
        <v>90</v>
      </c>
      <c r="G8" s="2">
        <v>92</v>
      </c>
      <c r="H8" s="17">
        <v>92</v>
      </c>
    </row>
    <row r="9">
      <c r="B9" s="2"/>
      <c r="C9" s="2"/>
      <c r="D9" s="2"/>
      <c r="E9" s="2"/>
      <c r="F9" s="2"/>
      <c r="G9" s="2"/>
      <c r="H9" s="17"/>
    </row>
    <row r="10">
      <c r="B10" s="10"/>
      <c r="C10" s="8"/>
      <c r="D10" s="8"/>
      <c r="E10" s="8"/>
      <c r="F10" s="8"/>
      <c r="G10" s="8"/>
      <c r="H10" s="8"/>
    </row>
    <row r="11">
      <c r="B11" s="10" t="s">
        <v>12</v>
      </c>
      <c r="C11" s="8" t="s">
        <v>13</v>
      </c>
      <c r="D11" s="8" t="s">
        <v>14</v>
      </c>
      <c r="E11" s="8" t="s">
        <v>15</v>
      </c>
      <c r="F11" s="8" t="s">
        <v>16</v>
      </c>
      <c r="G11" s="8" t="s">
        <v>17</v>
      </c>
      <c r="H11" s="4"/>
    </row>
    <row r="12">
      <c r="B12" s="7" t="s">
        <v>18</v>
      </c>
      <c r="C12" s="20">
        <f>'Income Statement'!H10</f>
        <v>252</v>
      </c>
      <c r="D12" s="19">
        <f>Inputs!L36</f>
        <v>247.59</v>
      </c>
      <c r="E12" s="11">
        <f>C12-D12</f>
        <v>4.409999999999997</v>
      </c>
      <c r="F12" s="19">
        <f>Guidance!H18</f>
        <v>247</v>
      </c>
      <c r="G12" s="22">
        <f>Guidance!H25</f>
        <v>250</v>
      </c>
      <c r="H12" s="4"/>
    </row>
    <row r="13">
      <c r="B13" s="2" t="s">
        <v>19</v>
      </c>
      <c r="C13" s="21">
        <f>'Income Statement'!H40</f>
        <v>19.237499999999997</v>
      </c>
      <c r="D13" s="22">
        <f>Inputs!L47</f>
        <v>15.88</v>
      </c>
      <c r="E13" s="5">
        <f>C13-D13</f>
        <v>3.3574999999999964</v>
      </c>
      <c r="F13" s="5" t="s">
        <v>20</v>
      </c>
      <c r="G13" s="5" t="s">
        <v>20</v>
      </c>
      <c r="H13" s="4"/>
    </row>
    <row r="14">
      <c r="B14" s="7" t="s">
        <v>21</v>
      </c>
      <c r="C14" s="20">
        <f>'Income Statement'!H53</f>
        <v>68.83999999999999</v>
      </c>
      <c r="D14" s="19">
        <f>Inputs!L46</f>
        <v>63.25</v>
      </c>
      <c r="E14" s="11">
        <f>C14-D14</f>
        <v>5.589999999999989</v>
      </c>
      <c r="F14" s="11" t="s">
        <v>20</v>
      </c>
      <c r="G14" s="5" t="s">
        <v>20</v>
      </c>
      <c r="H14" s="4"/>
    </row>
    <row r="15">
      <c r="B15" s="7" t="s">
        <v>22</v>
      </c>
      <c r="C15" s="9">
        <f>'Income Statement'!H54</f>
        <v>1.6508393285371699</v>
      </c>
      <c r="D15" s="31">
        <f>Inputs!L19</f>
        <v>1.52</v>
      </c>
      <c r="E15" s="35">
        <f>C15-D15</f>
        <v>0.13083932853716984</v>
      </c>
      <c r="F15" s="31">
        <f>Guidance!H20</f>
        <v>1.56</v>
      </c>
      <c r="G15" s="24">
        <f>Guidance!H26</f>
        <v>1.59</v>
      </c>
      <c r="H15" s="4"/>
    </row>
    <row r="16">
      <c r="B16" s="2" t="s">
        <v>23</v>
      </c>
      <c r="C16" s="27">
        <f>'Income Statement'!H45</f>
        <v>0.46133093525179847</v>
      </c>
      <c r="D16" s="24">
        <f>Inputs!L28</f>
        <v>0.39</v>
      </c>
      <c r="E16" s="15">
        <f>C16-D16</f>
        <v>0.07133093525179846</v>
      </c>
      <c r="F16" s="24">
        <f>Guidance!H19</f>
        <v>0.38</v>
      </c>
      <c r="G16" s="5" t="s">
        <v>20</v>
      </c>
      <c r="H16" s="4"/>
    </row>
    <row r="17">
      <c r="B17" s="2" t="s">
        <v>24</v>
      </c>
      <c r="C17" s="23">
        <f>Inputs!O17</f>
        <v>0.77</v>
      </c>
      <c r="D17" s="5"/>
      <c r="E17" s="5"/>
      <c r="F17" s="5"/>
      <c r="G17" s="5"/>
      <c r="H17" s="4"/>
    </row>
    <row r="18">
      <c r="B18" s="2" t="s">
        <v>25</v>
      </c>
      <c r="C18" s="21" t="str">
        <f>Inputs!O46</f>
        <v>medium</v>
      </c>
      <c r="D18" s="5"/>
      <c r="E18" s="5"/>
      <c r="F18" s="5"/>
      <c r="G18" s="5"/>
      <c r="H18" s="4"/>
    </row>
    <row r="19">
      <c r="B19" s="2"/>
      <c r="C19" s="5"/>
      <c r="D19" s="5"/>
      <c r="E19" s="5"/>
      <c r="F19" s="5"/>
      <c r="G19" s="5"/>
      <c r="H19" s="4"/>
    </row>
    <row r="20">
      <c r="B20" s="7" t="s">
        <v>26</v>
      </c>
      <c r="C20" s="19" t="str">
        <f>IF(AND(C21="PASS",ABS('Revenue summary'!H59)&lt;0.00001,ABS('Balance Sheet'!H43)&lt;0.00001,ABS('Cash Flow Statement'!H30)&lt;0.00001,ABS(Geo!H20)&lt;0.00001,ABS('Income Statement'!H56)&lt;0.00001),"PASS","FAIL")</f>
        <v>PASS</v>
      </c>
      <c r="D20" s="11"/>
      <c r="E20" s="11"/>
      <c r="F20" s="11"/>
      <c r="G20" s="5"/>
      <c r="H20" s="4"/>
    </row>
    <row r="21">
      <c r="B21" s="7" t="s">
        <v>27</v>
      </c>
      <c r="C21" s="19" t="str">
        <f>IF(AND(ABS(C12-'Income Statement'!H10)&lt;0.00001,ABS(C13-'Income Statement'!H40)&lt;0.00001,ABS(C14-'Income Statement'!H53)&lt;0.00001,ABS(C15-'Income Statement'!H54)&lt;0.00001,ABS(C16-'Income Statement'!H45)&lt;0.00001),"PASS","FAIL")</f>
        <v>PASS</v>
      </c>
      <c r="D21" s="11"/>
      <c r="E21" s="11"/>
      <c r="F21" s="11"/>
      <c r="G21" s="5"/>
      <c r="H21" s="4"/>
    </row>
    <row r="22">
      <c r="B22" s="2"/>
      <c r="C22" s="5"/>
      <c r="D22" s="5"/>
      <c r="E22" s="5"/>
      <c r="F22" s="5"/>
      <c r="G22" s="5"/>
      <c r="H22" s="4"/>
    </row>
    <row r="23">
      <c r="B23" s="2" t="s">
        <v>28</v>
      </c>
      <c r="C23" s="5" t="s">
        <v>0</v>
      </c>
      <c r="D23" s="5"/>
      <c r="E23" s="5"/>
      <c r="F23" s="5"/>
      <c r="G23" s="5"/>
      <c r="H23" s="4"/>
    </row>
    <row r="24">
      <c r="B24" s="2" t="s">
        <v>29</v>
      </c>
      <c r="C24" s="5" t="s">
        <v>30</v>
      </c>
      <c r="D24" s="5"/>
      <c r="E24" s="5"/>
      <c r="F24" s="5"/>
      <c r="G24" s="5"/>
      <c r="H24" s="4"/>
    </row>
    <row r="25">
      <c r="B25" s="2" t="s">
        <v>31</v>
      </c>
      <c r="C25" s="5" t="s">
        <v>32</v>
      </c>
      <c r="D25" s="5"/>
      <c r="E25" s="5"/>
      <c r="F25" s="5"/>
      <c r="G25" s="5"/>
      <c r="H25" s="4"/>
    </row>
    <row r="26">
      <c r="B26" s="2" t="s">
        <v>33</v>
      </c>
      <c r="C26" s="5" t="s">
        <v>34</v>
      </c>
      <c r="D26" s="5"/>
      <c r="E26" s="5"/>
      <c r="F26" s="5"/>
      <c r="G26" s="5"/>
      <c r="H26" s="4"/>
    </row>
    <row r="27">
      <c r="B27" s="2" t="s">
        <v>35</v>
      </c>
      <c r="C27" s="5" t="s">
        <v>36</v>
      </c>
      <c r="D27" s="5"/>
      <c r="E27" s="5"/>
      <c r="F27" s="5"/>
      <c r="G27" s="5"/>
      <c r="H27" s="4"/>
    </row>
    <row r="28">
      <c r="B28" s="2" t="s">
        <v>37</v>
      </c>
      <c r="C28" s="5" t="s">
        <v>38</v>
      </c>
      <c r="D28" s="5"/>
      <c r="E28" s="5"/>
      <c r="F28" s="5"/>
      <c r="G28" s="5"/>
      <c r="H28" s="4"/>
    </row>
    <row r="29">
      <c r="B29" s="2" t="s">
        <v>39</v>
      </c>
      <c r="C29" s="5" t="s">
        <v>40</v>
      </c>
      <c r="D29" s="5"/>
      <c r="E29" s="5"/>
      <c r="F29" s="5"/>
      <c r="G29" s="5"/>
      <c r="H29" s="4"/>
    </row>
    <row r="30">
      <c r="B30" s="2" t="s">
        <v>41</v>
      </c>
      <c r="C30" s="5" t="s">
        <v>42</v>
      </c>
      <c r="D30" s="5"/>
      <c r="E30" s="5"/>
      <c r="F30" s="5"/>
      <c r="G30" s="5"/>
      <c r="H30" s="4"/>
      <c r="J30" s="6" t="s">
        <v>43</v>
      </c>
    </row>
    <row r="31" ht="31.5">
      <c r="B31" s="2"/>
      <c r="C31" s="5"/>
      <c r="D31" s="5"/>
      <c r="E31" s="5"/>
      <c r="F31" s="5"/>
      <c r="G31" s="5"/>
      <c r="H31" s="4"/>
      <c r="J31" s="6" t="s">
        <v>44</v>
      </c>
    </row>
    <row r="32" ht="31.5">
      <c r="B32" s="2"/>
      <c r="C32" s="5"/>
      <c r="D32" s="5"/>
      <c r="E32" s="5"/>
      <c r="F32" s="5"/>
      <c r="G32" s="5"/>
      <c r="H32" s="4"/>
      <c r="J32" s="6" t="s">
        <v>45</v>
      </c>
    </row>
    <row r="33" ht="42">
      <c r="J33" s="6" t="s">
        <v>46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H59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2" customWidth="1"/>
    <col min="9" max="9" width="3" customWidth="1"/>
  </cols>
  <sheetData>
    <row r="2">
      <c r="B2" s="3" t="s">
        <v>0</v>
      </c>
      <c r="C2" s="3"/>
      <c r="D2" s="3"/>
      <c r="E2" s="3"/>
      <c r="F2" s="3"/>
      <c r="G2" s="3"/>
      <c r="H2" s="3"/>
    </row>
    <row r="3">
      <c r="B3" s="2" t="s">
        <v>47</v>
      </c>
      <c r="C3" s="2"/>
      <c r="D3" s="2"/>
      <c r="E3" s="2"/>
      <c r="F3" s="2"/>
      <c r="G3" s="2"/>
      <c r="H3" s="2"/>
    </row>
    <row r="4">
      <c r="B4" s="2" t="s">
        <v>2</v>
      </c>
      <c r="C4" s="2"/>
      <c r="D4" s="2"/>
      <c r="E4" s="2"/>
      <c r="F4" s="2"/>
      <c r="G4" s="2"/>
      <c r="H4" s="2"/>
    </row>
    <row r="5">
      <c r="B5" s="2"/>
      <c r="C5" s="2"/>
      <c r="D5" s="2"/>
      <c r="E5" s="2"/>
      <c r="F5" s="2"/>
      <c r="G5" s="2"/>
      <c r="H5" s="2"/>
    </row>
    <row r="6"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4" t="s">
        <v>9</v>
      </c>
    </row>
    <row r="7">
      <c r="B7" s="2" t="s">
        <v>10</v>
      </c>
      <c r="C7" s="1">
        <v>45900</v>
      </c>
      <c r="D7" s="1">
        <v>45991</v>
      </c>
      <c r="E7" s="1">
        <v>45991</v>
      </c>
      <c r="F7" s="1">
        <v>46081</v>
      </c>
      <c r="G7" s="1">
        <v>46173</v>
      </c>
      <c r="H7" s="26">
        <v>46265</v>
      </c>
    </row>
    <row r="8">
      <c r="B8" s="2" t="s">
        <v>11</v>
      </c>
      <c r="C8" s="2">
        <v>92</v>
      </c>
      <c r="D8" s="2">
        <v>91</v>
      </c>
      <c r="E8" s="2">
        <v>365</v>
      </c>
      <c r="F8" s="2">
        <v>90</v>
      </c>
      <c r="G8" s="2">
        <v>92</v>
      </c>
      <c r="H8" s="17">
        <v>92</v>
      </c>
    </row>
    <row r="9">
      <c r="B9" s="2"/>
      <c r="C9" s="2"/>
      <c r="D9" s="2"/>
      <c r="E9" s="2"/>
      <c r="F9" s="2"/>
      <c r="G9" s="2"/>
      <c r="H9" s="17"/>
    </row>
    <row r="10">
      <c r="B10" s="10" t="s">
        <v>48</v>
      </c>
      <c r="C10" s="33">
        <v>849</v>
      </c>
      <c r="D10" s="33">
        <v>852</v>
      </c>
      <c r="E10" s="33">
        <v>852</v>
      </c>
      <c r="F10" s="33">
        <v>863</v>
      </c>
      <c r="G10" s="33">
        <v>868</v>
      </c>
      <c r="H10" s="39">
        <f>G10*(1+Inputs!O14)</f>
        <v>873</v>
      </c>
    </row>
    <row r="11">
      <c r="B11" s="2" t="s">
        <v>49</v>
      </c>
      <c r="C11" s="29"/>
      <c r="D11" s="29"/>
      <c r="E11" s="29"/>
      <c r="F11" s="29"/>
      <c r="G11" s="29"/>
      <c r="H11" s="30">
        <f>H10/C10-1</f>
        <v>0.028268551236749095</v>
      </c>
    </row>
    <row r="12">
      <c r="B12" s="2" t="s">
        <v>50</v>
      </c>
      <c r="C12" s="5"/>
      <c r="D12" s="5">
        <f>D10-C10</f>
        <v>3</v>
      </c>
      <c r="E12" s="5"/>
      <c r="F12" s="5">
        <f>F10-D10</f>
        <v>11</v>
      </c>
      <c r="G12" s="5">
        <f>G10-F10</f>
        <v>5</v>
      </c>
      <c r="H12" s="4">
        <f>H10-G10</f>
        <v>5</v>
      </c>
    </row>
    <row r="13">
      <c r="B13" s="2" t="s">
        <v>51</v>
      </c>
      <c r="C13" s="34">
        <v>1</v>
      </c>
      <c r="D13" s="34">
        <v>1</v>
      </c>
      <c r="E13" s="34">
        <v>1</v>
      </c>
      <c r="F13" s="34">
        <v>1</v>
      </c>
      <c r="G13" s="34">
        <v>1</v>
      </c>
      <c r="H13" s="28">
        <f>Inputs!O18</f>
        <v>1</v>
      </c>
    </row>
    <row r="14">
      <c r="B14" s="2" t="s">
        <v>52</v>
      </c>
      <c r="C14" s="37"/>
      <c r="D14" s="37">
        <f>(D13-C13)*10000</f>
        <v>0</v>
      </c>
      <c r="E14" s="37"/>
      <c r="F14" s="37">
        <f>(F13-D13)*10000</f>
        <v>0</v>
      </c>
      <c r="G14" s="37">
        <f>(G13-F13)*10000</f>
        <v>0</v>
      </c>
      <c r="H14" s="32">
        <f>(H13-G13)*10000</f>
        <v>0</v>
      </c>
    </row>
    <row r="15">
      <c r="B15" s="2"/>
      <c r="C15" s="5"/>
      <c r="D15" s="5"/>
      <c r="E15" s="5"/>
      <c r="F15" s="5"/>
      <c r="G15" s="5"/>
      <c r="H15" s="4"/>
    </row>
    <row r="16">
      <c r="B16" s="7" t="s">
        <v>53</v>
      </c>
      <c r="C16" s="38">
        <v>63.437</v>
      </c>
      <c r="D16" s="38">
        <v>65.21</v>
      </c>
      <c r="E16" s="38">
        <v>237.887</v>
      </c>
      <c r="F16" s="38">
        <v>67.581</v>
      </c>
      <c r="G16" s="38">
        <v>68.979</v>
      </c>
      <c r="H16" s="20">
        <f>G16*(1+Inputs!O10)</f>
        <v>65</v>
      </c>
    </row>
    <row r="17">
      <c r="B17" s="2" t="s">
        <v>54</v>
      </c>
      <c r="C17" s="29"/>
      <c r="D17" s="29"/>
      <c r="E17" s="29"/>
      <c r="F17" s="29"/>
      <c r="G17" s="29"/>
      <c r="H17" s="30">
        <f>(1+H20)/((1+H18)*(1+H19))-1</f>
        <v>0.02463861784132293</v>
      </c>
    </row>
    <row r="18">
      <c r="B18" s="2" t="s">
        <v>55</v>
      </c>
      <c r="C18" s="29"/>
      <c r="D18" s="29"/>
      <c r="E18" s="29"/>
      <c r="F18" s="29"/>
      <c r="G18" s="29"/>
      <c r="H18" s="28">
        <f>Inputs!O15</f>
        <v>0</v>
      </c>
    </row>
    <row r="19">
      <c r="B19" s="2" t="s">
        <v>56</v>
      </c>
      <c r="C19" s="29"/>
      <c r="D19" s="29"/>
      <c r="E19" s="29"/>
      <c r="F19" s="29"/>
      <c r="G19" s="29"/>
      <c r="H19" s="28">
        <f>Inputs!O15</f>
        <v>0</v>
      </c>
    </row>
    <row r="20">
      <c r="B20" s="2" t="s">
        <v>57</v>
      </c>
      <c r="C20" s="29"/>
      <c r="D20" s="29"/>
      <c r="E20" s="29"/>
      <c r="F20" s="29"/>
      <c r="G20" s="29"/>
      <c r="H20" s="30">
        <f>H16/C16-1</f>
        <v>0.02463861784132293</v>
      </c>
    </row>
    <row r="21">
      <c r="B21" s="2" t="s">
        <v>58</v>
      </c>
      <c r="C21" s="5"/>
      <c r="D21" s="5">
        <f>D16-C16</f>
        <v>1.7729999999999961</v>
      </c>
      <c r="E21" s="5"/>
      <c r="F21" s="5">
        <f>F16-D16</f>
        <v>2.3710000000000093</v>
      </c>
      <c r="G21" s="5">
        <f>G16-F16</f>
        <v>1.3979999999999961</v>
      </c>
      <c r="H21" s="4">
        <f>H16-G16</f>
        <v>-3.978999999999999</v>
      </c>
    </row>
    <row r="22">
      <c r="B22" s="7" t="s">
        <v>59</v>
      </c>
      <c r="C22" s="38">
        <v>104.849</v>
      </c>
      <c r="D22" s="38">
        <v>102.299</v>
      </c>
      <c r="E22" s="38">
        <v>410.174</v>
      </c>
      <c r="F22" s="38">
        <v>100.339</v>
      </c>
      <c r="G22" s="38">
        <v>101.222</v>
      </c>
      <c r="H22" s="20">
        <f>G22*(1+Inputs!O11)</f>
        <v>102.19999999999999</v>
      </c>
    </row>
    <row r="23">
      <c r="B23" s="2" t="s">
        <v>54</v>
      </c>
      <c r="C23" s="29"/>
      <c r="D23" s="29"/>
      <c r="E23" s="29"/>
      <c r="F23" s="29"/>
      <c r="G23" s="29"/>
      <c r="H23" s="30">
        <f>(1+H26)/((1+H24)*(1+H25))-1</f>
        <v>-0.02526490476780907</v>
      </c>
    </row>
    <row r="24">
      <c r="B24" s="2" t="s">
        <v>55</v>
      </c>
      <c r="C24" s="29"/>
      <c r="D24" s="29"/>
      <c r="E24" s="29"/>
      <c r="F24" s="29"/>
      <c r="G24" s="29"/>
      <c r="H24" s="28">
        <f>Inputs!O15</f>
        <v>0</v>
      </c>
    </row>
    <row r="25">
      <c r="B25" s="2" t="s">
        <v>56</v>
      </c>
      <c r="C25" s="29"/>
      <c r="D25" s="29"/>
      <c r="E25" s="29"/>
      <c r="F25" s="29"/>
      <c r="G25" s="29"/>
      <c r="H25" s="28">
        <f>Inputs!O15</f>
        <v>0</v>
      </c>
    </row>
    <row r="26">
      <c r="B26" s="2" t="s">
        <v>57</v>
      </c>
      <c r="C26" s="29"/>
      <c r="D26" s="29"/>
      <c r="E26" s="29"/>
      <c r="F26" s="29"/>
      <c r="G26" s="29"/>
      <c r="H26" s="30">
        <f>H22/C22-1</f>
        <v>-0.02526490476780907</v>
      </c>
    </row>
    <row r="27">
      <c r="B27" s="2" t="s">
        <v>58</v>
      </c>
      <c r="C27" s="5"/>
      <c r="D27" s="5">
        <f>D22-C22</f>
        <v>-2.549999999999997</v>
      </c>
      <c r="E27" s="5"/>
      <c r="F27" s="5">
        <f>F22-D22</f>
        <v>-1.960000000000008</v>
      </c>
      <c r="G27" s="5">
        <f>G22-F22</f>
        <v>0.8829999999999956</v>
      </c>
      <c r="H27" s="4">
        <f>H22-G22</f>
        <v>0.9779999999999944</v>
      </c>
    </row>
    <row r="28">
      <c r="B28" s="7" t="s">
        <v>60</v>
      </c>
      <c r="C28" s="38">
        <v>71.512</v>
      </c>
      <c r="D28" s="38">
        <v>74.901</v>
      </c>
      <c r="E28" s="38">
        <v>287.928</v>
      </c>
      <c r="F28" s="38">
        <v>70.461</v>
      </c>
      <c r="G28" s="38">
        <v>73.005</v>
      </c>
      <c r="H28" s="20">
        <f>G28*(1+Inputs!O12)</f>
        <v>74.5</v>
      </c>
    </row>
    <row r="29">
      <c r="B29" s="2" t="s">
        <v>54</v>
      </c>
      <c r="C29" s="29"/>
      <c r="D29" s="29"/>
      <c r="E29" s="29"/>
      <c r="F29" s="29"/>
      <c r="G29" s="29"/>
      <c r="H29" s="30">
        <f>(1+H32)/((1+H30)*(1+H31))-1</f>
        <v>0.04178319722564039</v>
      </c>
    </row>
    <row r="30">
      <c r="B30" s="2" t="s">
        <v>55</v>
      </c>
      <c r="C30" s="29"/>
      <c r="D30" s="29"/>
      <c r="E30" s="29"/>
      <c r="F30" s="29"/>
      <c r="G30" s="29"/>
      <c r="H30" s="28">
        <f>Inputs!O15</f>
        <v>0</v>
      </c>
    </row>
    <row r="31">
      <c r="B31" s="2" t="s">
        <v>56</v>
      </c>
      <c r="C31" s="29"/>
      <c r="D31" s="29"/>
      <c r="E31" s="29"/>
      <c r="F31" s="29"/>
      <c r="G31" s="29"/>
      <c r="H31" s="28">
        <f>Inputs!O15</f>
        <v>0</v>
      </c>
    </row>
    <row r="32">
      <c r="B32" s="2" t="s">
        <v>57</v>
      </c>
      <c r="C32" s="29"/>
      <c r="D32" s="29"/>
      <c r="E32" s="29"/>
      <c r="F32" s="29"/>
      <c r="G32" s="29"/>
      <c r="H32" s="30">
        <f>H28/C28-1</f>
        <v>0.04178319722564039</v>
      </c>
    </row>
    <row r="33">
      <c r="B33" s="2" t="s">
        <v>58</v>
      </c>
      <c r="C33" s="5"/>
      <c r="D33" s="5">
        <f>D28-C28</f>
        <v>3.388999999999996</v>
      </c>
      <c r="E33" s="5"/>
      <c r="F33" s="5">
        <f>F28-D28</f>
        <v>-4.439999999999998</v>
      </c>
      <c r="G33" s="5">
        <f>G28-F28</f>
        <v>2.543999999999997</v>
      </c>
      <c r="H33" s="4">
        <f>H28-G28</f>
        <v>1.4950000000000045</v>
      </c>
    </row>
    <row r="34">
      <c r="B34" s="7" t="s">
        <v>61</v>
      </c>
      <c r="C34" s="38">
        <v>9.997</v>
      </c>
      <c r="D34" s="38">
        <v>10.256</v>
      </c>
      <c r="E34" s="38">
        <v>41.842</v>
      </c>
      <c r="F34" s="38">
        <v>9.418</v>
      </c>
      <c r="G34" s="38">
        <v>10.259</v>
      </c>
      <c r="H34" s="20">
        <f>G34*(1+Inputs!O13)</f>
        <v>10.3</v>
      </c>
    </row>
    <row r="35">
      <c r="B35" s="2" t="s">
        <v>54</v>
      </c>
      <c r="C35" s="29"/>
      <c r="D35" s="29"/>
      <c r="E35" s="29"/>
      <c r="F35" s="29"/>
      <c r="G35" s="29"/>
      <c r="H35" s="30">
        <f>(1+H38)/((1+H36)*(1+H37))-1</f>
        <v>0.030309092727818454</v>
      </c>
    </row>
    <row r="36">
      <c r="B36" s="2" t="s">
        <v>55</v>
      </c>
      <c r="C36" s="29"/>
      <c r="D36" s="29"/>
      <c r="E36" s="29"/>
      <c r="F36" s="29"/>
      <c r="G36" s="29"/>
      <c r="H36" s="28">
        <f>Inputs!O15</f>
        <v>0</v>
      </c>
    </row>
    <row r="37">
      <c r="B37" s="2" t="s">
        <v>56</v>
      </c>
      <c r="C37" s="29"/>
      <c r="D37" s="29"/>
      <c r="E37" s="29"/>
      <c r="F37" s="29"/>
      <c r="G37" s="29"/>
      <c r="H37" s="28">
        <f>Inputs!O15</f>
        <v>0</v>
      </c>
    </row>
    <row r="38">
      <c r="B38" s="2" t="s">
        <v>57</v>
      </c>
      <c r="C38" s="29"/>
      <c r="D38" s="29"/>
      <c r="E38" s="29"/>
      <c r="F38" s="29"/>
      <c r="G38" s="29"/>
      <c r="H38" s="30">
        <f>H34/C34-1</f>
        <v>0.030309092727818454</v>
      </c>
    </row>
    <row r="39">
      <c r="B39" s="2" t="s">
        <v>58</v>
      </c>
      <c r="C39" s="5"/>
      <c r="D39" s="5">
        <f>D34-C34</f>
        <v>0.25900000000000034</v>
      </c>
      <c r="E39" s="5"/>
      <c r="F39" s="5">
        <f>F34-D34</f>
        <v>-0.838000000000001</v>
      </c>
      <c r="G39" s="5">
        <f>G34-F34</f>
        <v>0.8410000000000011</v>
      </c>
      <c r="H39" s="4">
        <f>H34-G34</f>
        <v>0.04100000000000037</v>
      </c>
    </row>
    <row r="40">
      <c r="B40" s="7" t="s">
        <v>62</v>
      </c>
      <c r="C40" s="11">
        <f>SUM(C22,C28,C34)</f>
        <v>186.358</v>
      </c>
      <c r="D40" s="11">
        <f>SUM(D22,D28,D34)</f>
        <v>187.45600000000002</v>
      </c>
      <c r="E40" s="11">
        <f>SUM(E22,E28,E34)</f>
        <v>739.944</v>
      </c>
      <c r="F40" s="11">
        <f>SUM(F22,F28,F34)</f>
        <v>180.218</v>
      </c>
      <c r="G40" s="11">
        <f>SUM(G22,G28,G34)</f>
        <v>184.486</v>
      </c>
      <c r="H40" s="36">
        <f>SUM(H22,H28,H34)</f>
        <v>187</v>
      </c>
    </row>
    <row r="41">
      <c r="B41" s="2" t="s">
        <v>54</v>
      </c>
      <c r="C41" s="29"/>
      <c r="D41" s="29"/>
      <c r="E41" s="29"/>
      <c r="F41" s="29"/>
      <c r="G41" s="29"/>
      <c r="H41" s="30">
        <f>(1+H44)/((1+H42)*(1+H43))-1</f>
        <v>0.0034449822384872153</v>
      </c>
    </row>
    <row r="42">
      <c r="B42" s="2" t="s">
        <v>55</v>
      </c>
      <c r="C42" s="29"/>
      <c r="D42" s="29"/>
      <c r="E42" s="29"/>
      <c r="F42" s="29"/>
      <c r="G42" s="29"/>
      <c r="H42" s="28">
        <f>Inputs!O15</f>
        <v>0</v>
      </c>
    </row>
    <row r="43">
      <c r="B43" s="2" t="s">
        <v>56</v>
      </c>
      <c r="C43" s="29"/>
      <c r="D43" s="29"/>
      <c r="E43" s="29"/>
      <c r="F43" s="29"/>
      <c r="G43" s="29"/>
      <c r="H43" s="28">
        <f>Inputs!O15</f>
        <v>0</v>
      </c>
    </row>
    <row r="44">
      <c r="B44" s="2" t="s">
        <v>57</v>
      </c>
      <c r="C44" s="29"/>
      <c r="D44" s="29"/>
      <c r="E44" s="29"/>
      <c r="F44" s="29"/>
      <c r="G44" s="29"/>
      <c r="H44" s="30">
        <f>H40/C40-1</f>
        <v>0.0034449822384872153</v>
      </c>
    </row>
    <row r="45">
      <c r="B45" s="2" t="s">
        <v>58</v>
      </c>
      <c r="C45" s="5"/>
      <c r="D45" s="5">
        <f>D40-C40</f>
        <v>1.0980000000000132</v>
      </c>
      <c r="E45" s="5"/>
      <c r="F45" s="5">
        <f>F40-D40</f>
        <v>-7.238000000000028</v>
      </c>
      <c r="G45" s="5">
        <f>G40-F40</f>
        <v>4.268000000000001</v>
      </c>
      <c r="H45" s="4">
        <f>H40-G40</f>
        <v>2.51400000000001</v>
      </c>
    </row>
    <row r="46">
      <c r="B46" s="7" t="s">
        <v>63</v>
      </c>
      <c r="C46" s="11">
        <f>SUM(C16,C40)</f>
        <v>249.79500000000002</v>
      </c>
      <c r="D46" s="11">
        <f>SUM(D16,D40)</f>
        <v>252.666</v>
      </c>
      <c r="E46" s="11">
        <f>SUM(E16,E40)</f>
        <v>977.8309999999999</v>
      </c>
      <c r="F46" s="11">
        <f>SUM(F16,F40)</f>
        <v>247.79899999999998</v>
      </c>
      <c r="G46" s="11">
        <f>SUM(G16,G40)</f>
        <v>253.46499999999997</v>
      </c>
      <c r="H46" s="36">
        <f>SUM(H16,H40)</f>
        <v>252</v>
      </c>
    </row>
    <row r="47">
      <c r="B47" s="2" t="s">
        <v>54</v>
      </c>
      <c r="C47" s="29"/>
      <c r="D47" s="29"/>
      <c r="E47" s="29"/>
      <c r="F47" s="29"/>
      <c r="G47" s="29"/>
      <c r="H47" s="30">
        <f>(1+H50)/((1+H48)*(1+H49))-1</f>
        <v>0.008020160403208187</v>
      </c>
    </row>
    <row r="48">
      <c r="B48" s="2" t="s">
        <v>55</v>
      </c>
      <c r="C48" s="29"/>
      <c r="D48" s="29"/>
      <c r="E48" s="29"/>
      <c r="F48" s="29"/>
      <c r="G48" s="29"/>
      <c r="H48" s="28">
        <f>Inputs!O15</f>
        <v>0</v>
      </c>
    </row>
    <row r="49">
      <c r="B49" s="2" t="s">
        <v>56</v>
      </c>
      <c r="C49" s="29"/>
      <c r="D49" s="29"/>
      <c r="E49" s="29"/>
      <c r="F49" s="29"/>
      <c r="G49" s="29"/>
      <c r="H49" s="28">
        <f>Inputs!O16/C46</f>
        <v>0.0008006565383614564</v>
      </c>
    </row>
    <row r="50">
      <c r="B50" s="2" t="s">
        <v>57</v>
      </c>
      <c r="C50" s="29"/>
      <c r="D50" s="29"/>
      <c r="E50" s="29"/>
      <c r="F50" s="41">
        <f>F46/Inputs!H11-1</f>
        <v>0.04108478279136185</v>
      </c>
      <c r="G50" s="41">
        <f>G46/Inputs!H12-1</f>
        <v>0.06785052241321177</v>
      </c>
      <c r="H50" s="30">
        <f>H46/C46-1</f>
        <v>0.008827238335435084</v>
      </c>
    </row>
    <row r="51">
      <c r="B51" s="2" t="s">
        <v>64</v>
      </c>
      <c r="C51" s="29"/>
      <c r="D51" s="29">
        <f>D46/C46-1</f>
        <v>0.011493424608178593</v>
      </c>
      <c r="E51" s="29"/>
      <c r="F51" s="29">
        <f>F46/D46-1</f>
        <v>-0.019262583806289757</v>
      </c>
      <c r="G51" s="29">
        <f>G46/F46-1</f>
        <v>0.022865306155392062</v>
      </c>
      <c r="H51" s="30">
        <f>H46/G46-1</f>
        <v>-0.0057798907146942025</v>
      </c>
    </row>
    <row r="52">
      <c r="B52" s="2" t="s">
        <v>65</v>
      </c>
      <c r="C52" s="22">
        <f>Inputs!H13</f>
        <v>249.8</v>
      </c>
      <c r="D52" s="22">
        <f>Inputs!H14</f>
        <v>252.67</v>
      </c>
      <c r="E52" s="5"/>
      <c r="F52" s="22">
        <f>Inputs!H15</f>
        <v>247.8</v>
      </c>
      <c r="G52" s="22">
        <f>Inputs!H16</f>
        <v>253.47</v>
      </c>
      <c r="H52" s="4"/>
    </row>
    <row r="53">
      <c r="B53" s="2" t="s">
        <v>66</v>
      </c>
      <c r="C53" s="5">
        <f>C46-C52</f>
        <v>-0.0049999999999954525</v>
      </c>
      <c r="D53" s="5">
        <f>D46-D52</f>
        <v>-0.003999999999990678</v>
      </c>
      <c r="E53" s="5"/>
      <c r="F53" s="5">
        <f>F46-F52</f>
        <v>-0.0010000000000331966</v>
      </c>
      <c r="G53" s="5">
        <f>G46-G52</f>
        <v>-0.005000000000023874</v>
      </c>
      <c r="H53" s="4"/>
    </row>
    <row r="54">
      <c r="B54" s="2" t="s">
        <v>58</v>
      </c>
      <c r="C54" s="5"/>
      <c r="D54" s="5">
        <f>D46-C46</f>
        <v>2.870999999999981</v>
      </c>
      <c r="E54" s="5"/>
      <c r="F54" s="5">
        <f>F46-D46</f>
        <v>-4.867000000000019</v>
      </c>
      <c r="G54" s="5">
        <f>G46-F46</f>
        <v>5.665999999999997</v>
      </c>
      <c r="H54" s="4">
        <f>H46-G46</f>
        <v>-1.464999999999975</v>
      </c>
    </row>
    <row r="55">
      <c r="B55" s="7" t="s">
        <v>67</v>
      </c>
      <c r="C55" s="11">
        <f>C46</f>
        <v>249.79500000000002</v>
      </c>
      <c r="D55" s="11">
        <f>D46</f>
        <v>252.666</v>
      </c>
      <c r="E55" s="11">
        <f>E46</f>
        <v>977.8309999999999</v>
      </c>
      <c r="F55" s="11">
        <f>F46</f>
        <v>247.79899999999998</v>
      </c>
      <c r="G55" s="11">
        <f>G46</f>
        <v>253.46499999999997</v>
      </c>
      <c r="H55" s="36">
        <f>H46</f>
        <v>252</v>
      </c>
    </row>
    <row r="56">
      <c r="B56" s="2" t="s">
        <v>68</v>
      </c>
      <c r="C56" s="29"/>
      <c r="D56" s="29"/>
      <c r="E56" s="29"/>
      <c r="F56" s="29"/>
      <c r="G56" s="29"/>
      <c r="H56" s="30">
        <f>H55/C55-1</f>
        <v>0.008827238335435084</v>
      </c>
    </row>
    <row r="57">
      <c r="B57" s="2" t="s">
        <v>64</v>
      </c>
      <c r="C57" s="29"/>
      <c r="D57" s="29">
        <f>D55/C55-1</f>
        <v>0.011493424608178593</v>
      </c>
      <c r="E57" s="29"/>
      <c r="F57" s="29">
        <f>F55/D55-1</f>
        <v>-0.019262583806289757</v>
      </c>
      <c r="G57" s="29">
        <f>G55/F55-1</f>
        <v>0.022865306155392062</v>
      </c>
      <c r="H57" s="30">
        <f>H55/G55-1</f>
        <v>-0.0057798907146942025</v>
      </c>
    </row>
    <row r="58">
      <c r="B58" s="2" t="s">
        <v>69</v>
      </c>
      <c r="C58" s="29">
        <f>C55/C46</f>
        <v>1</v>
      </c>
      <c r="D58" s="29">
        <f>D55/D46</f>
        <v>1</v>
      </c>
      <c r="E58" s="29">
        <f>E55/E46</f>
        <v>1</v>
      </c>
      <c r="F58" s="29">
        <f>F55/F46</f>
        <v>1</v>
      </c>
      <c r="G58" s="29">
        <f>G55/G46</f>
        <v>1</v>
      </c>
      <c r="H58" s="30">
        <f>H55/H46</f>
        <v>1</v>
      </c>
    </row>
    <row r="59">
      <c r="B59" s="7" t="s">
        <v>70</v>
      </c>
      <c r="C59" s="11">
        <f>C55-C46</f>
        <v>0</v>
      </c>
      <c r="D59" s="11">
        <f>D55-D46</f>
        <v>0</v>
      </c>
      <c r="E59" s="11">
        <f>E55-E46</f>
        <v>0</v>
      </c>
      <c r="F59" s="11">
        <f>F55-F46</f>
        <v>0</v>
      </c>
      <c r="G59" s="11">
        <f>G55-G46</f>
        <v>0</v>
      </c>
      <c r="H59" s="36">
        <f>H55-H46</f>
        <v>0</v>
      </c>
    </row>
  </sheetData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2:H63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2" customWidth="1"/>
    <col min="9" max="9" width="3" customWidth="1"/>
  </cols>
  <sheetData>
    <row r="2">
      <c r="B2" s="3" t="s">
        <v>0</v>
      </c>
      <c r="C2" s="3"/>
      <c r="D2" s="3"/>
      <c r="E2" s="3"/>
      <c r="F2" s="3"/>
      <c r="G2" s="3"/>
      <c r="H2" s="3"/>
    </row>
    <row r="3">
      <c r="B3" s="2" t="s">
        <v>71</v>
      </c>
      <c r="C3" s="2"/>
      <c r="D3" s="2"/>
      <c r="E3" s="2"/>
      <c r="F3" s="2"/>
      <c r="G3" s="2"/>
      <c r="H3" s="2"/>
    </row>
    <row r="4">
      <c r="B4" s="2" t="s">
        <v>2</v>
      </c>
      <c r="C4" s="2"/>
      <c r="D4" s="2"/>
      <c r="E4" s="2"/>
      <c r="F4" s="2"/>
      <c r="G4" s="2"/>
      <c r="H4" s="2"/>
    </row>
    <row r="5">
      <c r="B5" s="2"/>
      <c r="C5" s="2"/>
      <c r="D5" s="2"/>
      <c r="E5" s="2"/>
      <c r="F5" s="2"/>
      <c r="G5" s="2"/>
      <c r="H5" s="2"/>
    </row>
    <row r="6"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4" t="s">
        <v>9</v>
      </c>
    </row>
    <row r="7">
      <c r="B7" s="2" t="s">
        <v>10</v>
      </c>
      <c r="C7" s="1">
        <v>45900</v>
      </c>
      <c r="D7" s="1">
        <v>45991</v>
      </c>
      <c r="E7" s="1">
        <v>45991</v>
      </c>
      <c r="F7" s="1">
        <v>46081</v>
      </c>
      <c r="G7" s="1">
        <v>46173</v>
      </c>
      <c r="H7" s="26">
        <v>46265</v>
      </c>
    </row>
    <row r="8">
      <c r="B8" s="2" t="s">
        <v>11</v>
      </c>
      <c r="C8" s="2">
        <v>92</v>
      </c>
      <c r="D8" s="2">
        <v>91</v>
      </c>
      <c r="E8" s="2">
        <v>365</v>
      </c>
      <c r="F8" s="2">
        <v>90</v>
      </c>
      <c r="G8" s="2">
        <v>92</v>
      </c>
      <c r="H8" s="17">
        <v>92</v>
      </c>
    </row>
    <row r="9">
      <c r="B9" s="2"/>
      <c r="C9" s="2"/>
      <c r="D9" s="2"/>
      <c r="E9" s="2"/>
      <c r="F9" s="2"/>
      <c r="G9" s="2"/>
      <c r="H9" s="17"/>
    </row>
    <row r="10">
      <c r="B10" s="46" t="s">
        <v>63</v>
      </c>
      <c r="C10" s="43">
        <f>'Revenue summary'!C46</f>
        <v>249.79500000000002</v>
      </c>
      <c r="D10" s="43">
        <f>'Revenue summary'!D46</f>
        <v>252.666</v>
      </c>
      <c r="E10" s="43">
        <f>'Revenue summary'!E46</f>
        <v>977.8309999999999</v>
      </c>
      <c r="F10" s="43">
        <f>'Revenue summary'!F46</f>
        <v>247.79899999999998</v>
      </c>
      <c r="G10" s="43">
        <f>'Revenue summary'!G46</f>
        <v>253.46499999999997</v>
      </c>
      <c r="H10" s="43">
        <f>'Revenue summary'!H46</f>
        <v>252</v>
      </c>
    </row>
    <row r="11">
      <c r="B11" s="2" t="s">
        <v>72</v>
      </c>
      <c r="C11" s="29"/>
      <c r="D11" s="29"/>
      <c r="E11" s="29"/>
      <c r="F11" s="29"/>
      <c r="G11" s="29"/>
      <c r="H11" s="30">
        <f>H10/C10-1</f>
        <v>0.008827238335435084</v>
      </c>
    </row>
    <row r="12">
      <c r="B12" s="2" t="s">
        <v>73</v>
      </c>
      <c r="C12" s="22">
        <f>'Revenue summary'!C16</f>
        <v>63.437</v>
      </c>
      <c r="D12" s="22">
        <f>'Revenue summary'!D16</f>
        <v>65.21</v>
      </c>
      <c r="E12" s="22">
        <f>'Revenue summary'!E16</f>
        <v>237.887</v>
      </c>
      <c r="F12" s="22">
        <f>'Revenue summary'!F16</f>
        <v>67.581</v>
      </c>
      <c r="G12" s="22">
        <f>'Revenue summary'!G16</f>
        <v>68.979</v>
      </c>
      <c r="H12" s="21">
        <f>'Revenue summary'!H16</f>
        <v>65</v>
      </c>
    </row>
    <row r="13">
      <c r="B13" s="2" t="s">
        <v>74</v>
      </c>
      <c r="C13" s="22">
        <f>'Revenue summary'!C40</f>
        <v>186.358</v>
      </c>
      <c r="D13" s="22">
        <f>'Revenue summary'!D40</f>
        <v>187.45600000000002</v>
      </c>
      <c r="E13" s="22">
        <f>'Revenue summary'!E40</f>
        <v>739.944</v>
      </c>
      <c r="F13" s="22">
        <f>'Revenue summary'!F40</f>
        <v>180.218</v>
      </c>
      <c r="G13" s="22">
        <f>'Revenue summary'!G40</f>
        <v>184.486</v>
      </c>
      <c r="H13" s="21">
        <f>'Revenue summary'!H40</f>
        <v>187</v>
      </c>
    </row>
    <row r="14">
      <c r="B14" s="2"/>
      <c r="C14" s="5"/>
      <c r="D14" s="5"/>
      <c r="E14" s="5"/>
      <c r="F14" s="5"/>
      <c r="G14" s="5"/>
      <c r="H14" s="4"/>
    </row>
    <row r="15">
      <c r="B15" s="2" t="s">
        <v>75</v>
      </c>
      <c r="C15" s="13">
        <v>2.833</v>
      </c>
      <c r="D15" s="13">
        <v>3.86</v>
      </c>
      <c r="E15" s="13">
        <v>12.605</v>
      </c>
      <c r="F15" s="13">
        <v>3.013</v>
      </c>
      <c r="G15" s="13">
        <v>3.675</v>
      </c>
      <c r="H15" s="21">
        <f>Inputs!O20</f>
        <v>3.35</v>
      </c>
    </row>
    <row r="16">
      <c r="B16" s="2" t="s">
        <v>76</v>
      </c>
      <c r="C16" s="13">
        <v>33.919</v>
      </c>
      <c r="D16" s="13">
        <v>33.183</v>
      </c>
      <c r="E16" s="13">
        <v>133.75</v>
      </c>
      <c r="F16" s="13">
        <v>32.1</v>
      </c>
      <c r="G16" s="13">
        <v>32.259</v>
      </c>
      <c r="H16" s="21">
        <f>Inputs!O21</f>
        <v>32.5</v>
      </c>
    </row>
    <row r="17">
      <c r="B17" s="2" t="s">
        <v>77</v>
      </c>
      <c r="C17" s="13">
        <v>10.784</v>
      </c>
      <c r="D17" s="13">
        <v>9.483</v>
      </c>
      <c r="E17" s="13">
        <v>41.226</v>
      </c>
      <c r="F17" s="13">
        <v>8.751</v>
      </c>
      <c r="G17" s="13">
        <v>8.938</v>
      </c>
      <c r="H17" s="21">
        <f>Inputs!O22</f>
        <v>8.7</v>
      </c>
    </row>
    <row r="18">
      <c r="B18" s="7" t="s">
        <v>78</v>
      </c>
      <c r="C18" s="11">
        <f>SUM(C15:C17)</f>
        <v>47.535999999999994</v>
      </c>
      <c r="D18" s="11">
        <f>SUM(D15:D17)</f>
        <v>46.525999999999996</v>
      </c>
      <c r="E18" s="11">
        <f>SUM(E15:E17)</f>
        <v>187.581</v>
      </c>
      <c r="F18" s="11">
        <f>SUM(F15:F17)</f>
        <v>43.864</v>
      </c>
      <c r="G18" s="11">
        <f>SUM(G15:G17)</f>
        <v>44.872</v>
      </c>
      <c r="H18" s="36">
        <f>SUM(H15:H17)</f>
        <v>44.55</v>
      </c>
    </row>
    <row r="19">
      <c r="B19" s="7" t="s">
        <v>79</v>
      </c>
      <c r="C19" s="11">
        <f>C10-C18</f>
        <v>202.25900000000001</v>
      </c>
      <c r="D19" s="11">
        <f>D10-D18</f>
        <v>206.14</v>
      </c>
      <c r="E19" s="11">
        <f>E10-E18</f>
        <v>790.2499999999999</v>
      </c>
      <c r="F19" s="11">
        <f>F10-F18</f>
        <v>203.93499999999997</v>
      </c>
      <c r="G19" s="11">
        <f>G10-G18</f>
        <v>208.59299999999996</v>
      </c>
      <c r="H19" s="36">
        <f>H10-H18</f>
        <v>207.45</v>
      </c>
    </row>
    <row r="20">
      <c r="B20" s="2" t="s">
        <v>80</v>
      </c>
      <c r="C20" s="29">
        <f>C19/C10</f>
        <v>0.809699953962249</v>
      </c>
      <c r="D20" s="29">
        <f>D19/D10</f>
        <v>0.8158596724529615</v>
      </c>
      <c r="E20" s="29">
        <f>E19/E10</f>
        <v>0.808166237315037</v>
      </c>
      <c r="F20" s="29">
        <f>F19/F10</f>
        <v>0.8229855649134984</v>
      </c>
      <c r="G20" s="29">
        <f>G19/G10</f>
        <v>0.8229656954609117</v>
      </c>
      <c r="H20" s="30">
        <f>H19/H10</f>
        <v>0.8232142857142857</v>
      </c>
    </row>
    <row r="21">
      <c r="B21" s="2" t="s">
        <v>81</v>
      </c>
      <c r="C21" s="5"/>
      <c r="D21" s="5">
        <f>(D20-C20)*10000</f>
        <v>61.59718490712507</v>
      </c>
      <c r="E21" s="5"/>
      <c r="F21" s="5">
        <f>(F20-D20)*10000</f>
        <v>71.25892460536853</v>
      </c>
      <c r="G21" s="5">
        <f>(G20-F20)*10000</f>
        <v>-0.19869452586696035</v>
      </c>
      <c r="H21" s="4">
        <f>(H20-G20)*10000</f>
        <v>2.4859025337398144</v>
      </c>
    </row>
    <row r="22">
      <c r="B22" s="2" t="s">
        <v>82</v>
      </c>
      <c r="C22" s="13">
        <v>51.85</v>
      </c>
      <c r="D22" s="13">
        <v>58.19</v>
      </c>
      <c r="E22" s="13">
        <v>211.013</v>
      </c>
      <c r="F22" s="13">
        <v>51.997</v>
      </c>
      <c r="G22" s="13">
        <v>54.341</v>
      </c>
      <c r="H22" s="21">
        <f>Inputs!O23</f>
        <v>55.1</v>
      </c>
    </row>
    <row r="23">
      <c r="B23" s="2" t="s">
        <v>83</v>
      </c>
      <c r="C23" s="13">
        <v>49.432</v>
      </c>
      <c r="D23" s="13">
        <v>49.888</v>
      </c>
      <c r="E23" s="13">
        <v>192.265</v>
      </c>
      <c r="F23" s="13">
        <v>50.474</v>
      </c>
      <c r="G23" s="13">
        <v>48.84</v>
      </c>
      <c r="H23" s="21">
        <f>Inputs!O24</f>
        <v>48.4</v>
      </c>
    </row>
    <row r="24">
      <c r="B24" s="2" t="s">
        <v>84</v>
      </c>
      <c r="C24" s="13">
        <v>28.308</v>
      </c>
      <c r="D24" s="13">
        <v>28.647</v>
      </c>
      <c r="E24" s="13">
        <v>108.215</v>
      </c>
      <c r="F24" s="13">
        <v>26.504</v>
      </c>
      <c r="G24" s="13">
        <v>32.236</v>
      </c>
      <c r="H24" s="21">
        <f>Inputs!O25</f>
        <v>29.7</v>
      </c>
    </row>
    <row r="25">
      <c r="B25" s="2" t="s">
        <v>85</v>
      </c>
      <c r="C25" s="13">
        <v>26.415</v>
      </c>
      <c r="D25" s="13">
        <v>25.98</v>
      </c>
      <c r="E25" s="13">
        <v>104.266</v>
      </c>
      <c r="F25" s="13">
        <v>25.617</v>
      </c>
      <c r="G25" s="13">
        <v>26.167</v>
      </c>
      <c r="H25" s="21">
        <f>Inputs!O26</f>
        <v>25.8</v>
      </c>
    </row>
    <row r="26">
      <c r="B26" s="2" t="s">
        <v>86</v>
      </c>
      <c r="C26" s="13">
        <v>0.659</v>
      </c>
      <c r="D26" s="13">
        <v>0.649</v>
      </c>
      <c r="E26" s="13">
        <v>2.775</v>
      </c>
      <c r="F26" s="13">
        <v>1.358</v>
      </c>
      <c r="G26" s="13">
        <v>1.266</v>
      </c>
      <c r="H26" s="21">
        <f>Inputs!O27</f>
        <v>1.5</v>
      </c>
    </row>
    <row r="27">
      <c r="B27" s="2" t="s">
        <v>87</v>
      </c>
      <c r="C27" s="13">
        <v>0.907</v>
      </c>
      <c r="D27" s="13">
        <v>4.13</v>
      </c>
      <c r="E27" s="13">
        <v>13.109</v>
      </c>
      <c r="F27" s="13">
        <v>0.706</v>
      </c>
      <c r="G27" s="13">
        <v>1.48</v>
      </c>
      <c r="H27" s="21">
        <f>Inputs!O28</f>
        <v>1.3</v>
      </c>
    </row>
    <row r="28">
      <c r="B28" s="2" t="s">
        <v>88</v>
      </c>
      <c r="C28" s="13">
        <v>0.814</v>
      </c>
      <c r="D28" s="13">
        <v>0.282</v>
      </c>
      <c r="E28" s="13">
        <v>5.317</v>
      </c>
      <c r="F28" s="13">
        <v>0.814</v>
      </c>
      <c r="G28" s="13">
        <v>-0.939</v>
      </c>
      <c r="H28" s="21">
        <f>Inputs!O29</f>
        <v>3.3</v>
      </c>
    </row>
    <row r="29">
      <c r="B29" s="7" t="s">
        <v>89</v>
      </c>
      <c r="C29" s="11">
        <f>SUM(C22:C28)</f>
        <v>158.385</v>
      </c>
      <c r="D29" s="11">
        <f>SUM(D22:D28)</f>
        <v>167.766</v>
      </c>
      <c r="E29" s="11">
        <f>SUM(E22:E28)</f>
        <v>636.96</v>
      </c>
      <c r="F29" s="11">
        <f>SUM(F22:F28)</f>
        <v>157.47</v>
      </c>
      <c r="G29" s="11">
        <f>SUM(G22:G28)</f>
        <v>163.391</v>
      </c>
      <c r="H29" s="36">
        <f>SUM(H22:H28)</f>
        <v>165.1</v>
      </c>
    </row>
    <row r="30">
      <c r="B30" s="2"/>
      <c r="C30" s="5"/>
      <c r="D30" s="5"/>
      <c r="E30" s="5"/>
      <c r="F30" s="5"/>
      <c r="G30" s="5"/>
      <c r="H30" s="4"/>
    </row>
    <row r="31">
      <c r="B31" s="7" t="s">
        <v>90</v>
      </c>
      <c r="C31" s="11">
        <f>C19-C29</f>
        <v>43.874000000000024</v>
      </c>
      <c r="D31" s="11">
        <f>D19-D29</f>
        <v>38.373999999999995</v>
      </c>
      <c r="E31" s="11">
        <f>E19-E29</f>
        <v>153.28999999999985</v>
      </c>
      <c r="F31" s="11">
        <f>F19-F29</f>
        <v>46.464999999999975</v>
      </c>
      <c r="G31" s="11">
        <f>G19-G29</f>
        <v>45.20199999999997</v>
      </c>
      <c r="H31" s="36">
        <f>H19-H29</f>
        <v>42.349999999999994</v>
      </c>
    </row>
    <row r="32">
      <c r="B32" s="2" t="s">
        <v>91</v>
      </c>
      <c r="C32" s="29">
        <f>C31/C10</f>
        <v>0.17564002482035276</v>
      </c>
      <c r="D32" s="29">
        <f>D31/D10</f>
        <v>0.15187639017517196</v>
      </c>
      <c r="E32" s="29">
        <f>E31/E10</f>
        <v>0.1567653306143903</v>
      </c>
      <c r="F32" s="29">
        <f>F31/F10</f>
        <v>0.18751084548363786</v>
      </c>
      <c r="G32" s="29">
        <f>G31/G10</f>
        <v>0.1783362594441046</v>
      </c>
      <c r="H32" s="30">
        <f>H31/H10</f>
        <v>0.16805555555555554</v>
      </c>
    </row>
    <row r="33">
      <c r="B33" s="2" t="s">
        <v>92</v>
      </c>
      <c r="C33" s="13">
        <v>-17.737</v>
      </c>
      <c r="D33" s="13">
        <v>-16.546</v>
      </c>
      <c r="E33" s="13">
        <v>-70.85</v>
      </c>
      <c r="F33" s="13">
        <v>-15.246</v>
      </c>
      <c r="G33" s="13">
        <v>-15.911</v>
      </c>
      <c r="H33" s="21">
        <f>Inputs!O30</f>
        <v>-16.7</v>
      </c>
    </row>
    <row r="34">
      <c r="B34" s="2" t="s">
        <v>93</v>
      </c>
      <c r="C34" s="13">
        <v>0.26</v>
      </c>
      <c r="D34" s="13">
        <v>0.718</v>
      </c>
      <c r="E34" s="13">
        <v>1.759</v>
      </c>
      <c r="F34" s="13">
        <v>0.317</v>
      </c>
      <c r="G34" s="13">
        <v>0.233</v>
      </c>
      <c r="H34" s="21">
        <f>Inputs!O31</f>
        <v>0.35</v>
      </c>
    </row>
    <row r="35">
      <c r="B35" s="2" t="s">
        <v>94</v>
      </c>
      <c r="C35" s="13">
        <v>-0.191</v>
      </c>
      <c r="D35" s="13">
        <v>-0.29</v>
      </c>
      <c r="E35" s="13">
        <v>-2.571</v>
      </c>
      <c r="F35" s="13">
        <v>-1.244</v>
      </c>
      <c r="G35" s="13">
        <v>-0.684</v>
      </c>
      <c r="H35" s="21">
        <f>Inputs!O32</f>
        <v>-0.35</v>
      </c>
    </row>
    <row r="36">
      <c r="B36" s="2" t="s">
        <v>95</v>
      </c>
      <c r="C36" s="5">
        <f>SUM(C33:C35)</f>
        <v>-17.668</v>
      </c>
      <c r="D36" s="5">
        <f>SUM(D33:D35)</f>
        <v>-16.118</v>
      </c>
      <c r="E36" s="5">
        <f>SUM(E33:E35)</f>
        <v>-71.66199999999999</v>
      </c>
      <c r="F36" s="5">
        <f>SUM(F33:F35)</f>
        <v>-16.173000000000002</v>
      </c>
      <c r="G36" s="5">
        <f>SUM(G33:G35)</f>
        <v>-16.362</v>
      </c>
      <c r="H36" s="4">
        <f>SUM(H33:H35)</f>
        <v>-16.7</v>
      </c>
    </row>
    <row r="37">
      <c r="B37" s="7" t="s">
        <v>96</v>
      </c>
      <c r="C37" s="11">
        <f>SUM(C31,C36)</f>
        <v>26.206000000000024</v>
      </c>
      <c r="D37" s="11">
        <f>SUM(D31,D36)</f>
        <v>22.255999999999997</v>
      </c>
      <c r="E37" s="11">
        <f>SUM(E31,E36)</f>
        <v>81.62799999999986</v>
      </c>
      <c r="F37" s="11">
        <f>SUM(F31,F36)</f>
        <v>30.291999999999973</v>
      </c>
      <c r="G37" s="11">
        <f>SUM(G31,G36)</f>
        <v>28.83999999999997</v>
      </c>
      <c r="H37" s="36">
        <f>SUM(H31,H36)</f>
        <v>25.649999999999995</v>
      </c>
    </row>
    <row r="38">
      <c r="B38" s="2" t="s">
        <v>97</v>
      </c>
      <c r="C38" s="13">
        <v>6.793</v>
      </c>
      <c r="D38" s="13">
        <v>-3.489</v>
      </c>
      <c r="E38" s="13">
        <v>8.495</v>
      </c>
      <c r="F38" s="13">
        <v>7.479</v>
      </c>
      <c r="G38" s="13">
        <v>7.767</v>
      </c>
      <c r="H38" s="21">
        <f>H37*Inputs!O33</f>
        <v>6.412499999999999</v>
      </c>
    </row>
    <row r="39">
      <c r="B39" s="2" t="s">
        <v>98</v>
      </c>
      <c r="C39" s="29">
        <f>C38/C37</f>
        <v>0.2592154468442339</v>
      </c>
      <c r="D39" s="29">
        <f>D38/D37</f>
        <v>-0.1567667145938174</v>
      </c>
      <c r="E39" s="29">
        <f>E38/E37</f>
        <v>0.10406968197187257</v>
      </c>
      <c r="F39" s="29">
        <f>F38/F37</f>
        <v>0.24689687046084796</v>
      </c>
      <c r="G39" s="29">
        <f>G38/G37</f>
        <v>0.2693134535367548</v>
      </c>
      <c r="H39" s="30">
        <f>H38/H37</f>
        <v>0.25</v>
      </c>
    </row>
    <row r="40">
      <c r="B40" s="7" t="s">
        <v>19</v>
      </c>
      <c r="C40" s="11">
        <f>C37-C38</f>
        <v>19.413000000000025</v>
      </c>
      <c r="D40" s="11">
        <f>D37-D38</f>
        <v>25.744999999999997</v>
      </c>
      <c r="E40" s="11">
        <f>E37-E38</f>
        <v>73.13299999999985</v>
      </c>
      <c r="F40" s="11">
        <f>F37-F38</f>
        <v>22.812999999999974</v>
      </c>
      <c r="G40" s="11">
        <f>G37-G38</f>
        <v>21.072999999999972</v>
      </c>
      <c r="H40" s="36">
        <f>H37-H38</f>
        <v>19.237499999999997</v>
      </c>
    </row>
    <row r="41">
      <c r="B41" s="2" t="s">
        <v>99</v>
      </c>
      <c r="C41" s="29">
        <f>C40/C10</f>
        <v>0.07771572689605485</v>
      </c>
      <c r="D41" s="29">
        <f>D40/D10</f>
        <v>0.10189340868973268</v>
      </c>
      <c r="E41" s="29">
        <f>E40/E10</f>
        <v>0.07479104262392976</v>
      </c>
      <c r="F41" s="29">
        <f>F40/F10</f>
        <v>0.09206251841210003</v>
      </c>
      <c r="G41" s="29">
        <f>G40/G10</f>
        <v>0.08313968398003659</v>
      </c>
      <c r="H41" s="30">
        <f>H40/H10</f>
        <v>0.0763392857142857</v>
      </c>
    </row>
    <row r="42">
      <c r="B42" s="2" t="s">
        <v>100</v>
      </c>
      <c r="C42" s="22">
        <f>'Share Count'!C10</f>
        <v>42.988</v>
      </c>
      <c r="D42" s="22">
        <f>'Share Count'!D10</f>
        <v>42.686</v>
      </c>
      <c r="E42" s="22">
        <f>'Share Count'!E10</f>
        <v>42.996</v>
      </c>
      <c r="F42" s="22">
        <f>'Share Count'!F10</f>
        <v>42.155</v>
      </c>
      <c r="G42" s="22">
        <f>'Share Count'!G10</f>
        <v>41.901</v>
      </c>
      <c r="H42" s="21">
        <f>'Share Count'!H10</f>
        <v>41.25</v>
      </c>
    </row>
    <row r="43">
      <c r="B43" s="2" t="s">
        <v>101</v>
      </c>
      <c r="C43" s="22">
        <f>'Share Count'!C14</f>
        <v>43.717</v>
      </c>
      <c r="D43" s="22">
        <f>'Share Count'!D14</f>
        <v>43.314</v>
      </c>
      <c r="E43" s="22">
        <f>'Share Count'!E14</f>
        <v>44.019</v>
      </c>
      <c r="F43" s="22">
        <f>'Share Count'!F14</f>
        <v>42.729</v>
      </c>
      <c r="G43" s="22">
        <f>'Share Count'!G14</f>
        <v>42.31</v>
      </c>
      <c r="H43" s="21">
        <f>'Share Count'!H14</f>
        <v>41.7</v>
      </c>
    </row>
    <row r="44">
      <c r="B44" s="2" t="s">
        <v>102</v>
      </c>
      <c r="C44" s="15">
        <f>C40/C42</f>
        <v>0.4515911417139673</v>
      </c>
      <c r="D44" s="15">
        <f>D40/D42</f>
        <v>0.6031251464180293</v>
      </c>
      <c r="E44" s="15">
        <f>E40/E42</f>
        <v>1.7009256675039504</v>
      </c>
      <c r="F44" s="15">
        <f>F40/F42</f>
        <v>0.5411694935357603</v>
      </c>
      <c r="G44" s="15">
        <f>G40/G42</f>
        <v>0.5029235579103117</v>
      </c>
      <c r="H44" s="45">
        <f>H40/H42</f>
        <v>0.4663636363636363</v>
      </c>
    </row>
    <row r="45">
      <c r="B45" s="7" t="s">
        <v>23</v>
      </c>
      <c r="C45" s="35">
        <f>C40/C43</f>
        <v>0.4440606629000166</v>
      </c>
      <c r="D45" s="35">
        <f>D40/D43</f>
        <v>0.5943805697926767</v>
      </c>
      <c r="E45" s="35">
        <f>E40/E43</f>
        <v>1.6613962152706754</v>
      </c>
      <c r="F45" s="35">
        <f>F40/F43</f>
        <v>0.5338996934166486</v>
      </c>
      <c r="G45" s="35">
        <f>G40/G43</f>
        <v>0.4980619238950596</v>
      </c>
      <c r="H45" s="44">
        <f>H40/H43</f>
        <v>0.46133093525179847</v>
      </c>
    </row>
    <row r="46">
      <c r="B46" s="2"/>
      <c r="C46" s="5"/>
      <c r="D46" s="5"/>
      <c r="E46" s="5"/>
      <c r="F46" s="5"/>
      <c r="G46" s="5"/>
      <c r="H46" s="4"/>
    </row>
    <row r="47">
      <c r="B47" s="2" t="s">
        <v>103</v>
      </c>
      <c r="C47" s="5">
        <f>SUM(C17,C25)</f>
        <v>37.199</v>
      </c>
      <c r="D47" s="5">
        <f>SUM(D17,D25)</f>
        <v>35.463</v>
      </c>
      <c r="E47" s="5">
        <f>SUM(E17,E25)</f>
        <v>145.49200000000002</v>
      </c>
      <c r="F47" s="5">
        <f>SUM(F17,F25)</f>
        <v>34.368</v>
      </c>
      <c r="G47" s="5">
        <f>SUM(G17,G25)</f>
        <v>35.105000000000004</v>
      </c>
      <c r="H47" s="4">
        <f>SUM(H17,H25)</f>
        <v>34.5</v>
      </c>
    </row>
    <row r="48">
      <c r="B48" s="2" t="s">
        <v>104</v>
      </c>
      <c r="C48" s="13">
        <v>15.97</v>
      </c>
      <c r="D48" s="13">
        <v>17.374</v>
      </c>
      <c r="E48" s="13">
        <v>64.768</v>
      </c>
      <c r="F48" s="13">
        <v>18.474</v>
      </c>
      <c r="G48" s="13">
        <v>20.509</v>
      </c>
      <c r="H48" s="21">
        <f>Inputs!O34</f>
        <v>19.8</v>
      </c>
    </row>
    <row r="49">
      <c r="B49" s="2" t="s">
        <v>105</v>
      </c>
      <c r="C49" s="5">
        <f>C27</f>
        <v>0.907</v>
      </c>
      <c r="D49" s="5">
        <f>D27</f>
        <v>4.13</v>
      </c>
      <c r="E49" s="5">
        <f>E27</f>
        <v>13.109</v>
      </c>
      <c r="F49" s="5">
        <f>F27</f>
        <v>0.706</v>
      </c>
      <c r="G49" s="5">
        <f>G27</f>
        <v>1.48</v>
      </c>
      <c r="H49" s="4">
        <f>H27</f>
        <v>1.3</v>
      </c>
    </row>
    <row r="50">
      <c r="B50" s="2" t="s">
        <v>106</v>
      </c>
      <c r="C50" s="5">
        <f>C28</f>
        <v>0.814</v>
      </c>
      <c r="D50" s="5">
        <f>D28</f>
        <v>0.282</v>
      </c>
      <c r="E50" s="5">
        <f>E28</f>
        <v>5.317</v>
      </c>
      <c r="F50" s="5">
        <f>F28</f>
        <v>0.814</v>
      </c>
      <c r="G50" s="5">
        <f>G28</f>
        <v>-0.939</v>
      </c>
      <c r="H50" s="4">
        <f>H28</f>
        <v>3.3</v>
      </c>
    </row>
    <row r="51">
      <c r="B51" s="2" t="s">
        <v>107</v>
      </c>
      <c r="C51" s="5">
        <f>C26</f>
        <v>0.659</v>
      </c>
      <c r="D51" s="5">
        <f>D26</f>
        <v>0.649</v>
      </c>
      <c r="E51" s="5">
        <f>E26</f>
        <v>2.775</v>
      </c>
      <c r="F51" s="5">
        <f>F26</f>
        <v>1.358</v>
      </c>
      <c r="G51" s="5">
        <f>G26</f>
        <v>1.266</v>
      </c>
      <c r="H51" s="4">
        <f>H26</f>
        <v>1.5</v>
      </c>
    </row>
    <row r="52">
      <c r="B52" s="2" t="s">
        <v>108</v>
      </c>
      <c r="C52" s="13">
        <v>-9.239</v>
      </c>
      <c r="D52" s="13">
        <v>-18.167</v>
      </c>
      <c r="E52" s="13">
        <v>-52.651</v>
      </c>
      <c r="F52" s="13">
        <v>-10.233</v>
      </c>
      <c r="G52" s="13">
        <v>-10.125</v>
      </c>
      <c r="H52" s="21">
        <f>H38-(H37+SUM(H47:H51))*Inputs!O35</f>
        <v>-10.797500000000003</v>
      </c>
    </row>
    <row r="53">
      <c r="B53" s="7" t="s">
        <v>109</v>
      </c>
      <c r="C53" s="11">
        <f>SUM(C40,C47:C52)</f>
        <v>65.72300000000003</v>
      </c>
      <c r="D53" s="11">
        <f>SUM(D40,D47:D52)</f>
        <v>65.476</v>
      </c>
      <c r="E53" s="11">
        <f>SUM(E40,E47:E52)</f>
        <v>251.94299999999987</v>
      </c>
      <c r="F53" s="11">
        <f>SUM(F40,F47:F52)</f>
        <v>68.29999999999998</v>
      </c>
      <c r="G53" s="11">
        <f>SUM(G40,G47:G52)</f>
        <v>68.36899999999997</v>
      </c>
      <c r="H53" s="36">
        <f>SUM(H40,H47:H52)</f>
        <v>68.83999999999999</v>
      </c>
    </row>
    <row r="54">
      <c r="B54" s="7" t="s">
        <v>22</v>
      </c>
      <c r="C54" s="35">
        <f>C53/C43</f>
        <v>1.5033739735114493</v>
      </c>
      <c r="D54" s="35">
        <f>D53/D43</f>
        <v>1.5116590478829015</v>
      </c>
      <c r="E54" s="35">
        <f>E53/E43</f>
        <v>5.723505758876846</v>
      </c>
      <c r="F54" s="35">
        <f>F53/F43</f>
        <v>1.5984460202672655</v>
      </c>
      <c r="G54" s="35">
        <f>G53/G43</f>
        <v>1.6159064051051752</v>
      </c>
      <c r="H54" s="44">
        <f>H53/H43</f>
        <v>1.6508393285371699</v>
      </c>
    </row>
    <row r="55">
      <c r="B55" s="2" t="s">
        <v>110</v>
      </c>
      <c r="C55" s="29"/>
      <c r="D55" s="29"/>
      <c r="E55" s="29"/>
      <c r="F55" s="29"/>
      <c r="G55" s="29"/>
      <c r="H55" s="30">
        <f>H54/C54-1</f>
        <v>0.09808960220409024</v>
      </c>
    </row>
    <row r="56">
      <c r="B56" s="2" t="s">
        <v>111</v>
      </c>
      <c r="C56" s="5">
        <f>C45-C40/C43</f>
        <v>0</v>
      </c>
      <c r="D56" s="5">
        <f>D45-D40/D43</f>
        <v>0</v>
      </c>
      <c r="E56" s="5">
        <f>E45-E40/E43</f>
        <v>0</v>
      </c>
      <c r="F56" s="5">
        <f>F45-F40/F43</f>
        <v>0</v>
      </c>
      <c r="G56" s="5">
        <f>G45-G40/G43</f>
        <v>0</v>
      </c>
      <c r="H56" s="4">
        <f>H45-H40/H43</f>
        <v>0</v>
      </c>
    </row>
    <row r="57">
      <c r="B57" s="2" t="s">
        <v>112</v>
      </c>
      <c r="C57" s="24">
        <f>Inputs!D13</f>
        <v>1.5</v>
      </c>
      <c r="D57" s="24">
        <f>Inputs!D14</f>
        <v>1.51</v>
      </c>
      <c r="E57" s="15"/>
      <c r="F57" s="24">
        <f>Inputs!D15</f>
        <v>1.6</v>
      </c>
      <c r="G57" s="24">
        <f>Inputs!D16</f>
        <v>1.62</v>
      </c>
      <c r="H57" s="45"/>
    </row>
    <row r="58">
      <c r="B58" s="2" t="s">
        <v>113</v>
      </c>
      <c r="C58" s="24">
        <f>Inputs!F13</f>
        <v>0.44</v>
      </c>
      <c r="D58" s="24">
        <f>Inputs!F14</f>
        <v>0.59</v>
      </c>
      <c r="E58" s="15"/>
      <c r="F58" s="24">
        <f>Inputs!F15</f>
        <v>0.53</v>
      </c>
      <c r="G58" s="24">
        <f>Inputs!F16</f>
        <v>0.5</v>
      </c>
      <c r="H58" s="45"/>
    </row>
    <row r="59">
      <c r="B59" s="2" t="s">
        <v>114</v>
      </c>
      <c r="C59" s="5"/>
      <c r="D59" s="5">
        <f>(D32-C32)*10000</f>
        <v>-237.63634645180804</v>
      </c>
      <c r="E59" s="5"/>
      <c r="F59" s="5">
        <f>(F32-D32)*10000</f>
        <v>356.344553084659</v>
      </c>
      <c r="G59" s="5">
        <f>(G32-F32)*10000</f>
        <v>-91.7458603953325</v>
      </c>
      <c r="H59" s="4">
        <f>(H32-G32)*10000</f>
        <v>-102.8070388854907</v>
      </c>
    </row>
    <row r="60">
      <c r="B60" s="2" t="s">
        <v>115</v>
      </c>
      <c r="C60" s="5"/>
      <c r="D60" s="5">
        <f>(D39-C39)*10000</f>
        <v>-4159.821614380513</v>
      </c>
      <c r="E60" s="5"/>
      <c r="F60" s="5">
        <f>(F39-D39)*10000</f>
        <v>4036.6358505466537</v>
      </c>
      <c r="G60" s="5">
        <f>(G39-F39)*10000</f>
        <v>224.16583075906826</v>
      </c>
      <c r="H60" s="4">
        <f>(H39-G39)*10000</f>
        <v>-193.13453536754787</v>
      </c>
    </row>
    <row r="61">
      <c r="B61" s="2" t="s">
        <v>116</v>
      </c>
      <c r="C61" s="5"/>
      <c r="D61" s="5">
        <f>(D41-C41)*10000</f>
        <v>241.77681793677823</v>
      </c>
      <c r="E61" s="5"/>
      <c r="F61" s="5">
        <f>(F41-D41)*10000</f>
        <v>-98.30890277632648</v>
      </c>
      <c r="G61" s="5">
        <f>(G41-F41)*10000</f>
        <v>-89.22834432063445</v>
      </c>
      <c r="H61" s="4">
        <f>(H41-G41)*10000</f>
        <v>-68.00398265750879</v>
      </c>
    </row>
    <row r="62">
      <c r="B62" s="2" t="s">
        <v>117</v>
      </c>
      <c r="C62" s="29">
        <f>C53/C10</f>
        <v>0.2631077483536501</v>
      </c>
      <c r="D62" s="29">
        <f>D53/D10</f>
        <v>0.2591405254367426</v>
      </c>
      <c r="E62" s="29">
        <f>E53/E10</f>
        <v>0.2576549526451911</v>
      </c>
      <c r="F62" s="29">
        <f>F53/F10</f>
        <v>0.2756266167337237</v>
      </c>
      <c r="G62" s="29">
        <f>G53/G10</f>
        <v>0.26973743909415493</v>
      </c>
      <c r="H62" s="30">
        <f>H53/H10</f>
        <v>0.2731746031746031</v>
      </c>
    </row>
    <row r="63">
      <c r="B63" s="2" t="s">
        <v>118</v>
      </c>
      <c r="C63" s="5"/>
      <c r="D63" s="5">
        <f>(D62-C62)*10000</f>
        <v>-39.67222916907487</v>
      </c>
      <c r="E63" s="5"/>
      <c r="F63" s="5">
        <f>(F62-D62)*10000</f>
        <v>164.86091296981087</v>
      </c>
      <c r="G63" s="5">
        <f>(G62-F62)*10000</f>
        <v>-58.89177639568754</v>
      </c>
      <c r="H63" s="4">
        <f>(H62-G62)*10000</f>
        <v>34.37164080448196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B2:J45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2" customWidth="1"/>
    <col min="9" max="9" width="3" customWidth="1"/>
    <col min="10" max="10" width="48" customWidth="1"/>
  </cols>
  <sheetData>
    <row r="2">
      <c r="B2" s="3" t="s">
        <v>0</v>
      </c>
      <c r="C2" s="3"/>
      <c r="D2" s="3"/>
      <c r="E2" s="3"/>
      <c r="F2" s="3"/>
      <c r="G2" s="3"/>
      <c r="H2" s="3"/>
    </row>
    <row r="3">
      <c r="B3" s="2" t="s">
        <v>119</v>
      </c>
      <c r="C3" s="2"/>
      <c r="D3" s="2"/>
      <c r="E3" s="2"/>
      <c r="F3" s="2"/>
      <c r="G3" s="2"/>
      <c r="H3" s="2"/>
    </row>
    <row r="4">
      <c r="B4" s="2" t="s">
        <v>2</v>
      </c>
      <c r="C4" s="2"/>
      <c r="D4" s="2"/>
      <c r="E4" s="2"/>
      <c r="F4" s="2"/>
      <c r="G4" s="2"/>
      <c r="H4" s="2"/>
    </row>
    <row r="5">
      <c r="B5" s="2"/>
      <c r="C5" s="2"/>
      <c r="D5" s="2"/>
      <c r="E5" s="2"/>
      <c r="F5" s="2"/>
      <c r="G5" s="2"/>
      <c r="H5" s="2"/>
    </row>
    <row r="6"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4" t="s">
        <v>9</v>
      </c>
    </row>
    <row r="7">
      <c r="B7" s="2" t="s">
        <v>10</v>
      </c>
      <c r="C7" s="1">
        <v>45900</v>
      </c>
      <c r="D7" s="1">
        <v>45991</v>
      </c>
      <c r="E7" s="1">
        <v>45991</v>
      </c>
      <c r="F7" s="1">
        <v>46081</v>
      </c>
      <c r="G7" s="1">
        <v>46173</v>
      </c>
      <c r="H7" s="26">
        <v>46265</v>
      </c>
    </row>
    <row r="8">
      <c r="B8" s="2" t="s">
        <v>11</v>
      </c>
      <c r="C8" s="2">
        <v>92</v>
      </c>
      <c r="D8" s="2">
        <v>91</v>
      </c>
      <c r="E8" s="2">
        <v>365</v>
      </c>
      <c r="F8" s="2">
        <v>90</v>
      </c>
      <c r="G8" s="2">
        <v>92</v>
      </c>
      <c r="H8" s="17">
        <v>92</v>
      </c>
    </row>
    <row r="9">
      <c r="B9" s="2"/>
      <c r="C9" s="2"/>
      <c r="D9" s="2"/>
      <c r="E9" s="2"/>
      <c r="F9" s="2"/>
      <c r="G9" s="2"/>
      <c r="H9" s="17"/>
    </row>
    <row r="10">
      <c r="B10" s="10" t="s">
        <v>120</v>
      </c>
      <c r="C10" s="33">
        <v>99.008</v>
      </c>
      <c r="D10" s="33">
        <v>94.807</v>
      </c>
      <c r="E10" s="8">
        <f>D10</f>
        <v>94.807</v>
      </c>
      <c r="F10" s="33">
        <v>113.171</v>
      </c>
      <c r="G10" s="33">
        <v>102.978</v>
      </c>
      <c r="H10" s="39">
        <f>G10+'Cash Flow Statement'!H27</f>
        <v>125.21549999999999</v>
      </c>
    </row>
    <row r="11">
      <c r="B11" s="2" t="s">
        <v>121</v>
      </c>
      <c r="C11" s="13">
        <v>151.431</v>
      </c>
      <c r="D11" s="13">
        <v>195.783</v>
      </c>
      <c r="E11" s="5">
        <f>D11</f>
        <v>195.783</v>
      </c>
      <c r="F11" s="13">
        <v>147.612</v>
      </c>
      <c r="G11" s="13">
        <v>125.209</v>
      </c>
      <c r="H11" s="21">
        <f>G11+Inputs!O61</f>
        <v>133.209</v>
      </c>
    </row>
    <row r="12">
      <c r="B12" s="2" t="s">
        <v>122</v>
      </c>
      <c r="C12" s="13">
        <v>35.93</v>
      </c>
      <c r="D12" s="13">
        <v>46.599</v>
      </c>
      <c r="E12" s="5">
        <f>D12</f>
        <v>46.599</v>
      </c>
      <c r="F12" s="13">
        <v>40.759</v>
      </c>
      <c r="G12" s="13">
        <v>51.297</v>
      </c>
      <c r="H12" s="21">
        <f>G12+Inputs!O62</f>
        <v>54.297</v>
      </c>
    </row>
    <row r="13">
      <c r="B13" s="2" t="s">
        <v>123</v>
      </c>
      <c r="C13" s="13">
        <v>49.176</v>
      </c>
      <c r="D13" s="13">
        <v>62.776</v>
      </c>
      <c r="E13" s="5">
        <f>D13</f>
        <v>62.776</v>
      </c>
      <c r="F13" s="13">
        <v>68.599</v>
      </c>
      <c r="G13" s="13">
        <v>57.018</v>
      </c>
      <c r="H13" s="21">
        <f>G13+Inputs!O63</f>
        <v>65.018</v>
      </c>
    </row>
    <row r="14">
      <c r="B14" s="7" t="s">
        <v>124</v>
      </c>
      <c r="C14" s="11">
        <f>SUM(C10:C13)</f>
        <v>335.545</v>
      </c>
      <c r="D14" s="11">
        <f>SUM(D10:D13)</f>
        <v>399.96500000000003</v>
      </c>
      <c r="E14" s="11">
        <f>SUM(E10:E13)</f>
        <v>399.96500000000003</v>
      </c>
      <c r="F14" s="11">
        <f>SUM(F10:F13)</f>
        <v>370.14099999999996</v>
      </c>
      <c r="G14" s="11">
        <f>SUM(G10:G13)</f>
        <v>336.502</v>
      </c>
      <c r="H14" s="36">
        <f>SUM(H10:H13)</f>
        <v>377.7395</v>
      </c>
    </row>
    <row r="15">
      <c r="B15" s="2"/>
      <c r="C15" s="5"/>
      <c r="D15" s="5"/>
      <c r="E15" s="5"/>
      <c r="F15" s="5"/>
      <c r="G15" s="5"/>
      <c r="H15" s="4"/>
    </row>
    <row r="16">
      <c r="B16" s="2" t="s">
        <v>125</v>
      </c>
      <c r="C16" s="13">
        <v>13.134</v>
      </c>
      <c r="D16" s="13">
        <v>13.694</v>
      </c>
      <c r="E16" s="5">
        <f>D16</f>
        <v>13.694</v>
      </c>
      <c r="F16" s="13">
        <v>14.901</v>
      </c>
      <c r="G16" s="13">
        <v>14.938</v>
      </c>
      <c r="H16" s="21">
        <f>G16-'Cash Flow Statement'!H17-('Cash Flow Statement'!H11-'Income Statement'!H47)</f>
        <v>13.438000000000002</v>
      </c>
    </row>
    <row r="17">
      <c r="B17" s="2" t="s">
        <v>126</v>
      </c>
      <c r="C17" s="13">
        <v>1309.252</v>
      </c>
      <c r="D17" s="13">
        <v>1309.054</v>
      </c>
      <c r="E17" s="5">
        <f>D17</f>
        <v>1309.054</v>
      </c>
      <c r="F17" s="13">
        <v>1309.07</v>
      </c>
      <c r="G17" s="13">
        <v>1309.75</v>
      </c>
      <c r="H17" s="4">
        <f>G17</f>
        <v>1309.75</v>
      </c>
    </row>
    <row r="18">
      <c r="B18" s="2" t="s">
        <v>127</v>
      </c>
      <c r="C18" s="13">
        <v>619.363</v>
      </c>
      <c r="D18" s="13">
        <v>584.028</v>
      </c>
      <c r="E18" s="5">
        <f>D18</f>
        <v>584.028</v>
      </c>
      <c r="F18" s="13">
        <v>549.76</v>
      </c>
      <c r="G18" s="13">
        <v>514.579</v>
      </c>
      <c r="H18" s="21">
        <f>G18-'Income Statement'!H17-'Income Statement'!H25</f>
        <v>480.07899999999995</v>
      </c>
    </row>
    <row r="19">
      <c r="B19" s="2" t="s">
        <v>128</v>
      </c>
      <c r="C19" s="13">
        <v>27.727</v>
      </c>
      <c r="D19" s="13">
        <v>25.842</v>
      </c>
      <c r="E19" s="5">
        <f>D19</f>
        <v>25.842</v>
      </c>
      <c r="F19" s="13">
        <v>30.595</v>
      </c>
      <c r="G19" s="13">
        <v>31.526</v>
      </c>
      <c r="H19" s="4">
        <f>G19</f>
        <v>31.526</v>
      </c>
    </row>
    <row r="20">
      <c r="B20" s="2" t="s">
        <v>129</v>
      </c>
      <c r="C20" s="13">
        <v>30.76</v>
      </c>
      <c r="D20" s="13">
        <v>29.95</v>
      </c>
      <c r="E20" s="5">
        <f>D20</f>
        <v>29.95</v>
      </c>
      <c r="F20" s="13">
        <v>28.477</v>
      </c>
      <c r="G20" s="13">
        <v>44.139</v>
      </c>
      <c r="H20" s="4">
        <f>G20</f>
        <v>44.139</v>
      </c>
    </row>
    <row r="21">
      <c r="B21" s="2" t="s">
        <v>130</v>
      </c>
      <c r="C21" s="13">
        <v>68.823</v>
      </c>
      <c r="D21" s="13">
        <v>77.442</v>
      </c>
      <c r="E21" s="5">
        <f>D21</f>
        <v>77.442</v>
      </c>
      <c r="F21" s="13">
        <v>75.144</v>
      </c>
      <c r="G21" s="13">
        <v>78.3</v>
      </c>
      <c r="H21" s="4">
        <f>G21</f>
        <v>78.3</v>
      </c>
    </row>
    <row r="22">
      <c r="B22" s="2" t="s">
        <v>131</v>
      </c>
      <c r="C22" s="13">
        <v>17.107</v>
      </c>
      <c r="D22" s="13">
        <v>17.683</v>
      </c>
      <c r="E22" s="5">
        <f>D22</f>
        <v>17.683</v>
      </c>
      <c r="F22" s="13">
        <v>16.686</v>
      </c>
      <c r="G22" s="13">
        <v>15.889</v>
      </c>
      <c r="H22" s="4">
        <f>G22</f>
        <v>15.889</v>
      </c>
    </row>
    <row r="23">
      <c r="B23" s="7" t="s">
        <v>132</v>
      </c>
      <c r="C23" s="11">
        <f>SUM(C14,C16:C22)</f>
        <v>2421.7110000000002</v>
      </c>
      <c r="D23" s="11">
        <f>SUM(D14,D16:D22)</f>
        <v>2457.6580000000004</v>
      </c>
      <c r="E23" s="11">
        <f>SUM(E14,E16:E22)</f>
        <v>2457.6580000000004</v>
      </c>
      <c r="F23" s="11">
        <f>SUM(F14,F16:F22)</f>
        <v>2394.774</v>
      </c>
      <c r="G23" s="11">
        <f>SUM(G14,G16:G22)</f>
        <v>2345.623</v>
      </c>
      <c r="H23" s="36">
        <f>SUM(H14,H16:H22)</f>
        <v>2350.8605</v>
      </c>
    </row>
    <row r="24">
      <c r="B24" s="2"/>
      <c r="C24" s="5"/>
      <c r="D24" s="5"/>
      <c r="E24" s="5"/>
      <c r="F24" s="5"/>
      <c r="G24" s="5"/>
      <c r="H24" s="4"/>
    </row>
    <row r="25">
      <c r="B25" s="2" t="s">
        <v>133</v>
      </c>
      <c r="C25" s="13">
        <v>12.847</v>
      </c>
      <c r="D25" s="13">
        <v>15.934</v>
      </c>
      <c r="E25" s="5">
        <f>D25</f>
        <v>15.934</v>
      </c>
      <c r="F25" s="13">
        <v>13.873</v>
      </c>
      <c r="G25" s="13">
        <v>11.189</v>
      </c>
      <c r="H25" s="4">
        <f>G25</f>
        <v>11.189</v>
      </c>
    </row>
    <row r="26">
      <c r="B26" s="2" t="s">
        <v>134</v>
      </c>
      <c r="C26" s="13">
        <v>63.323</v>
      </c>
      <c r="D26" s="13">
        <v>71.804</v>
      </c>
      <c r="E26" s="5">
        <f>D26</f>
        <v>71.804</v>
      </c>
      <c r="F26" s="13">
        <v>45.297</v>
      </c>
      <c r="G26" s="13">
        <v>47.446</v>
      </c>
      <c r="H26" s="4">
        <f>G26</f>
        <v>47.446</v>
      </c>
    </row>
    <row r="27">
      <c r="B27" s="2" t="s">
        <v>135</v>
      </c>
      <c r="C27" s="13">
        <v>27.516</v>
      </c>
      <c r="D27" s="13">
        <v>29.593</v>
      </c>
      <c r="E27" s="5">
        <f>D27</f>
        <v>29.593</v>
      </c>
      <c r="F27" s="13">
        <v>29.651</v>
      </c>
      <c r="G27" s="13">
        <v>24.787</v>
      </c>
      <c r="H27" s="4">
        <f>G27</f>
        <v>24.787</v>
      </c>
    </row>
    <row r="28">
      <c r="B28" s="2" t="s">
        <v>136</v>
      </c>
      <c r="C28" s="13">
        <v>298.716</v>
      </c>
      <c r="D28" s="13">
        <v>324.75</v>
      </c>
      <c r="E28" s="5">
        <f>D28</f>
        <v>324.75</v>
      </c>
      <c r="F28" s="13">
        <v>330.766</v>
      </c>
      <c r="G28" s="13">
        <v>324.469</v>
      </c>
      <c r="H28" s="21">
        <f>G28+Inputs!O64</f>
        <v>326.469</v>
      </c>
    </row>
    <row r="29">
      <c r="B29" s="2" t="s">
        <v>137</v>
      </c>
      <c r="C29" s="13">
        <v>358.619</v>
      </c>
      <c r="D29" s="13">
        <v>359.163</v>
      </c>
      <c r="E29" s="5">
        <f>D29</f>
        <v>359.163</v>
      </c>
      <c r="F29" s="13">
        <v>359.723</v>
      </c>
      <c r="G29" s="13">
        <v>0</v>
      </c>
      <c r="H29" s="4">
        <f>G29</f>
        <v>0</v>
      </c>
    </row>
    <row r="30">
      <c r="B30" s="2" t="s">
        <v>138</v>
      </c>
      <c r="C30" s="13">
        <v>8.788</v>
      </c>
      <c r="D30" s="13">
        <v>8.49</v>
      </c>
      <c r="E30" s="5">
        <f>D30</f>
        <v>8.49</v>
      </c>
      <c r="F30" s="13">
        <v>8.811</v>
      </c>
      <c r="G30" s="13">
        <v>8.144</v>
      </c>
      <c r="H30" s="4">
        <f>G30</f>
        <v>8.144</v>
      </c>
    </row>
    <row r="31">
      <c r="B31" s="7" t="s">
        <v>139</v>
      </c>
      <c r="C31" s="11">
        <f>SUM(C25:C30)</f>
        <v>769.8090000000001</v>
      </c>
      <c r="D31" s="11">
        <f>SUM(D25:D30)</f>
        <v>809.734</v>
      </c>
      <c r="E31" s="11">
        <f>SUM(E25:E30)</f>
        <v>809.734</v>
      </c>
      <c r="F31" s="11">
        <f>SUM(F25:F30)</f>
        <v>788.1210000000001</v>
      </c>
      <c r="G31" s="11">
        <f>SUM(G25:G30)</f>
        <v>416.035</v>
      </c>
      <c r="H31" s="36">
        <f>SUM(H25:H30)</f>
        <v>418.035</v>
      </c>
    </row>
    <row r="32">
      <c r="B32" s="2"/>
      <c r="C32" s="5"/>
      <c r="D32" s="5"/>
      <c r="E32" s="5"/>
      <c r="F32" s="5"/>
      <c r="G32" s="5"/>
      <c r="H32" s="4"/>
    </row>
    <row r="33">
      <c r="B33" s="2" t="s">
        <v>140</v>
      </c>
      <c r="C33" s="13">
        <v>620</v>
      </c>
      <c r="D33" s="13">
        <v>600</v>
      </c>
      <c r="E33" s="5">
        <f>D33</f>
        <v>600</v>
      </c>
      <c r="F33" s="13">
        <v>540</v>
      </c>
      <c r="G33" s="13">
        <v>850</v>
      </c>
      <c r="H33" s="21">
        <f>G33+'Cash Flow Statement'!H23</f>
        <v>830</v>
      </c>
    </row>
    <row r="34">
      <c r="B34" s="2" t="s">
        <v>141</v>
      </c>
      <c r="C34" s="13">
        <v>440.713</v>
      </c>
      <c r="D34" s="13">
        <v>441.186</v>
      </c>
      <c r="E34" s="5">
        <f>D34</f>
        <v>441.186</v>
      </c>
      <c r="F34" s="13">
        <v>441.664</v>
      </c>
      <c r="G34" s="13">
        <v>442.147</v>
      </c>
      <c r="H34" s="4">
        <f>G34</f>
        <v>442.147</v>
      </c>
    </row>
    <row r="35">
      <c r="B35" s="2" t="s">
        <v>142</v>
      </c>
      <c r="C35" s="13">
        <v>82.346</v>
      </c>
      <c r="D35" s="13">
        <v>100.329</v>
      </c>
      <c r="E35" s="5">
        <f>D35</f>
        <v>100.329</v>
      </c>
      <c r="F35" s="13">
        <v>93.845</v>
      </c>
      <c r="G35" s="13">
        <v>98.756</v>
      </c>
      <c r="H35" s="4">
        <f>G35</f>
        <v>98.756</v>
      </c>
    </row>
    <row r="36">
      <c r="B36" s="2" t="s">
        <v>143</v>
      </c>
      <c r="C36" s="13">
        <v>22.705</v>
      </c>
      <c r="D36" s="13">
        <v>21.077</v>
      </c>
      <c r="E36" s="5">
        <f>D36</f>
        <v>21.077</v>
      </c>
      <c r="F36" s="13">
        <v>25.311</v>
      </c>
      <c r="G36" s="13">
        <v>26.467</v>
      </c>
      <c r="H36" s="4">
        <f>G36</f>
        <v>26.467</v>
      </c>
    </row>
    <row r="37">
      <c r="B37" s="2" t="s">
        <v>144</v>
      </c>
      <c r="C37" s="13">
        <v>2.599</v>
      </c>
      <c r="D37" s="13">
        <v>1.158</v>
      </c>
      <c r="E37" s="5">
        <f>D37</f>
        <v>1.158</v>
      </c>
      <c r="F37" s="13">
        <v>1.178</v>
      </c>
      <c r="G37" s="13">
        <v>1.15</v>
      </c>
      <c r="H37" s="4">
        <f>G37</f>
        <v>1.15</v>
      </c>
    </row>
    <row r="38">
      <c r="B38" s="2" t="s">
        <v>145</v>
      </c>
      <c r="C38" s="13">
        <v>5.857</v>
      </c>
      <c r="D38" s="13">
        <v>5.825</v>
      </c>
      <c r="E38" s="5">
        <f>D38</f>
        <v>5.825</v>
      </c>
      <c r="F38" s="13">
        <v>5.86</v>
      </c>
      <c r="G38" s="13">
        <v>4.985</v>
      </c>
      <c r="H38" s="21">
        <f>G38+'Cash Flow Statement'!H13</f>
        <v>8.985</v>
      </c>
    </row>
    <row r="39">
      <c r="B39" s="7" t="s">
        <v>146</v>
      </c>
      <c r="C39" s="11">
        <f>SUM(C31,C33:C38)</f>
        <v>1944.029</v>
      </c>
      <c r="D39" s="11">
        <f>SUM(D31,D33:D38)</f>
        <v>1979.309</v>
      </c>
      <c r="E39" s="11">
        <f>SUM(E31,E33:E38)</f>
        <v>1979.309</v>
      </c>
      <c r="F39" s="11">
        <f>SUM(F31,F33:F38)</f>
        <v>1895.979</v>
      </c>
      <c r="G39" s="11">
        <f>SUM(G31,G33:G38)</f>
        <v>1839.54</v>
      </c>
      <c r="H39" s="36">
        <f>SUM(H31,H33:H38)</f>
        <v>1825.54</v>
      </c>
    </row>
    <row r="40">
      <c r="B40" s="2"/>
      <c r="C40" s="5"/>
      <c r="D40" s="5"/>
      <c r="E40" s="5"/>
      <c r="F40" s="5"/>
      <c r="G40" s="5"/>
      <c r="H40" s="4"/>
    </row>
    <row r="41">
      <c r="B41" s="7" t="s">
        <v>147</v>
      </c>
      <c r="C41" s="38">
        <v>477.682</v>
      </c>
      <c r="D41" s="38">
        <v>478.349</v>
      </c>
      <c r="E41" s="11">
        <f>D41</f>
        <v>478.349</v>
      </c>
      <c r="F41" s="38">
        <v>498.795</v>
      </c>
      <c r="G41" s="38">
        <v>506.083</v>
      </c>
      <c r="H41" s="20">
        <f>G41+'Income Statement'!H40+'Income Statement'!H48+'Cash Flow Statement'!H22+'Cash Flow Statement'!H26</f>
        <v>525.3205</v>
      </c>
    </row>
    <row r="42">
      <c r="B42" s="7" t="s">
        <v>148</v>
      </c>
      <c r="C42" s="11">
        <f>SUM(C39,C41)</f>
        <v>2421.7110000000002</v>
      </c>
      <c r="D42" s="11">
        <f>SUM(D39,D41)</f>
        <v>2457.658</v>
      </c>
      <c r="E42" s="11">
        <f>SUM(E39,E41)</f>
        <v>2457.658</v>
      </c>
      <c r="F42" s="11">
        <f>SUM(F39,F41)</f>
        <v>2394.774</v>
      </c>
      <c r="G42" s="11">
        <f>SUM(G39,G41)</f>
        <v>2345.623</v>
      </c>
      <c r="H42" s="36">
        <f>SUM(H39,H41)</f>
        <v>2350.8605</v>
      </c>
    </row>
    <row r="43">
      <c r="B43" s="7" t="s">
        <v>149</v>
      </c>
      <c r="C43" s="11">
        <f>C23-C42</f>
        <v>0</v>
      </c>
      <c r="D43" s="11">
        <f>D23-D42</f>
        <v>0</v>
      </c>
      <c r="E43" s="11">
        <f>E23-E42</f>
        <v>0</v>
      </c>
      <c r="F43" s="11">
        <f>F23-F42</f>
        <v>0</v>
      </c>
      <c r="G43" s="11">
        <f>G23-G42</f>
        <v>0</v>
      </c>
      <c r="H43" s="36">
        <f>H23-H42</f>
        <v>0</v>
      </c>
    </row>
    <row r="44">
      <c r="B44" s="2"/>
      <c r="C44" s="5"/>
      <c r="D44" s="5"/>
      <c r="E44" s="5"/>
      <c r="F44" s="5"/>
      <c r="G44" s="5"/>
      <c r="H44" s="4"/>
      <c r="J44" s="6" t="s">
        <v>43</v>
      </c>
    </row>
    <row r="45" ht="51">
      <c r="B45" s="2"/>
      <c r="C45" s="5"/>
      <c r="D45" s="5"/>
      <c r="E45" s="5"/>
      <c r="F45" s="5"/>
      <c r="G45" s="5"/>
      <c r="H45" s="4"/>
      <c r="J45" s="6" t="s">
        <v>150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B2:H30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2" customWidth="1"/>
    <col min="9" max="9" width="3" customWidth="1"/>
  </cols>
  <sheetData>
    <row r="2">
      <c r="B2" s="3" t="s">
        <v>0</v>
      </c>
      <c r="C2" s="3"/>
      <c r="D2" s="3"/>
      <c r="E2" s="3"/>
      <c r="F2" s="3"/>
      <c r="G2" s="3"/>
      <c r="H2" s="3"/>
    </row>
    <row r="3">
      <c r="B3" s="2" t="s">
        <v>151</v>
      </c>
      <c r="C3" s="2"/>
      <c r="D3" s="2"/>
      <c r="E3" s="2"/>
      <c r="F3" s="2"/>
      <c r="G3" s="2"/>
      <c r="H3" s="2"/>
    </row>
    <row r="4">
      <c r="B4" s="2" t="s">
        <v>2</v>
      </c>
      <c r="C4" s="2"/>
      <c r="D4" s="2"/>
      <c r="E4" s="2"/>
      <c r="F4" s="2"/>
      <c r="G4" s="2"/>
      <c r="H4" s="2"/>
    </row>
    <row r="5">
      <c r="B5" s="2"/>
      <c r="C5" s="2"/>
      <c r="D5" s="2"/>
      <c r="E5" s="2"/>
      <c r="F5" s="2"/>
      <c r="G5" s="2"/>
      <c r="H5" s="2"/>
    </row>
    <row r="6"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4" t="s">
        <v>9</v>
      </c>
    </row>
    <row r="7">
      <c r="B7" s="2" t="s">
        <v>10</v>
      </c>
      <c r="C7" s="1">
        <v>45900</v>
      </c>
      <c r="D7" s="1">
        <v>45991</v>
      </c>
      <c r="E7" s="1">
        <v>45991</v>
      </c>
      <c r="F7" s="1">
        <v>46081</v>
      </c>
      <c r="G7" s="1">
        <v>46173</v>
      </c>
      <c r="H7" s="26">
        <v>46265</v>
      </c>
    </row>
    <row r="8">
      <c r="B8" s="2" t="s">
        <v>11</v>
      </c>
      <c r="C8" s="2">
        <v>92</v>
      </c>
      <c r="D8" s="2">
        <v>91</v>
      </c>
      <c r="E8" s="2">
        <v>365</v>
      </c>
      <c r="F8" s="2">
        <v>90</v>
      </c>
      <c r="G8" s="2">
        <v>92</v>
      </c>
      <c r="H8" s="17">
        <v>92</v>
      </c>
    </row>
    <row r="9">
      <c r="B9" s="2"/>
      <c r="C9" s="2"/>
      <c r="D9" s="2"/>
      <c r="E9" s="2"/>
      <c r="F9" s="2"/>
      <c r="G9" s="2"/>
      <c r="H9" s="17"/>
    </row>
    <row r="10">
      <c r="B10" s="10" t="s">
        <v>19</v>
      </c>
      <c r="C10" s="39">
        <f>'Income Statement'!C40</f>
        <v>19.413000000000025</v>
      </c>
      <c r="D10" s="39">
        <f>'Income Statement'!D40</f>
        <v>25.744999999999997</v>
      </c>
      <c r="E10" s="39">
        <f>'Income Statement'!E40</f>
        <v>73.13299999999985</v>
      </c>
      <c r="F10" s="39">
        <f>'Income Statement'!F40</f>
        <v>22.812999999999974</v>
      </c>
      <c r="G10" s="39">
        <f>'Income Statement'!G40</f>
        <v>21.072999999999972</v>
      </c>
      <c r="H10" s="39">
        <f>'Income Statement'!H40</f>
        <v>19.237499999999997</v>
      </c>
    </row>
    <row r="11">
      <c r="B11" s="2" t="s">
        <v>152</v>
      </c>
      <c r="C11" s="5"/>
      <c r="D11" s="5"/>
      <c r="E11" s="5"/>
      <c r="F11" s="5"/>
      <c r="G11" s="5"/>
      <c r="H11" s="21">
        <f>Inputs!O38</f>
        <v>38</v>
      </c>
    </row>
    <row r="12">
      <c r="B12" s="2" t="s">
        <v>153</v>
      </c>
      <c r="C12" s="5"/>
      <c r="D12" s="5"/>
      <c r="E12" s="5"/>
      <c r="F12" s="5"/>
      <c r="G12" s="5"/>
      <c r="H12" s="21">
        <f>'Income Statement'!H48</f>
        <v>19.8</v>
      </c>
    </row>
    <row r="13">
      <c r="B13" s="2" t="s">
        <v>154</v>
      </c>
      <c r="C13" s="5"/>
      <c r="D13" s="5"/>
      <c r="E13" s="5"/>
      <c r="F13" s="5"/>
      <c r="G13" s="5"/>
      <c r="H13" s="21">
        <f>Inputs!O39</f>
        <v>4</v>
      </c>
    </row>
    <row r="14">
      <c r="B14" s="2" t="s">
        <v>155</v>
      </c>
      <c r="C14" s="5"/>
      <c r="D14" s="5"/>
      <c r="E14" s="5"/>
      <c r="F14" s="5"/>
      <c r="G14" s="5"/>
      <c r="H14" s="21">
        <f>-SUM('Balance Sheet'!H11-'Balance Sheet'!G11,'Balance Sheet'!H12-'Balance Sheet'!G12,'Balance Sheet'!H13-'Balance Sheet'!G13)+'Balance Sheet'!H28-'Balance Sheet'!G28</f>
        <v>-17</v>
      </c>
    </row>
    <row r="15">
      <c r="B15" s="7" t="s">
        <v>156</v>
      </c>
      <c r="C15" s="38">
        <v>73.446</v>
      </c>
      <c r="D15" s="38">
        <v>62.798</v>
      </c>
      <c r="E15" s="38">
        <v>235.187</v>
      </c>
      <c r="F15" s="38">
        <v>98.626</v>
      </c>
      <c r="G15" s="38">
        <v>78.837</v>
      </c>
      <c r="H15" s="36">
        <f>SUM(H10:H14)</f>
        <v>64.0375</v>
      </c>
    </row>
    <row r="16">
      <c r="B16" s="2"/>
      <c r="C16" s="5"/>
      <c r="D16" s="5"/>
      <c r="E16" s="5"/>
      <c r="F16" s="5"/>
      <c r="G16" s="5"/>
      <c r="H16" s="4"/>
    </row>
    <row r="17">
      <c r="B17" s="2" t="s">
        <v>157</v>
      </c>
      <c r="C17" s="13">
        <v>-1.055</v>
      </c>
      <c r="D17" s="13">
        <v>-2.862</v>
      </c>
      <c r="E17" s="13">
        <v>-5.702</v>
      </c>
      <c r="F17" s="13">
        <v>-2.705</v>
      </c>
      <c r="G17" s="13">
        <v>-1.864</v>
      </c>
      <c r="H17" s="21">
        <f>Inputs!O43</f>
        <v>-2</v>
      </c>
    </row>
    <row r="18">
      <c r="B18" s="2" t="s">
        <v>158</v>
      </c>
      <c r="C18" s="13">
        <v>-19.458</v>
      </c>
      <c r="D18" s="13">
        <v>-0.5640000000000001</v>
      </c>
      <c r="E18" s="13">
        <v>-21.217</v>
      </c>
      <c r="F18" s="13">
        <v>0</v>
      </c>
      <c r="G18" s="13">
        <v>0</v>
      </c>
      <c r="H18" s="21">
        <f>Inputs!O45</f>
        <v>0</v>
      </c>
    </row>
    <row r="19">
      <c r="B19" s="2" t="s">
        <v>159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21">
        <f>Inputs!O15</f>
        <v>0</v>
      </c>
    </row>
    <row r="20">
      <c r="B20" s="7" t="s">
        <v>160</v>
      </c>
      <c r="C20" s="11">
        <f>SUM(C17:C19)</f>
        <v>-20.512999999999998</v>
      </c>
      <c r="D20" s="11">
        <f>SUM(D17:D19)</f>
        <v>-3.426</v>
      </c>
      <c r="E20" s="11">
        <f>SUM(E17:E19)</f>
        <v>-26.918999999999997</v>
      </c>
      <c r="F20" s="11">
        <f>SUM(F17:F19)</f>
        <v>-2.705</v>
      </c>
      <c r="G20" s="11">
        <f>SUM(G17:G19)</f>
        <v>-1.864</v>
      </c>
      <c r="H20" s="36">
        <f>SUM(H17:H19)</f>
        <v>-2</v>
      </c>
    </row>
    <row r="21">
      <c r="B21" s="2"/>
      <c r="C21" s="5"/>
      <c r="D21" s="5"/>
      <c r="E21" s="5"/>
      <c r="F21" s="5"/>
      <c r="G21" s="5"/>
      <c r="H21" s="4"/>
    </row>
    <row r="22">
      <c r="B22" s="2" t="s">
        <v>161</v>
      </c>
      <c r="C22" s="22">
        <f>-'Share Count'!C17</f>
        <v>-14.994</v>
      </c>
      <c r="D22" s="22">
        <f>-'Share Count'!D17</f>
        <v>-40.048</v>
      </c>
      <c r="E22" s="22">
        <f>-'Share Count'!E17</f>
        <v>-105.156</v>
      </c>
      <c r="F22" s="22">
        <f>-'Share Count'!F17</f>
        <v>-20.401</v>
      </c>
      <c r="G22" s="22">
        <f>-'Share Count'!G17</f>
        <v>-34.69</v>
      </c>
      <c r="H22" s="21">
        <f>-'Share Count'!H17</f>
        <v>-20</v>
      </c>
    </row>
    <row r="23">
      <c r="B23" s="2" t="s">
        <v>162</v>
      </c>
      <c r="C23" s="22">
        <f>Inputs!O50-C22</f>
        <v>-42.687</v>
      </c>
      <c r="D23" s="22">
        <f>Inputs!O51-D22</f>
        <v>-22.537</v>
      </c>
      <c r="E23" s="22">
        <f>Inputs!O52-E22</f>
        <v>-133.213</v>
      </c>
      <c r="F23" s="22">
        <f>Inputs!O53-F22</f>
        <v>-58.476</v>
      </c>
      <c r="G23" s="22">
        <f>Inputs!O54-G22</f>
        <v>-50.45100000000001</v>
      </c>
      <c r="H23" s="21">
        <f>Inputs!O42</f>
        <v>-20</v>
      </c>
    </row>
    <row r="24">
      <c r="B24" s="2" t="s">
        <v>163</v>
      </c>
      <c r="C24" s="22">
        <f>Inputs!O15</f>
        <v>0</v>
      </c>
      <c r="D24" s="22">
        <f>Inputs!O15</f>
        <v>0</v>
      </c>
      <c r="E24" s="22">
        <f>Inputs!O15</f>
        <v>0</v>
      </c>
      <c r="F24" s="22">
        <f>Inputs!O15</f>
        <v>0</v>
      </c>
      <c r="G24" s="22">
        <f>Inputs!O15</f>
        <v>0</v>
      </c>
      <c r="H24" s="21">
        <f>Inputs!O15</f>
        <v>0</v>
      </c>
    </row>
    <row r="25">
      <c r="B25" s="7" t="s">
        <v>164</v>
      </c>
      <c r="C25" s="11">
        <f>SUM(C22:C24)</f>
        <v>-57.681</v>
      </c>
      <c r="D25" s="11">
        <f>SUM(D22:D24)</f>
        <v>-62.585</v>
      </c>
      <c r="E25" s="11">
        <f>SUM(E22:E24)</f>
        <v>-238.369</v>
      </c>
      <c r="F25" s="11">
        <f>SUM(F22:F24)</f>
        <v>-78.877</v>
      </c>
      <c r="G25" s="11">
        <f>SUM(G22:G24)</f>
        <v>-85.141</v>
      </c>
      <c r="H25" s="36">
        <f>SUM(H22:H24)</f>
        <v>-40</v>
      </c>
    </row>
    <row r="26">
      <c r="B26" s="2" t="s">
        <v>165</v>
      </c>
      <c r="C26" s="13">
        <v>1.75</v>
      </c>
      <c r="D26" s="13">
        <v>-0.988</v>
      </c>
      <c r="E26" s="13">
        <v>6.831</v>
      </c>
      <c r="F26" s="13">
        <v>1.32</v>
      </c>
      <c r="G26" s="13">
        <v>-2.025</v>
      </c>
      <c r="H26" s="21">
        <f>Inputs!O44</f>
        <v>0.2</v>
      </c>
    </row>
    <row r="27">
      <c r="B27" s="7" t="s">
        <v>166</v>
      </c>
      <c r="C27" s="11">
        <f>SUM(C15,C20,C25,C26)</f>
        <v>-2.9979999999999976</v>
      </c>
      <c r="D27" s="11">
        <f>SUM(D15,D20,D25,D26)</f>
        <v>-4.2010000000000005</v>
      </c>
      <c r="E27" s="11">
        <f>SUM(E15,E20,E25,E26)</f>
        <v>-23.27</v>
      </c>
      <c r="F27" s="11">
        <f>SUM(F15,F20,F25,F26)</f>
        <v>18.36400000000001</v>
      </c>
      <c r="G27" s="11">
        <f>SUM(G15,G20,G25,G26)</f>
        <v>-10.193000000000007</v>
      </c>
      <c r="H27" s="36">
        <f>SUM(H15,H20,H25,H26)</f>
        <v>22.237499999999994</v>
      </c>
    </row>
    <row r="28">
      <c r="B28" s="2" t="s">
        <v>167</v>
      </c>
      <c r="C28" s="13">
        <v>102.006</v>
      </c>
      <c r="D28" s="13">
        <v>99.008</v>
      </c>
      <c r="E28" s="13">
        <v>118.077</v>
      </c>
      <c r="F28" s="13">
        <v>94.807</v>
      </c>
      <c r="G28" s="13">
        <v>113.171</v>
      </c>
      <c r="H28" s="21">
        <f>'Balance Sheet'!G10</f>
        <v>102.978</v>
      </c>
    </row>
    <row r="29">
      <c r="B29" s="7" t="s">
        <v>168</v>
      </c>
      <c r="C29" s="11">
        <f>SUM(C28,C27)</f>
        <v>99.00800000000001</v>
      </c>
      <c r="D29" s="11">
        <f>SUM(D28,D27)</f>
        <v>94.80699999999999</v>
      </c>
      <c r="E29" s="11">
        <f>SUM(E28,E27)</f>
        <v>94.807</v>
      </c>
      <c r="F29" s="11">
        <f>SUM(F28,F27)</f>
        <v>113.17100000000002</v>
      </c>
      <c r="G29" s="11">
        <f>SUM(G28,G27)</f>
        <v>102.978</v>
      </c>
      <c r="H29" s="36">
        <f>SUM(H28,H27)</f>
        <v>125.21549999999999</v>
      </c>
    </row>
    <row r="30">
      <c r="B30" s="7" t="s">
        <v>169</v>
      </c>
      <c r="C30" s="19">
        <f>C29-'Balance Sheet'!C10</f>
        <v>0</v>
      </c>
      <c r="D30" s="19">
        <f>D29-'Balance Sheet'!D10</f>
        <v>0</v>
      </c>
      <c r="E30" s="19">
        <f>E29-'Balance Sheet'!E10</f>
        <v>0</v>
      </c>
      <c r="F30" s="19">
        <f>F29-'Balance Sheet'!F10</f>
        <v>0</v>
      </c>
      <c r="G30" s="19">
        <f>G29-'Balance Sheet'!G10</f>
        <v>0</v>
      </c>
      <c r="H30" s="20">
        <f>H29-'Balance Sheet'!H10</f>
        <v>0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B2:J69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2" customWidth="1"/>
    <col min="9" max="9" width="3" customWidth="1"/>
    <col min="10" max="10" width="48" customWidth="1"/>
  </cols>
  <sheetData>
    <row r="2">
      <c r="B2" s="3" t="s">
        <v>0</v>
      </c>
      <c r="C2" s="3"/>
      <c r="D2" s="3"/>
      <c r="E2" s="3"/>
      <c r="F2" s="3"/>
      <c r="G2" s="3"/>
      <c r="H2" s="3"/>
    </row>
    <row r="3">
      <c r="B3" s="2" t="s">
        <v>170</v>
      </c>
      <c r="C3" s="2"/>
      <c r="D3" s="2"/>
      <c r="E3" s="2"/>
      <c r="F3" s="2"/>
      <c r="G3" s="2"/>
      <c r="H3" s="2"/>
    </row>
    <row r="4">
      <c r="B4" s="2" t="s">
        <v>2</v>
      </c>
      <c r="C4" s="2"/>
      <c r="D4" s="2"/>
      <c r="E4" s="2"/>
      <c r="F4" s="2"/>
      <c r="G4" s="2"/>
      <c r="H4" s="2"/>
    </row>
    <row r="5">
      <c r="B5" s="2"/>
      <c r="C5" s="2"/>
      <c r="D5" s="2"/>
      <c r="E5" s="2"/>
      <c r="F5" s="2"/>
      <c r="G5" s="2"/>
      <c r="H5" s="2"/>
    </row>
    <row r="6"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4" t="s">
        <v>9</v>
      </c>
    </row>
    <row r="7">
      <c r="B7" s="2" t="s">
        <v>10</v>
      </c>
      <c r="C7" s="1">
        <v>45900</v>
      </c>
      <c r="D7" s="1">
        <v>45991</v>
      </c>
      <c r="E7" s="1">
        <v>45991</v>
      </c>
      <c r="F7" s="1">
        <v>46081</v>
      </c>
      <c r="G7" s="1">
        <v>46173</v>
      </c>
      <c r="H7" s="26">
        <v>46265</v>
      </c>
    </row>
    <row r="8">
      <c r="B8" s="2" t="s">
        <v>11</v>
      </c>
      <c r="C8" s="2">
        <v>92</v>
      </c>
      <c r="D8" s="2">
        <v>91</v>
      </c>
      <c r="E8" s="2">
        <v>365</v>
      </c>
      <c r="F8" s="2">
        <v>90</v>
      </c>
      <c r="G8" s="2">
        <v>92</v>
      </c>
      <c r="H8" s="17">
        <v>92</v>
      </c>
    </row>
    <row r="9">
      <c r="B9" s="2"/>
      <c r="C9" s="2"/>
      <c r="D9" s="2"/>
      <c r="E9" s="2"/>
      <c r="F9" s="2"/>
      <c r="G9" s="2"/>
      <c r="H9" s="17"/>
    </row>
    <row r="10">
      <c r="B10" s="10" t="s">
        <v>171</v>
      </c>
      <c r="C10" s="8"/>
      <c r="D10" s="8"/>
      <c r="E10" s="8"/>
      <c r="F10" s="8"/>
      <c r="G10" s="8"/>
      <c r="H10" s="8"/>
    </row>
    <row r="11">
      <c r="B11" s="2" t="s">
        <v>172</v>
      </c>
      <c r="C11" s="5"/>
      <c r="D11" s="5"/>
      <c r="E11" s="13">
        <v>595.336</v>
      </c>
      <c r="F11" s="5"/>
      <c r="G11" s="5"/>
      <c r="H11" s="4"/>
    </row>
    <row r="12">
      <c r="B12" s="2" t="s">
        <v>173</v>
      </c>
      <c r="C12" s="5"/>
      <c r="D12" s="5"/>
      <c r="E12" s="13">
        <v>28.43</v>
      </c>
      <c r="F12" s="5"/>
      <c r="G12" s="5"/>
      <c r="H12" s="4"/>
    </row>
    <row r="13">
      <c r="B13" s="7" t="s">
        <v>174</v>
      </c>
      <c r="C13" s="38">
        <v>163.404</v>
      </c>
      <c r="D13" s="38">
        <v>158.39</v>
      </c>
      <c r="E13" s="11">
        <f>SUM(E11:E12)</f>
        <v>623.766</v>
      </c>
      <c r="F13" s="38">
        <v>152.689</v>
      </c>
      <c r="G13" s="38">
        <v>162.529</v>
      </c>
      <c r="H13" s="20">
        <f>G13*'Revenue summary'!H46/'Revenue summary'!G46</f>
        <v>161.58960014203146</v>
      </c>
    </row>
    <row r="14">
      <c r="B14" s="2" t="s">
        <v>175</v>
      </c>
      <c r="C14" s="29"/>
      <c r="D14" s="29"/>
      <c r="E14" s="29"/>
      <c r="F14" s="29"/>
      <c r="G14" s="29"/>
      <c r="H14" s="30"/>
    </row>
    <row r="15">
      <c r="B15" s="2"/>
      <c r="C15" s="5"/>
      <c r="D15" s="5"/>
      <c r="E15" s="5"/>
      <c r="F15" s="5"/>
      <c r="G15" s="5"/>
      <c r="H15" s="4"/>
    </row>
    <row r="16">
      <c r="B16" s="2" t="s">
        <v>176</v>
      </c>
      <c r="C16" s="13">
        <v>68.339</v>
      </c>
      <c r="D16" s="13">
        <v>72.587</v>
      </c>
      <c r="E16" s="13">
        <v>280.908</v>
      </c>
      <c r="F16" s="13">
        <v>78.38</v>
      </c>
      <c r="G16" s="13">
        <v>70.608</v>
      </c>
      <c r="H16" s="21">
        <f>G16*'Revenue summary'!H46/'Revenue summary'!G46</f>
        <v>70.19989347641688</v>
      </c>
    </row>
    <row r="17">
      <c r="B17" s="2" t="s">
        <v>177</v>
      </c>
      <c r="C17" s="13">
        <v>6.221</v>
      </c>
      <c r="D17" s="13">
        <v>5.541</v>
      </c>
      <c r="E17" s="13">
        <v>21.667</v>
      </c>
      <c r="F17" s="13">
        <v>5.526</v>
      </c>
      <c r="G17" s="13">
        <v>5.79</v>
      </c>
      <c r="H17" s="21">
        <f>G17*'Revenue summary'!H46/'Revenue summary'!G46</f>
        <v>5.75653443276192</v>
      </c>
    </row>
    <row r="18">
      <c r="B18" s="2" t="s">
        <v>178</v>
      </c>
      <c r="C18" s="13">
        <v>11.831</v>
      </c>
      <c r="D18" s="13">
        <v>16.148</v>
      </c>
      <c r="E18" s="13">
        <v>51.49</v>
      </c>
      <c r="F18" s="13">
        <v>11.204</v>
      </c>
      <c r="G18" s="13">
        <v>14.538</v>
      </c>
      <c r="H18" s="21">
        <f>G18*'Revenue summary'!H46/'Revenue summary'!G46</f>
        <v>14.453971948789775</v>
      </c>
    </row>
    <row r="19">
      <c r="B19" s="7" t="s">
        <v>179</v>
      </c>
      <c r="C19" s="11">
        <f>SUM(C13,C16:C18)</f>
        <v>249.795</v>
      </c>
      <c r="D19" s="11">
        <f>SUM(D13,D16:D18)</f>
        <v>252.666</v>
      </c>
      <c r="E19" s="11">
        <f>SUM(E13,E16:E18)</f>
        <v>977.831</v>
      </c>
      <c r="F19" s="11">
        <f>SUM(F13,F16:F18)</f>
        <v>247.79899999999998</v>
      </c>
      <c r="G19" s="11">
        <f>SUM(G13,G16:G18)</f>
        <v>253.465</v>
      </c>
      <c r="H19" s="36">
        <f>SUM(H13,H16:H18)</f>
        <v>252.00000000000003</v>
      </c>
    </row>
    <row r="20">
      <c r="B20" s="7" t="s">
        <v>180</v>
      </c>
      <c r="C20" s="19">
        <f>C19-'Revenue summary'!C46</f>
        <v>0</v>
      </c>
      <c r="D20" s="19">
        <f>D19-'Revenue summary'!D46</f>
        <v>0</v>
      </c>
      <c r="E20" s="19">
        <f>E19-'Revenue summary'!E46</f>
        <v>0</v>
      </c>
      <c r="F20" s="19">
        <f>F19-'Revenue summary'!F46</f>
        <v>0</v>
      </c>
      <c r="G20" s="19">
        <f>G19-'Revenue summary'!G46</f>
        <v>0</v>
      </c>
      <c r="H20" s="20">
        <f>H19-'Revenue summary'!H46</f>
        <v>0</v>
      </c>
    </row>
    <row r="21">
      <c r="B21" s="10" t="s">
        <v>181</v>
      </c>
      <c r="C21" s="48"/>
      <c r="D21" s="48"/>
      <c r="E21" s="48"/>
      <c r="F21" s="48"/>
      <c r="G21" s="48"/>
      <c r="H21" s="48"/>
    </row>
    <row r="22">
      <c r="B22" s="2"/>
      <c r="C22" s="29"/>
      <c r="D22" s="29"/>
      <c r="E22" s="29"/>
      <c r="F22" s="29"/>
      <c r="G22" s="29"/>
      <c r="H22" s="30"/>
    </row>
    <row r="23" ht="31.5">
      <c r="B23" s="2"/>
      <c r="C23" s="5"/>
      <c r="D23" s="5"/>
      <c r="E23" s="5"/>
      <c r="F23" s="5"/>
      <c r="G23" s="5"/>
      <c r="H23" s="4"/>
      <c r="J23" s="6" t="s">
        <v>182</v>
      </c>
    </row>
    <row r="24" ht="31.5">
      <c r="H24" s="40"/>
      <c r="J24" s="6" t="s">
        <v>183</v>
      </c>
    </row>
    <row r="25">
      <c r="B25" s="2" t="s">
        <v>184</v>
      </c>
      <c r="C25" s="5">
        <f>C13</f>
        <v>163.404</v>
      </c>
      <c r="D25" s="5">
        <f>D13</f>
        <v>158.39</v>
      </c>
      <c r="E25" s="5">
        <f>E13</f>
        <v>623.766</v>
      </c>
      <c r="F25" s="5">
        <f>F13</f>
        <v>152.689</v>
      </c>
      <c r="G25" s="5">
        <f>G13</f>
        <v>162.529</v>
      </c>
      <c r="H25" s="4">
        <f>H13</f>
        <v>161.58960014203146</v>
      </c>
    </row>
    <row r="26">
      <c r="B26" s="2" t="s">
        <v>57</v>
      </c>
      <c r="C26" s="29"/>
      <c r="D26" s="29"/>
      <c r="E26" s="29"/>
      <c r="F26" s="29"/>
      <c r="G26" s="29"/>
      <c r="H26" s="30">
        <f>H25/C25-1</f>
        <v>-0.011103766480432209</v>
      </c>
    </row>
    <row r="27">
      <c r="B27" s="2" t="s">
        <v>185</v>
      </c>
      <c r="C27" s="29"/>
      <c r="D27" s="29">
        <f>D25/C25-1</f>
        <v>-0.030684683361484444</v>
      </c>
      <c r="E27" s="29"/>
      <c r="F27" s="29">
        <f>F25/D25-1</f>
        <v>-0.035993433928909635</v>
      </c>
      <c r="G27" s="29">
        <f>G25/F25-1</f>
        <v>0.06444472096876663</v>
      </c>
      <c r="H27" s="30">
        <f>H25/G25-1</f>
        <v>-0.0057798907146942025</v>
      </c>
    </row>
    <row r="28">
      <c r="B28" s="2" t="s">
        <v>186</v>
      </c>
      <c r="C28" s="5"/>
      <c r="D28" s="5">
        <f>D25-C25</f>
        <v>-5.01400000000001</v>
      </c>
      <c r="E28" s="5"/>
      <c r="F28" s="5">
        <f>F25-D25</f>
        <v>-5.700999999999993</v>
      </c>
      <c r="G28" s="5">
        <f>G25-F25</f>
        <v>9.840000000000003</v>
      </c>
      <c r="H28" s="4">
        <f>H25-G25</f>
        <v>-0.9393998579685388</v>
      </c>
    </row>
    <row r="29">
      <c r="B29" s="2" t="s">
        <v>187</v>
      </c>
      <c r="C29" s="29">
        <f>C25/C19</f>
        <v>0.6541524049720772</v>
      </c>
      <c r="D29" s="29">
        <f>D25/D19</f>
        <v>0.6268750049472426</v>
      </c>
      <c r="E29" s="29">
        <f>E25/E19</f>
        <v>0.6379077775198372</v>
      </c>
      <c r="F29" s="29">
        <f>F25/F19</f>
        <v>0.6161808562584998</v>
      </c>
      <c r="G29" s="29">
        <f>G25/G19</f>
        <v>0.6412285719921883</v>
      </c>
      <c r="H29" s="30">
        <f>H25/H19</f>
        <v>0.6412285719921883</v>
      </c>
    </row>
    <row r="30">
      <c r="B30" s="2" t="s">
        <v>188</v>
      </c>
      <c r="C30" s="5"/>
      <c r="D30" s="5">
        <f>(D29-C29)*10000</f>
        <v>-272.7740002483459</v>
      </c>
      <c r="E30" s="5"/>
      <c r="F30" s="5">
        <f>(F29-D29)*10000</f>
        <v>-106.94148688742744</v>
      </c>
      <c r="G30" s="5">
        <f>(G29-F29)*10000</f>
        <v>250.4771573368847</v>
      </c>
      <c r="H30" s="4">
        <f>(H29-G29)*10000</f>
        <v>0</v>
      </c>
    </row>
    <row r="31">
      <c r="B31" s="2" t="s">
        <v>189</v>
      </c>
      <c r="C31" s="5">
        <f>C16</f>
        <v>68.339</v>
      </c>
      <c r="D31" s="5">
        <f>D16</f>
        <v>72.587</v>
      </c>
      <c r="E31" s="5">
        <f>E16</f>
        <v>280.908</v>
      </c>
      <c r="F31" s="5">
        <f>F16</f>
        <v>78.38</v>
      </c>
      <c r="G31" s="5">
        <f>G16</f>
        <v>70.608</v>
      </c>
      <c r="H31" s="4">
        <f>H16</f>
        <v>70.19989347641688</v>
      </c>
    </row>
    <row r="32">
      <c r="B32" s="2" t="s">
        <v>57</v>
      </c>
      <c r="C32" s="29"/>
      <c r="D32" s="29"/>
      <c r="E32" s="29"/>
      <c r="F32" s="29"/>
      <c r="G32" s="29"/>
      <c r="H32" s="30">
        <f>H31/C31-1</f>
        <v>0.02723032933488745</v>
      </c>
    </row>
    <row r="33">
      <c r="B33" s="2" t="s">
        <v>185</v>
      </c>
      <c r="C33" s="29"/>
      <c r="D33" s="29">
        <f>D31/C31-1</f>
        <v>0.06216069886887432</v>
      </c>
      <c r="E33" s="29"/>
      <c r="F33" s="29">
        <f>F31/D31-1</f>
        <v>0.07980767906098873</v>
      </c>
      <c r="G33" s="29">
        <f>G31/F31-1</f>
        <v>-0.09915794845623871</v>
      </c>
      <c r="H33" s="30">
        <f>H31/G31-1</f>
        <v>-0.0057798907146942025</v>
      </c>
    </row>
    <row r="34">
      <c r="B34" s="2" t="s">
        <v>186</v>
      </c>
      <c r="C34" s="5"/>
      <c r="D34" s="5">
        <f>D31-C31</f>
        <v>4.248000000000005</v>
      </c>
      <c r="E34" s="5"/>
      <c r="F34" s="5">
        <f>F31-D31</f>
        <v>5.792999999999992</v>
      </c>
      <c r="G34" s="5">
        <f>G31-F31</f>
        <v>-7.771999999999991</v>
      </c>
      <c r="H34" s="4">
        <f>H31-G31</f>
        <v>-0.40810652358312893</v>
      </c>
    </row>
    <row r="35">
      <c r="B35" s="2" t="s">
        <v>187</v>
      </c>
      <c r="C35" s="29">
        <f>C31/C19</f>
        <v>0.27358033587541786</v>
      </c>
      <c r="D35" s="29">
        <f>D31/D19</f>
        <v>0.28728439916728016</v>
      </c>
      <c r="E35" s="29">
        <f>E31/E19</f>
        <v>0.2872766357376684</v>
      </c>
      <c r="F35" s="29">
        <f>F31/F19</f>
        <v>0.3163047469925222</v>
      </c>
      <c r="G35" s="29">
        <f>G31/G19</f>
        <v>0.27857100585879707</v>
      </c>
      <c r="H35" s="30">
        <f>H31/H19</f>
        <v>0.27857100585879707</v>
      </c>
    </row>
    <row r="36">
      <c r="B36" s="2" t="s">
        <v>188</v>
      </c>
      <c r="C36" s="5"/>
      <c r="D36" s="5">
        <f>(D35-C35)*10000</f>
        <v>137.040632918623</v>
      </c>
      <c r="E36" s="5"/>
      <c r="F36" s="5">
        <f>(F35-D35)*10000</f>
        <v>290.20347825242044</v>
      </c>
      <c r="G36" s="5">
        <f>(G35-F35)*10000</f>
        <v>-377.3374113372513</v>
      </c>
      <c r="H36" s="4">
        <f>(H35-G35)*10000</f>
        <v>0</v>
      </c>
    </row>
    <row r="37">
      <c r="B37" s="2" t="s">
        <v>190</v>
      </c>
      <c r="C37" s="5">
        <f>C17</f>
        <v>6.221</v>
      </c>
      <c r="D37" s="5">
        <f>D17</f>
        <v>5.541</v>
      </c>
      <c r="E37" s="5">
        <f>E17</f>
        <v>21.667</v>
      </c>
      <c r="F37" s="5">
        <f>F17</f>
        <v>5.526</v>
      </c>
      <c r="G37" s="5">
        <f>G17</f>
        <v>5.79</v>
      </c>
      <c r="H37" s="4">
        <f>H17</f>
        <v>5.75653443276192</v>
      </c>
    </row>
    <row r="38">
      <c r="B38" s="2" t="s">
        <v>57</v>
      </c>
      <c r="C38" s="29"/>
      <c r="D38" s="29"/>
      <c r="E38" s="29"/>
      <c r="F38" s="29"/>
      <c r="G38" s="29"/>
      <c r="H38" s="30">
        <f>H37/C37-1</f>
        <v>-0.074660917414898</v>
      </c>
    </row>
    <row r="39">
      <c r="B39" s="2" t="s">
        <v>185</v>
      </c>
      <c r="C39" s="29"/>
      <c r="D39" s="29">
        <f>D37/C37-1</f>
        <v>-0.10930718533997741</v>
      </c>
      <c r="E39" s="29"/>
      <c r="F39" s="29">
        <f>F37/D37-1</f>
        <v>-0.002707092582566406</v>
      </c>
      <c r="G39" s="29">
        <f>G37/F37-1</f>
        <v>0.04777415852334421</v>
      </c>
      <c r="H39" s="30">
        <f>H37/G37-1</f>
        <v>-0.0057798907146943135</v>
      </c>
    </row>
    <row r="40">
      <c r="B40" s="2" t="s">
        <v>186</v>
      </c>
      <c r="C40" s="5"/>
      <c r="D40" s="5">
        <f>D37-C37</f>
        <v>-0.6799999999999997</v>
      </c>
      <c r="E40" s="5"/>
      <c r="F40" s="5">
        <f>F37-D37</f>
        <v>-0.015000000000000568</v>
      </c>
      <c r="G40" s="5">
        <f>G37-F37</f>
        <v>0.26400000000000023</v>
      </c>
      <c r="H40" s="4">
        <f>H37-G37</f>
        <v>-0.03346556723808014</v>
      </c>
    </row>
    <row r="41">
      <c r="B41" s="2" t="s">
        <v>187</v>
      </c>
      <c r="C41" s="29">
        <f>C37/C19</f>
        <v>0.024904421625733104</v>
      </c>
      <c r="D41" s="29">
        <f>D37/D19</f>
        <v>0.021930137018831185</v>
      </c>
      <c r="E41" s="29">
        <f>E37/E19</f>
        <v>0.022158225705668978</v>
      </c>
      <c r="F41" s="29">
        <f>F37/F19</f>
        <v>0.022300332124019873</v>
      </c>
      <c r="G41" s="29">
        <f>G37/G19</f>
        <v>0.022843390606198093</v>
      </c>
      <c r="H41" s="30">
        <f>H37/H19</f>
        <v>0.022843390606198093</v>
      </c>
    </row>
    <row r="42">
      <c r="B42" s="2" t="s">
        <v>188</v>
      </c>
      <c r="C42" s="5"/>
      <c r="D42" s="5">
        <f>(D41-C41)*10000</f>
        <v>-29.742846069019183</v>
      </c>
      <c r="E42" s="5"/>
      <c r="F42" s="5">
        <f>(F41-D41)*10000</f>
        <v>3.7019510518868786</v>
      </c>
      <c r="G42" s="5">
        <f>(G41-F41)*10000</f>
        <v>5.4305848217822</v>
      </c>
      <c r="H42" s="4">
        <f>(H41-G41)*10000</f>
        <v>0</v>
      </c>
    </row>
    <row r="43">
      <c r="B43" s="2" t="s">
        <v>191</v>
      </c>
      <c r="C43" s="5">
        <f>C18</f>
        <v>11.831</v>
      </c>
      <c r="D43" s="5">
        <f>D18</f>
        <v>16.148</v>
      </c>
      <c r="E43" s="5">
        <f>E18</f>
        <v>51.49</v>
      </c>
      <c r="F43" s="5">
        <f>F18</f>
        <v>11.204</v>
      </c>
      <c r="G43" s="5">
        <f>G18</f>
        <v>14.538</v>
      </c>
      <c r="H43" s="4">
        <f>H18</f>
        <v>14.453971948789775</v>
      </c>
    </row>
    <row r="44">
      <c r="B44" s="2" t="s">
        <v>57</v>
      </c>
      <c r="C44" s="29"/>
      <c r="D44" s="29"/>
      <c r="E44" s="29"/>
      <c r="F44" s="29"/>
      <c r="G44" s="29"/>
      <c r="H44" s="30">
        <f>H43/C43-1</f>
        <v>0.22170331745328165</v>
      </c>
    </row>
    <row r="45">
      <c r="B45" s="2" t="s">
        <v>185</v>
      </c>
      <c r="C45" s="29"/>
      <c r="D45" s="29">
        <f>D43/C43-1</f>
        <v>0.36488885132279614</v>
      </c>
      <c r="E45" s="29"/>
      <c r="F45" s="29">
        <f>F43/D43-1</f>
        <v>-0.30616794649492196</v>
      </c>
      <c r="G45" s="29">
        <f>G43/F43-1</f>
        <v>0.29757229560871123</v>
      </c>
      <c r="H45" s="30">
        <f>H43/G43-1</f>
        <v>-0.0057798907146943135</v>
      </c>
    </row>
    <row r="46">
      <c r="B46" s="2" t="s">
        <v>186</v>
      </c>
      <c r="C46" s="5"/>
      <c r="D46" s="5">
        <f>D43-C43</f>
        <v>4.317</v>
      </c>
      <c r="E46" s="5"/>
      <c r="F46" s="5">
        <f>F43-D43</f>
        <v>-4.943999999999999</v>
      </c>
      <c r="G46" s="5">
        <f>G43-F43</f>
        <v>3.3339999999999996</v>
      </c>
      <c r="H46" s="4">
        <f>H43-G43</f>
        <v>-0.08402805121022539</v>
      </c>
    </row>
    <row r="47">
      <c r="B47" s="2" t="s">
        <v>187</v>
      </c>
      <c r="C47" s="29">
        <f>C43/C19</f>
        <v>0.04736283752677195</v>
      </c>
      <c r="D47" s="29">
        <f>D43/D19</f>
        <v>0.06391045886664609</v>
      </c>
      <c r="E47" s="29">
        <f>E43/E19</f>
        <v>0.05265736103682538</v>
      </c>
      <c r="F47" s="29">
        <f>F43/F19</f>
        <v>0.04521406462495814</v>
      </c>
      <c r="G47" s="29">
        <f>G43/G19</f>
        <v>0.057357031542816565</v>
      </c>
      <c r="H47" s="30">
        <f>H43/H19</f>
        <v>0.05735703154281656</v>
      </c>
    </row>
    <row r="48">
      <c r="B48" s="2" t="s">
        <v>188</v>
      </c>
      <c r="C48" s="5"/>
      <c r="D48" s="5">
        <f>(D47-C47)*10000</f>
        <v>165.4762133987414</v>
      </c>
      <c r="E48" s="5"/>
      <c r="F48" s="5">
        <f>(F47-D47)*10000</f>
        <v>-186.96394241687952</v>
      </c>
      <c r="G48" s="5">
        <f>(G47-F47)*10000</f>
        <v>121.42966917858426</v>
      </c>
      <c r="H48" s="4">
        <f>(H47-G47)*10000</f>
        <v>0</v>
      </c>
    </row>
    <row r="49">
      <c r="B49" s="10" t="s">
        <v>192</v>
      </c>
      <c r="C49" s="10"/>
      <c r="D49" s="10"/>
      <c r="E49" s="10"/>
      <c r="F49" s="10"/>
      <c r="G49" s="10"/>
      <c r="H49" s="14"/>
    </row>
    <row r="50">
      <c r="B50" s="2" t="s">
        <v>193</v>
      </c>
      <c r="C50" s="29"/>
      <c r="D50" s="29"/>
      <c r="E50" s="29"/>
      <c r="F50" s="29"/>
      <c r="G50" s="29"/>
      <c r="H50" s="30">
        <f>(1+H53)/((1+H51)*(1+H52))-1</f>
        <v>-0.011103766480432209</v>
      </c>
    </row>
    <row r="51">
      <c r="B51" s="2" t="s">
        <v>55</v>
      </c>
      <c r="C51" s="29"/>
      <c r="D51" s="29"/>
      <c r="E51" s="29"/>
      <c r="F51" s="29"/>
      <c r="G51" s="29"/>
      <c r="H51" s="28">
        <f>Inputs!O15</f>
        <v>0</v>
      </c>
    </row>
    <row r="52" ht="55.5">
      <c r="B52" s="2" t="s">
        <v>194</v>
      </c>
      <c r="C52" s="29"/>
      <c r="D52" s="29"/>
      <c r="E52" s="29"/>
      <c r="F52" s="29"/>
      <c r="G52" s="29"/>
      <c r="H52" s="28">
        <f>Inputs!O66</f>
        <v>0</v>
      </c>
      <c r="J52" s="6" t="s">
        <v>195</v>
      </c>
    </row>
    <row r="53">
      <c r="B53" s="2" t="s">
        <v>57</v>
      </c>
      <c r="C53" s="29"/>
      <c r="D53" s="29"/>
      <c r="E53" s="29"/>
      <c r="F53" s="29"/>
      <c r="G53" s="29"/>
      <c r="H53" s="30">
        <f>H26</f>
        <v>-0.011103766480432209</v>
      </c>
    </row>
    <row r="54">
      <c r="B54" s="2"/>
      <c r="C54" s="2"/>
      <c r="D54" s="2"/>
      <c r="E54" s="2"/>
      <c r="F54" s="2"/>
      <c r="G54" s="2"/>
      <c r="H54" s="17"/>
    </row>
    <row r="55">
      <c r="B55" s="2" t="s">
        <v>196</v>
      </c>
      <c r="C55" s="29"/>
      <c r="D55" s="29"/>
      <c r="E55" s="29"/>
      <c r="F55" s="29"/>
      <c r="G55" s="29"/>
      <c r="H55" s="30">
        <f>(1+H58)/((1+H56)*(1+H57))-1</f>
        <v>0.02723032933488745</v>
      </c>
    </row>
    <row r="56">
      <c r="B56" s="2" t="s">
        <v>55</v>
      </c>
      <c r="C56" s="29"/>
      <c r="D56" s="29"/>
      <c r="E56" s="29"/>
      <c r="F56" s="29"/>
      <c r="G56" s="29"/>
      <c r="H56" s="28">
        <f>Inputs!O15</f>
        <v>0</v>
      </c>
    </row>
    <row r="57">
      <c r="B57" s="2" t="s">
        <v>194</v>
      </c>
      <c r="C57" s="29"/>
      <c r="D57" s="29"/>
      <c r="E57" s="29"/>
      <c r="F57" s="29"/>
      <c r="G57" s="29"/>
      <c r="H57" s="28">
        <f>Inputs!O66</f>
        <v>0</v>
      </c>
    </row>
    <row r="58">
      <c r="B58" s="2" t="s">
        <v>57</v>
      </c>
      <c r="C58" s="29"/>
      <c r="D58" s="29"/>
      <c r="E58" s="29"/>
      <c r="F58" s="29"/>
      <c r="G58" s="29"/>
      <c r="H58" s="30">
        <f>H32</f>
        <v>0.02723032933488745</v>
      </c>
    </row>
    <row r="59">
      <c r="B59" s="2"/>
      <c r="C59" s="2"/>
      <c r="D59" s="2"/>
      <c r="E59" s="2"/>
      <c r="F59" s="2"/>
      <c r="G59" s="2"/>
      <c r="H59" s="17"/>
    </row>
    <row r="60">
      <c r="B60" s="2" t="s">
        <v>197</v>
      </c>
      <c r="C60" s="29"/>
      <c r="D60" s="29"/>
      <c r="E60" s="29"/>
      <c r="F60" s="29"/>
      <c r="G60" s="29"/>
      <c r="H60" s="30">
        <f>(1+H63)/((1+H61)*(1+H62))-1</f>
        <v>-0.074660917414898</v>
      </c>
    </row>
    <row r="61">
      <c r="B61" s="2" t="s">
        <v>55</v>
      </c>
      <c r="C61" s="29"/>
      <c r="D61" s="29"/>
      <c r="E61" s="29"/>
      <c r="F61" s="29"/>
      <c r="G61" s="29"/>
      <c r="H61" s="28">
        <f>Inputs!O15</f>
        <v>0</v>
      </c>
    </row>
    <row r="62">
      <c r="B62" s="2" t="s">
        <v>194</v>
      </c>
      <c r="C62" s="29"/>
      <c r="D62" s="29"/>
      <c r="E62" s="29"/>
      <c r="F62" s="29"/>
      <c r="G62" s="29"/>
      <c r="H62" s="28">
        <f>Inputs!O66</f>
        <v>0</v>
      </c>
    </row>
    <row r="63">
      <c r="B63" s="2" t="s">
        <v>57</v>
      </c>
      <c r="C63" s="29"/>
      <c r="D63" s="29"/>
      <c r="E63" s="29"/>
      <c r="F63" s="29"/>
      <c r="G63" s="29"/>
      <c r="H63" s="30">
        <f>H38</f>
        <v>-0.074660917414898</v>
      </c>
    </row>
    <row r="64">
      <c r="B64" s="2"/>
      <c r="C64" s="2"/>
      <c r="D64" s="2"/>
      <c r="E64" s="2"/>
      <c r="F64" s="2"/>
      <c r="G64" s="2"/>
      <c r="H64" s="17"/>
    </row>
    <row r="65">
      <c r="B65" s="2" t="s">
        <v>198</v>
      </c>
      <c r="C65" s="29"/>
      <c r="D65" s="29"/>
      <c r="E65" s="29"/>
      <c r="F65" s="29"/>
      <c r="G65" s="29"/>
      <c r="H65" s="30">
        <f>(1+H68)/((1+H66)*(1+H67))-1</f>
        <v>0.22170331745328165</v>
      </c>
    </row>
    <row r="66">
      <c r="B66" s="2" t="s">
        <v>55</v>
      </c>
      <c r="C66" s="29"/>
      <c r="D66" s="29"/>
      <c r="E66" s="29"/>
      <c r="F66" s="29"/>
      <c r="G66" s="29"/>
      <c r="H66" s="28">
        <f>Inputs!O15</f>
        <v>0</v>
      </c>
    </row>
    <row r="67">
      <c r="B67" s="2" t="s">
        <v>194</v>
      </c>
      <c r="C67" s="29"/>
      <c r="D67" s="29"/>
      <c r="E67" s="29"/>
      <c r="F67" s="29"/>
      <c r="G67" s="29"/>
      <c r="H67" s="28">
        <f>Inputs!O66</f>
        <v>0</v>
      </c>
    </row>
    <row r="68">
      <c r="B68" s="2" t="s">
        <v>57</v>
      </c>
      <c r="C68" s="29"/>
      <c r="D68" s="29"/>
      <c r="E68" s="29"/>
      <c r="F68" s="29"/>
      <c r="G68" s="29"/>
      <c r="H68" s="30">
        <f>H44</f>
        <v>0.22170331745328165</v>
      </c>
    </row>
    <row r="69">
      <c r="B69" s="2"/>
      <c r="C69" s="2"/>
      <c r="D69" s="2"/>
      <c r="E69" s="2"/>
      <c r="F69" s="2"/>
      <c r="G69" s="2"/>
      <c r="H69" s="17"/>
    </row>
  </sheetData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B2:J66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2" customWidth="1"/>
    <col min="9" max="9" width="3" customWidth="1"/>
    <col min="10" max="10" width="48" customWidth="1"/>
  </cols>
  <sheetData>
    <row r="2">
      <c r="B2" s="3" t="s">
        <v>0</v>
      </c>
      <c r="C2" s="3"/>
      <c r="D2" s="3"/>
      <c r="E2" s="3"/>
      <c r="F2" s="3"/>
      <c r="G2" s="3"/>
      <c r="H2" s="3"/>
    </row>
    <row r="3">
      <c r="B3" s="2" t="s">
        <v>199</v>
      </c>
      <c r="C3" s="2"/>
      <c r="D3" s="2"/>
      <c r="E3" s="2"/>
      <c r="F3" s="2"/>
      <c r="G3" s="2"/>
      <c r="H3" s="2"/>
    </row>
    <row r="4">
      <c r="B4" s="2" t="s">
        <v>2</v>
      </c>
      <c r="C4" s="2"/>
      <c r="D4" s="2"/>
      <c r="E4" s="2"/>
      <c r="F4" s="2"/>
      <c r="G4" s="2"/>
      <c r="H4" s="2"/>
    </row>
    <row r="5">
      <c r="B5" s="2"/>
      <c r="C5" s="2"/>
      <c r="D5" s="2"/>
      <c r="E5" s="2"/>
      <c r="F5" s="2"/>
      <c r="G5" s="2"/>
      <c r="H5" s="2"/>
    </row>
    <row r="6"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4" t="s">
        <v>9</v>
      </c>
    </row>
    <row r="7">
      <c r="B7" s="2" t="s">
        <v>10</v>
      </c>
      <c r="C7" s="1">
        <v>45900</v>
      </c>
      <c r="D7" s="1">
        <v>45991</v>
      </c>
      <c r="E7" s="1">
        <v>45991</v>
      </c>
      <c r="F7" s="1">
        <v>46081</v>
      </c>
      <c r="G7" s="1">
        <v>46173</v>
      </c>
      <c r="H7" s="26">
        <v>46265</v>
      </c>
    </row>
    <row r="8">
      <c r="B8" s="2" t="s">
        <v>11</v>
      </c>
      <c r="C8" s="2">
        <v>92</v>
      </c>
      <c r="D8" s="2">
        <v>91</v>
      </c>
      <c r="E8" s="2">
        <v>365</v>
      </c>
      <c r="F8" s="2">
        <v>90</v>
      </c>
      <c r="G8" s="2">
        <v>92</v>
      </c>
      <c r="H8" s="17">
        <v>92</v>
      </c>
    </row>
    <row r="9">
      <c r="B9" s="2"/>
      <c r="C9" s="2"/>
      <c r="D9" s="2"/>
      <c r="E9" s="2"/>
      <c r="F9" s="2"/>
      <c r="G9" s="2"/>
      <c r="H9" s="17"/>
    </row>
    <row r="10">
      <c r="B10" s="46" t="s">
        <v>200</v>
      </c>
      <c r="C10" s="42">
        <v>42.988</v>
      </c>
      <c r="D10" s="42">
        <v>42.686</v>
      </c>
      <c r="E10" s="42">
        <v>42.996</v>
      </c>
      <c r="F10" s="42">
        <v>42.155</v>
      </c>
      <c r="G10" s="42">
        <v>41.901</v>
      </c>
      <c r="H10" s="43">
        <f>Inputs!O36</f>
        <v>41.25</v>
      </c>
    </row>
    <row r="11">
      <c r="B11" s="2" t="s">
        <v>50</v>
      </c>
      <c r="C11" s="5"/>
      <c r="D11" s="5">
        <f>D10-C10</f>
        <v>-0.3019999999999996</v>
      </c>
      <c r="E11" s="5"/>
      <c r="F11" s="5">
        <f>F10-D10</f>
        <v>-0.5309999999999988</v>
      </c>
      <c r="G11" s="5">
        <f>G10-F10</f>
        <v>-0.2539999999999978</v>
      </c>
      <c r="H11" s="4">
        <f>H10-G10</f>
        <v>-0.6510000000000034</v>
      </c>
    </row>
    <row r="12">
      <c r="B12" s="2" t="s">
        <v>201</v>
      </c>
      <c r="C12" s="5">
        <f>C14-C10</f>
        <v>0.7289999999999992</v>
      </c>
      <c r="D12" s="5">
        <f>D14-D10</f>
        <v>0.6280000000000001</v>
      </c>
      <c r="E12" s="5">
        <f>E14-E10</f>
        <v>1.0229999999999961</v>
      </c>
      <c r="F12" s="5">
        <f>F14-F10</f>
        <v>0.5739999999999981</v>
      </c>
      <c r="G12" s="5">
        <f>G14-G10</f>
        <v>0.4089999999999989</v>
      </c>
      <c r="H12" s="21">
        <f>Inputs!O37</f>
        <v>0.45</v>
      </c>
    </row>
    <row r="13">
      <c r="B13" s="2" t="s">
        <v>50</v>
      </c>
      <c r="C13" s="5"/>
      <c r="D13" s="5">
        <f>D12-C12</f>
        <v>-0.10099999999999909</v>
      </c>
      <c r="E13" s="5"/>
      <c r="F13" s="5">
        <f>F12-D12</f>
        <v>-0.054000000000002046</v>
      </c>
      <c r="G13" s="5">
        <f>G12-F12</f>
        <v>-0.16499999999999915</v>
      </c>
      <c r="H13" s="4">
        <f>H12-G12</f>
        <v>0.04100000000000109</v>
      </c>
    </row>
    <row r="14">
      <c r="B14" s="7" t="s">
        <v>202</v>
      </c>
      <c r="C14" s="38">
        <v>43.717</v>
      </c>
      <c r="D14" s="38">
        <v>43.314</v>
      </c>
      <c r="E14" s="38">
        <v>44.019</v>
      </c>
      <c r="F14" s="38">
        <v>42.729</v>
      </c>
      <c r="G14" s="38">
        <v>42.31</v>
      </c>
      <c r="H14" s="36">
        <f>SUM(H10,H12)</f>
        <v>41.7</v>
      </c>
    </row>
    <row r="15">
      <c r="B15" s="2" t="s">
        <v>203</v>
      </c>
      <c r="C15" s="41">
        <f>C14/Inputs!O59-1</f>
        <v>0.00013726521928125734</v>
      </c>
      <c r="D15" s="41">
        <f>D14/Inputs!O57-1</f>
        <v>-0.04189523978056975</v>
      </c>
      <c r="E15" s="41">
        <f>E14/Inputs!O58-1</f>
        <v>-0.009183604564791725</v>
      </c>
      <c r="F15" s="41">
        <f>F14/Inputs!O56-1</f>
        <v>-0.048076280437543195</v>
      </c>
      <c r="G15" s="41">
        <f>G14/Inputs!O55-1</f>
        <v>-0.04180632303650689</v>
      </c>
      <c r="H15" s="30">
        <f>H14/C14-1</f>
        <v>-0.046137658119267067</v>
      </c>
    </row>
    <row r="16">
      <c r="B16" s="2" t="s">
        <v>204</v>
      </c>
      <c r="C16" s="5"/>
      <c r="D16" s="5">
        <f>(D15-C15)*10000</f>
        <v>-420.32504999851005</v>
      </c>
      <c r="E16" s="5"/>
      <c r="F16" s="5">
        <f>(F15-D15)*10000</f>
        <v>-61.81040656973447</v>
      </c>
      <c r="G16" s="5">
        <f>(G15-F15)*10000</f>
        <v>62.69957401036308</v>
      </c>
      <c r="H16" s="4">
        <f>(H15-G15)*10000</f>
        <v>-43.313350827601795</v>
      </c>
    </row>
    <row r="17">
      <c r="B17" s="2" t="s">
        <v>205</v>
      </c>
      <c r="C17" s="13">
        <v>14.994</v>
      </c>
      <c r="D17" s="22">
        <f>E17-Inputs!O47</f>
        <v>40.048</v>
      </c>
      <c r="E17" s="13">
        <v>105.156</v>
      </c>
      <c r="F17" s="13">
        <v>20.401</v>
      </c>
      <c r="G17" s="13">
        <v>34.69</v>
      </c>
      <c r="H17" s="21">
        <f>Inputs!O41</f>
        <v>20</v>
      </c>
    </row>
    <row r="18">
      <c r="B18" s="2" t="s">
        <v>206</v>
      </c>
      <c r="C18" s="13">
        <v>0.089</v>
      </c>
      <c r="D18" s="13">
        <v>0.434</v>
      </c>
      <c r="E18" s="13">
        <v>1.331</v>
      </c>
      <c r="F18" s="13">
        <v>0.295</v>
      </c>
      <c r="G18" s="13">
        <v>0.579</v>
      </c>
      <c r="H18" s="21">
        <f>Inputs!O48</f>
        <v>0.35</v>
      </c>
    </row>
    <row r="19">
      <c r="B19" s="7" t="s">
        <v>207</v>
      </c>
      <c r="C19" s="11">
        <f>C14</f>
        <v>43.717</v>
      </c>
      <c r="D19" s="11">
        <f>D14</f>
        <v>43.314</v>
      </c>
      <c r="E19" s="11">
        <f>E14</f>
        <v>44.019</v>
      </c>
      <c r="F19" s="11">
        <f>F14</f>
        <v>42.729</v>
      </c>
      <c r="G19" s="11">
        <f>G14</f>
        <v>42.31</v>
      </c>
      <c r="H19" s="36">
        <f>H14</f>
        <v>41.7</v>
      </c>
    </row>
    <row r="20" ht="31.5">
      <c r="B20" s="2" t="s">
        <v>208</v>
      </c>
      <c r="C20" s="13">
        <v>43.101</v>
      </c>
      <c r="D20" s="13">
        <v>42.905</v>
      </c>
      <c r="E20" s="13">
        <v>43.361</v>
      </c>
      <c r="F20" s="13">
        <v>42.336</v>
      </c>
      <c r="G20" s="13">
        <v>42.075</v>
      </c>
      <c r="H20" s="4">
        <f>G25</f>
        <v>41.312</v>
      </c>
      <c r="J20" s="6" t="s">
        <v>209</v>
      </c>
    </row>
    <row r="21">
      <c r="B21" s="2" t="s">
        <v>210</v>
      </c>
      <c r="C21" s="5">
        <f>C18</f>
        <v>0.089</v>
      </c>
      <c r="D21" s="5">
        <f>D18</f>
        <v>0.434</v>
      </c>
      <c r="E21" s="5">
        <f>E18</f>
        <v>1.331</v>
      </c>
      <c r="F21" s="5">
        <f>F18</f>
        <v>0.295</v>
      </c>
      <c r="G21" s="5">
        <f>G18</f>
        <v>0.579</v>
      </c>
      <c r="H21" s="4">
        <f>H18</f>
        <v>0.35</v>
      </c>
    </row>
    <row r="22">
      <c r="B22" s="2" t="s">
        <v>211</v>
      </c>
      <c r="C22" s="13">
        <v>0.283</v>
      </c>
      <c r="D22" s="13">
        <v>0.89</v>
      </c>
      <c r="E22" s="13">
        <v>2.063</v>
      </c>
      <c r="F22" s="13">
        <v>0.466</v>
      </c>
      <c r="G22" s="13">
        <v>1.225</v>
      </c>
      <c r="H22" s="21">
        <f>H17/Inputs!L62</f>
        <v>0.4971414367387522</v>
      </c>
    </row>
    <row r="23">
      <c r="B23" s="2" t="s">
        <v>212</v>
      </c>
      <c r="C23" s="13">
        <v>0.002</v>
      </c>
      <c r="D23" s="13">
        <v>0.113</v>
      </c>
      <c r="E23" s="13">
        <v>0.293</v>
      </c>
      <c r="F23" s="13">
        <v>0.09</v>
      </c>
      <c r="G23" s="13">
        <v>0.117</v>
      </c>
      <c r="H23" s="21">
        <f>Inputs!O49</f>
        <v>0.1</v>
      </c>
    </row>
    <row r="24">
      <c r="B24" s="7" t="s">
        <v>213</v>
      </c>
      <c r="C24" s="11">
        <f>C21-C22-C23</f>
        <v>-0.19599999999999998</v>
      </c>
      <c r="D24" s="11">
        <f>D21-D22-D23</f>
        <v>-0.5690000000000001</v>
      </c>
      <c r="E24" s="11">
        <f>E21-E22-E23</f>
        <v>-1.0250000000000001</v>
      </c>
      <c r="F24" s="11">
        <f>F21-F22-F23</f>
        <v>-0.261</v>
      </c>
      <c r="G24" s="11">
        <f>G21-G22-G23</f>
        <v>-0.7630000000000001</v>
      </c>
      <c r="H24" s="36">
        <f>H21-H22-H23</f>
        <v>-0.24714143673875225</v>
      </c>
    </row>
    <row r="25">
      <c r="B25" s="7" t="s">
        <v>214</v>
      </c>
      <c r="C25" s="38">
        <v>42.905</v>
      </c>
      <c r="D25" s="38">
        <v>42.336</v>
      </c>
      <c r="E25" s="38">
        <v>42.336</v>
      </c>
      <c r="F25" s="38">
        <v>42.075</v>
      </c>
      <c r="G25" s="38">
        <v>41.312</v>
      </c>
      <c r="H25" s="36">
        <f>SUM(H20,H24)</f>
        <v>41.06485856326125</v>
      </c>
    </row>
    <row r="26">
      <c r="B26" s="2" t="s">
        <v>215</v>
      </c>
      <c r="C26" s="5">
        <f>AVERAGE(C20,C25)</f>
        <v>43.003</v>
      </c>
      <c r="D26" s="5">
        <f>AVERAGE(D20,D25)</f>
        <v>42.6205</v>
      </c>
      <c r="E26" s="5">
        <f>AVERAGE(E20,E25)</f>
        <v>42.8485</v>
      </c>
      <c r="F26" s="5">
        <f>AVERAGE(F20,F25)</f>
        <v>42.2055</v>
      </c>
      <c r="G26" s="5">
        <f>AVERAGE(G20,G25)</f>
        <v>41.6935</v>
      </c>
      <c r="H26" s="4">
        <f>AVERAGE(H20,H25)</f>
        <v>41.18842928163062</v>
      </c>
    </row>
    <row r="27">
      <c r="B27" s="2" t="s">
        <v>216</v>
      </c>
      <c r="C27" s="5">
        <f>C10-C26</f>
        <v>-0.015000000000000568</v>
      </c>
      <c r="D27" s="5">
        <f>D10-D26</f>
        <v>0.06550000000000011</v>
      </c>
      <c r="E27" s="5">
        <f>E10-E26</f>
        <v>0.14750000000000085</v>
      </c>
      <c r="F27" s="5">
        <f>F10-F26</f>
        <v>-0.050499999999999545</v>
      </c>
      <c r="G27" s="5">
        <f>G10-G26</f>
        <v>0.20750000000000313</v>
      </c>
      <c r="H27" s="4">
        <f>H10-H26</f>
        <v>0.06157071836938144</v>
      </c>
    </row>
    <row r="28">
      <c r="B28" s="7" t="s">
        <v>217</v>
      </c>
      <c r="C28" s="11">
        <f>C25-C20-C24</f>
        <v>0</v>
      </c>
      <c r="D28" s="11">
        <f>D25-D20-D24</f>
        <v>0</v>
      </c>
      <c r="E28" s="11">
        <f>E25-E20-E24</f>
        <v>0</v>
      </c>
      <c r="F28" s="11">
        <f>F25-F20-F24</f>
        <v>0</v>
      </c>
      <c r="G28" s="11">
        <f>G25-G20-G24</f>
        <v>0</v>
      </c>
      <c r="H28" s="36">
        <f>H25-H20-H24</f>
        <v>0</v>
      </c>
    </row>
    <row r="30">
      <c r="B30" s="10" t="s">
        <v>218</v>
      </c>
      <c r="C30" s="10"/>
      <c r="D30" s="10"/>
      <c r="E30" s="10"/>
      <c r="F30" s="10"/>
      <c r="G30" s="10"/>
      <c r="H30" s="10"/>
    </row>
    <row r="31">
      <c r="B31" s="2" t="s">
        <v>219</v>
      </c>
      <c r="C31" s="5">
        <f>C10</f>
        <v>42.988</v>
      </c>
      <c r="D31" s="5">
        <f>D10</f>
        <v>42.686</v>
      </c>
      <c r="E31" s="5">
        <f>E10</f>
        <v>42.996</v>
      </c>
      <c r="F31" s="5">
        <f>F10</f>
        <v>42.155</v>
      </c>
      <c r="G31" s="5">
        <f>G10</f>
        <v>41.901</v>
      </c>
      <c r="H31" s="4">
        <f>H10</f>
        <v>41.25</v>
      </c>
    </row>
    <row r="32">
      <c r="B32" s="2" t="s">
        <v>220</v>
      </c>
      <c r="C32" s="5"/>
      <c r="D32" s="5"/>
      <c r="E32" s="5"/>
      <c r="F32" s="5"/>
      <c r="G32" s="5"/>
      <c r="H32" s="4">
        <f>H31-C31</f>
        <v>-1.7379999999999995</v>
      </c>
    </row>
    <row r="33">
      <c r="B33" s="2" t="s">
        <v>221</v>
      </c>
      <c r="C33" s="5"/>
      <c r="D33" s="5">
        <f>D31-C31</f>
        <v>-0.3019999999999996</v>
      </c>
      <c r="E33" s="5"/>
      <c r="F33" s="5">
        <f>F31-D31</f>
        <v>-0.5309999999999988</v>
      </c>
      <c r="G33" s="5">
        <f>G31-F31</f>
        <v>-0.2539999999999978</v>
      </c>
      <c r="H33" s="4">
        <f>H31-G31</f>
        <v>-0.6510000000000034</v>
      </c>
    </row>
    <row r="34">
      <c r="B34" s="2" t="s">
        <v>222</v>
      </c>
      <c r="C34" s="5">
        <f>C12</f>
        <v>0.7289999999999992</v>
      </c>
      <c r="D34" s="5">
        <f>D12</f>
        <v>0.6280000000000001</v>
      </c>
      <c r="E34" s="5">
        <f>E12</f>
        <v>1.0229999999999961</v>
      </c>
      <c r="F34" s="5">
        <f>F12</f>
        <v>0.5739999999999981</v>
      </c>
      <c r="G34" s="5">
        <f>G12</f>
        <v>0.4089999999999989</v>
      </c>
      <c r="H34" s="4">
        <f>H12</f>
        <v>0.45</v>
      </c>
    </row>
    <row r="35">
      <c r="B35" s="2" t="s">
        <v>220</v>
      </c>
      <c r="C35" s="5"/>
      <c r="D35" s="5"/>
      <c r="E35" s="5"/>
      <c r="F35" s="5"/>
      <c r="G35" s="5"/>
      <c r="H35" s="4">
        <f>H34-C34</f>
        <v>-0.2789999999999992</v>
      </c>
    </row>
    <row r="36">
      <c r="B36" s="2" t="s">
        <v>221</v>
      </c>
      <c r="C36" s="5"/>
      <c r="D36" s="5">
        <f>D34-C34</f>
        <v>-0.10099999999999909</v>
      </c>
      <c r="E36" s="5"/>
      <c r="F36" s="5">
        <f>F34-D34</f>
        <v>-0.054000000000002046</v>
      </c>
      <c r="G36" s="5">
        <f>G34-F34</f>
        <v>-0.16499999999999915</v>
      </c>
      <c r="H36" s="4">
        <f>H34-G34</f>
        <v>0.04100000000000109</v>
      </c>
    </row>
    <row r="37">
      <c r="B37" s="2" t="s">
        <v>223</v>
      </c>
      <c r="C37" s="5">
        <f>C14</f>
        <v>43.717</v>
      </c>
      <c r="D37" s="5">
        <f>D14</f>
        <v>43.314</v>
      </c>
      <c r="E37" s="5">
        <f>E14</f>
        <v>44.019</v>
      </c>
      <c r="F37" s="5">
        <f>F14</f>
        <v>42.729</v>
      </c>
      <c r="G37" s="5">
        <f>G14</f>
        <v>42.31</v>
      </c>
      <c r="H37" s="4">
        <f>H14</f>
        <v>41.7</v>
      </c>
    </row>
    <row r="38">
      <c r="B38" s="2" t="s">
        <v>220</v>
      </c>
      <c r="C38" s="5"/>
      <c r="D38" s="5"/>
      <c r="E38" s="5"/>
      <c r="F38" s="5"/>
      <c r="G38" s="5"/>
      <c r="H38" s="4">
        <f>H37-C37</f>
        <v>-2.016999999999996</v>
      </c>
    </row>
    <row r="39">
      <c r="B39" s="2" t="s">
        <v>221</v>
      </c>
      <c r="C39" s="5"/>
      <c r="D39" s="5">
        <f>D37-C37</f>
        <v>-0.4029999999999987</v>
      </c>
      <c r="E39" s="5"/>
      <c r="F39" s="5">
        <f>F37-D37</f>
        <v>-0.5850000000000009</v>
      </c>
      <c r="G39" s="5">
        <f>G37-F37</f>
        <v>-0.41899999999999693</v>
      </c>
      <c r="H39" s="4">
        <f>H37-G37</f>
        <v>-0.6099999999999994</v>
      </c>
    </row>
    <row r="40">
      <c r="B40" s="2" t="s">
        <v>224</v>
      </c>
      <c r="C40" s="5">
        <f>C17</f>
        <v>14.994</v>
      </c>
      <c r="D40" s="5">
        <f>D17</f>
        <v>40.048</v>
      </c>
      <c r="E40" s="5">
        <f>E17</f>
        <v>105.156</v>
      </c>
      <c r="F40" s="5">
        <f>F17</f>
        <v>20.401</v>
      </c>
      <c r="G40" s="5">
        <f>G17</f>
        <v>34.69</v>
      </c>
      <c r="H40" s="4">
        <f>H17</f>
        <v>20</v>
      </c>
    </row>
    <row r="41">
      <c r="B41" s="2" t="s">
        <v>220</v>
      </c>
      <c r="C41" s="5"/>
      <c r="D41" s="5"/>
      <c r="E41" s="5"/>
      <c r="F41" s="5"/>
      <c r="G41" s="5"/>
      <c r="H41" s="4">
        <f>H40-C40</f>
        <v>5.006</v>
      </c>
    </row>
    <row r="42">
      <c r="B42" s="2" t="s">
        <v>221</v>
      </c>
      <c r="C42" s="5"/>
      <c r="D42" s="5">
        <f>D40-C40</f>
        <v>25.054000000000002</v>
      </c>
      <c r="E42" s="5"/>
      <c r="F42" s="5">
        <f>F40-D40</f>
        <v>-19.647000000000002</v>
      </c>
      <c r="G42" s="5">
        <f>G40-F40</f>
        <v>14.288999999999998</v>
      </c>
      <c r="H42" s="4">
        <f>H40-G40</f>
        <v>-14.689999999999998</v>
      </c>
    </row>
    <row r="43">
      <c r="B43" s="2" t="s">
        <v>225</v>
      </c>
      <c r="C43" s="5">
        <f>C18</f>
        <v>0.089</v>
      </c>
      <c r="D43" s="5">
        <f>D18</f>
        <v>0.434</v>
      </c>
      <c r="E43" s="5">
        <f>E18</f>
        <v>1.331</v>
      </c>
      <c r="F43" s="5">
        <f>F18</f>
        <v>0.295</v>
      </c>
      <c r="G43" s="5">
        <f>G18</f>
        <v>0.579</v>
      </c>
      <c r="H43" s="4">
        <f>H18</f>
        <v>0.35</v>
      </c>
    </row>
    <row r="44">
      <c r="B44" s="2" t="s">
        <v>220</v>
      </c>
      <c r="C44" s="5"/>
      <c r="D44" s="5"/>
      <c r="E44" s="5"/>
      <c r="F44" s="5"/>
      <c r="G44" s="5"/>
      <c r="H44" s="4">
        <f>H43-C43</f>
        <v>0.261</v>
      </c>
    </row>
    <row r="45">
      <c r="B45" s="2" t="s">
        <v>221</v>
      </c>
      <c r="C45" s="5"/>
      <c r="D45" s="5">
        <f>D43-C43</f>
        <v>0.345</v>
      </c>
      <c r="E45" s="5"/>
      <c r="F45" s="5">
        <f>F43-D43</f>
        <v>-0.139</v>
      </c>
      <c r="G45" s="5">
        <f>G43-F43</f>
        <v>0.284</v>
      </c>
      <c r="H45" s="4">
        <f>H43-G43</f>
        <v>-0.22899999999999998</v>
      </c>
    </row>
    <row r="46">
      <c r="B46" s="2" t="s">
        <v>226</v>
      </c>
      <c r="C46" s="5">
        <f>C20</f>
        <v>43.101</v>
      </c>
      <c r="D46" s="5">
        <f>D20</f>
        <v>42.905</v>
      </c>
      <c r="E46" s="5">
        <f>E20</f>
        <v>43.361</v>
      </c>
      <c r="F46" s="5">
        <f>F20</f>
        <v>42.336</v>
      </c>
      <c r="G46" s="5">
        <f>G20</f>
        <v>42.075</v>
      </c>
      <c r="H46" s="4">
        <f>H20</f>
        <v>41.312</v>
      </c>
    </row>
    <row r="47">
      <c r="B47" s="2" t="s">
        <v>220</v>
      </c>
      <c r="C47" s="5"/>
      <c r="D47" s="5"/>
      <c r="E47" s="5"/>
      <c r="F47" s="5"/>
      <c r="G47" s="5"/>
      <c r="H47" s="4">
        <f>H46-C46</f>
        <v>-1.7890000000000015</v>
      </c>
    </row>
    <row r="48">
      <c r="B48" s="2" t="s">
        <v>221</v>
      </c>
      <c r="C48" s="5"/>
      <c r="D48" s="5">
        <f>D46-C46</f>
        <v>-0.19599999999999795</v>
      </c>
      <c r="E48" s="5"/>
      <c r="F48" s="5">
        <f>F46-D46</f>
        <v>-0.5690000000000026</v>
      </c>
      <c r="G48" s="5">
        <f>G46-F46</f>
        <v>-0.2609999999999957</v>
      </c>
      <c r="H48" s="4">
        <f>H46-G46</f>
        <v>-0.7630000000000052</v>
      </c>
    </row>
    <row r="49">
      <c r="B49" s="2" t="s">
        <v>227</v>
      </c>
      <c r="C49" s="5">
        <f>C21</f>
        <v>0.089</v>
      </c>
      <c r="D49" s="5">
        <f>D21</f>
        <v>0.434</v>
      </c>
      <c r="E49" s="5">
        <f>E21</f>
        <v>1.331</v>
      </c>
      <c r="F49" s="5">
        <f>F21</f>
        <v>0.295</v>
      </c>
      <c r="G49" s="5">
        <f>G21</f>
        <v>0.579</v>
      </c>
      <c r="H49" s="4">
        <f>H21</f>
        <v>0.35</v>
      </c>
    </row>
    <row r="50">
      <c r="B50" s="2" t="s">
        <v>220</v>
      </c>
      <c r="C50" s="5"/>
      <c r="D50" s="5"/>
      <c r="E50" s="5"/>
      <c r="F50" s="5"/>
      <c r="G50" s="5"/>
      <c r="H50" s="4">
        <f>H49-C49</f>
        <v>0.261</v>
      </c>
    </row>
    <row r="51">
      <c r="B51" s="2" t="s">
        <v>221</v>
      </c>
      <c r="C51" s="5"/>
      <c r="D51" s="5">
        <f>D49-C49</f>
        <v>0.345</v>
      </c>
      <c r="E51" s="5"/>
      <c r="F51" s="5">
        <f>F49-D49</f>
        <v>-0.139</v>
      </c>
      <c r="G51" s="5">
        <f>G49-F49</f>
        <v>0.284</v>
      </c>
      <c r="H51" s="4">
        <f>H49-G49</f>
        <v>-0.22899999999999998</v>
      </c>
    </row>
    <row r="52">
      <c r="B52" s="2" t="s">
        <v>228</v>
      </c>
      <c r="C52" s="5">
        <f>C22</f>
        <v>0.283</v>
      </c>
      <c r="D52" s="5">
        <f>D22</f>
        <v>0.89</v>
      </c>
      <c r="E52" s="5">
        <f>E22</f>
        <v>2.063</v>
      </c>
      <c r="F52" s="5">
        <f>F22</f>
        <v>0.466</v>
      </c>
      <c r="G52" s="5">
        <f>G22</f>
        <v>1.225</v>
      </c>
      <c r="H52" s="4">
        <f>H22</f>
        <v>0.4971414367387522</v>
      </c>
    </row>
    <row r="53">
      <c r="B53" s="2" t="s">
        <v>220</v>
      </c>
      <c r="C53" s="5"/>
      <c r="D53" s="5"/>
      <c r="E53" s="5"/>
      <c r="F53" s="5"/>
      <c r="G53" s="5"/>
      <c r="H53" s="4">
        <f>H52-C52</f>
        <v>0.21414143673875224</v>
      </c>
    </row>
    <row r="54">
      <c r="B54" s="2" t="s">
        <v>221</v>
      </c>
      <c r="C54" s="5"/>
      <c r="D54" s="5">
        <f>D52-C52</f>
        <v>0.607</v>
      </c>
      <c r="E54" s="5"/>
      <c r="F54" s="5">
        <f>F52-D52</f>
        <v>-0.424</v>
      </c>
      <c r="G54" s="5">
        <f>G52-F52</f>
        <v>0.7590000000000001</v>
      </c>
      <c r="H54" s="4">
        <f>H52-G52</f>
        <v>-0.7278585632612479</v>
      </c>
    </row>
    <row r="55" ht="39">
      <c r="B55" s="2" t="s">
        <v>229</v>
      </c>
      <c r="C55" s="5">
        <f>C23</f>
        <v>0.002</v>
      </c>
      <c r="D55" s="5">
        <f>D23</f>
        <v>0.113</v>
      </c>
      <c r="E55" s="5">
        <f>E23</f>
        <v>0.293</v>
      </c>
      <c r="F55" s="5">
        <f>F23</f>
        <v>0.09</v>
      </c>
      <c r="G55" s="5">
        <f>G23</f>
        <v>0.117</v>
      </c>
      <c r="H55" s="4">
        <f>H23</f>
        <v>0.1</v>
      </c>
      <c r="J55" s="6" t="s">
        <v>230</v>
      </c>
    </row>
    <row r="56">
      <c r="B56" s="2" t="s">
        <v>220</v>
      </c>
      <c r="C56" s="5"/>
      <c r="D56" s="5"/>
      <c r="E56" s="5"/>
      <c r="F56" s="5"/>
      <c r="G56" s="5"/>
      <c r="H56" s="4">
        <f>H55-C55</f>
        <v>0.098</v>
      </c>
    </row>
    <row r="57">
      <c r="B57" s="2" t="s">
        <v>221</v>
      </c>
      <c r="C57" s="5"/>
      <c r="D57" s="5">
        <f>D55-C55</f>
        <v>0.111</v>
      </c>
      <c r="E57" s="5"/>
      <c r="F57" s="5">
        <f>F55-D55</f>
        <v>-0.023000000000000007</v>
      </c>
      <c r="G57" s="5">
        <f>G55-F55</f>
        <v>0.02700000000000001</v>
      </c>
      <c r="H57" s="4">
        <f>H55-G55</f>
        <v>-0.017</v>
      </c>
    </row>
    <row r="58">
      <c r="B58" s="2" t="s">
        <v>231</v>
      </c>
      <c r="C58" s="5">
        <f>C24</f>
        <v>-0.19599999999999998</v>
      </c>
      <c r="D58" s="5">
        <f>D24</f>
        <v>-0.5690000000000001</v>
      </c>
      <c r="E58" s="5">
        <f>E24</f>
        <v>-1.0250000000000001</v>
      </c>
      <c r="F58" s="5">
        <f>F24</f>
        <v>-0.261</v>
      </c>
      <c r="G58" s="5">
        <f>G24</f>
        <v>-0.7630000000000001</v>
      </c>
      <c r="H58" s="4">
        <f>H24</f>
        <v>-0.24714143673875225</v>
      </c>
    </row>
    <row r="59">
      <c r="B59" s="2" t="s">
        <v>220</v>
      </c>
      <c r="C59" s="5"/>
      <c r="D59" s="5"/>
      <c r="E59" s="5"/>
      <c r="F59" s="5"/>
      <c r="G59" s="5"/>
      <c r="H59" s="4">
        <f>H58-C58</f>
        <v>-0.051141436738752266</v>
      </c>
    </row>
    <row r="60">
      <c r="B60" s="2" t="s">
        <v>221</v>
      </c>
      <c r="C60" s="5"/>
      <c r="D60" s="5">
        <f>D58-C58</f>
        <v>-0.3730000000000001</v>
      </c>
      <c r="E60" s="5"/>
      <c r="F60" s="5">
        <f>F58-D58</f>
        <v>0.30800000000000005</v>
      </c>
      <c r="G60" s="5">
        <f>G58-F58</f>
        <v>-0.5020000000000001</v>
      </c>
      <c r="H60" s="4">
        <f>H58-G58</f>
        <v>0.5158585632612479</v>
      </c>
    </row>
    <row r="61">
      <c r="B61" s="2" t="s">
        <v>232</v>
      </c>
      <c r="C61" s="5">
        <f>C25</f>
        <v>42.905</v>
      </c>
      <c r="D61" s="5">
        <f>D25</f>
        <v>42.336</v>
      </c>
      <c r="E61" s="5">
        <f>E25</f>
        <v>42.336</v>
      </c>
      <c r="F61" s="5">
        <f>F25</f>
        <v>42.075</v>
      </c>
      <c r="G61" s="5">
        <f>G25</f>
        <v>41.312</v>
      </c>
      <c r="H61" s="4">
        <f>H25</f>
        <v>41.06485856326125</v>
      </c>
    </row>
    <row r="62">
      <c r="B62" s="2" t="s">
        <v>220</v>
      </c>
      <c r="C62" s="5"/>
      <c r="D62" s="5"/>
      <c r="E62" s="5"/>
      <c r="F62" s="5"/>
      <c r="G62" s="5"/>
      <c r="H62" s="4">
        <f>H61-C61</f>
        <v>-1.8401414367387545</v>
      </c>
    </row>
    <row r="63">
      <c r="B63" s="2" t="s">
        <v>221</v>
      </c>
      <c r="C63" s="5"/>
      <c r="D63" s="5">
        <f>D61-C61</f>
        <v>-0.5690000000000026</v>
      </c>
      <c r="E63" s="5"/>
      <c r="F63" s="5">
        <f>F61-D61</f>
        <v>-0.2609999999999957</v>
      </c>
      <c r="G63" s="5">
        <f>G61-F61</f>
        <v>-0.7630000000000052</v>
      </c>
      <c r="H63" s="4">
        <f>H61-G61</f>
        <v>-0.247141436738751</v>
      </c>
    </row>
    <row r="64">
      <c r="B64" s="2" t="s">
        <v>233</v>
      </c>
      <c r="C64" s="5">
        <f>C26</f>
        <v>43.003</v>
      </c>
      <c r="D64" s="5">
        <f>D26</f>
        <v>42.6205</v>
      </c>
      <c r="E64" s="5">
        <f>E26</f>
        <v>42.8485</v>
      </c>
      <c r="F64" s="5">
        <f>F26</f>
        <v>42.2055</v>
      </c>
      <c r="G64" s="5">
        <f>G26</f>
        <v>41.6935</v>
      </c>
      <c r="H64" s="4">
        <f>H26</f>
        <v>41.18842928163062</v>
      </c>
    </row>
    <row r="65">
      <c r="B65" s="2" t="s">
        <v>220</v>
      </c>
      <c r="C65" s="5"/>
      <c r="D65" s="5"/>
      <c r="E65" s="5"/>
      <c r="F65" s="5"/>
      <c r="G65" s="5"/>
      <c r="H65" s="4">
        <f>H64-C64</f>
        <v>-1.8145707183693816</v>
      </c>
    </row>
    <row r="66">
      <c r="B66" s="2" t="s">
        <v>221</v>
      </c>
      <c r="C66" s="5"/>
      <c r="D66" s="5">
        <f>D64-C64</f>
        <v>-0.3825000000000003</v>
      </c>
      <c r="E66" s="5"/>
      <c r="F66" s="5">
        <f>F64-D64</f>
        <v>-0.41499999999999915</v>
      </c>
      <c r="G66" s="5">
        <f>G64-F64</f>
        <v>-0.5120000000000005</v>
      </c>
      <c r="H66" s="4">
        <f>H64-G64</f>
        <v>-0.5050707183693817</v>
      </c>
    </row>
  </sheetData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B2:L28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2" customWidth="1"/>
    <col min="3" max="3" width="14" customWidth="1"/>
    <col min="4" max="4" width="13" customWidth="1"/>
    <col min="5" max="5" width="37" customWidth="1"/>
    <col min="6" max="8" width="12" customWidth="1"/>
    <col min="9" max="9" width="16" customWidth="1"/>
    <col min="10" max="10" width="17" customWidth="1"/>
    <col min="12" max="12" width="48" customWidth="1"/>
  </cols>
  <sheetData>
    <row r="2">
      <c r="B2" s="3" t="s">
        <v>0</v>
      </c>
      <c r="C2" s="3"/>
      <c r="D2" s="3"/>
      <c r="E2" s="3"/>
      <c r="F2" s="3"/>
      <c r="G2" s="3"/>
      <c r="H2" s="3"/>
    </row>
    <row r="3">
      <c r="B3" s="2" t="s">
        <v>234</v>
      </c>
      <c r="C3" s="2"/>
      <c r="D3" s="2"/>
      <c r="E3" s="2"/>
      <c r="F3" s="2"/>
      <c r="G3" s="2"/>
      <c r="H3" s="2"/>
    </row>
    <row r="4">
      <c r="B4" s="2" t="s">
        <v>2</v>
      </c>
      <c r="C4" s="2"/>
      <c r="D4" s="2"/>
      <c r="E4" s="2"/>
      <c r="F4" s="2"/>
      <c r="G4" s="2"/>
      <c r="H4" s="2"/>
    </row>
    <row r="5">
      <c r="B5" s="2"/>
      <c r="C5" s="2"/>
      <c r="D5" s="2"/>
      <c r="E5" s="2"/>
      <c r="F5" s="2"/>
      <c r="G5" s="2"/>
      <c r="H5" s="2"/>
    </row>
    <row r="6"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4" t="s">
        <v>9</v>
      </c>
    </row>
    <row r="7">
      <c r="B7" s="2" t="s">
        <v>10</v>
      </c>
      <c r="C7" s="1">
        <v>45900</v>
      </c>
      <c r="D7" s="1">
        <v>45991</v>
      </c>
      <c r="E7" s="1">
        <v>45991</v>
      </c>
      <c r="F7" s="1">
        <v>46081</v>
      </c>
      <c r="G7" s="1">
        <v>46173</v>
      </c>
      <c r="H7" s="26">
        <v>46265</v>
      </c>
    </row>
    <row r="8">
      <c r="B8" s="2" t="s">
        <v>11</v>
      </c>
      <c r="C8" s="2">
        <v>92</v>
      </c>
      <c r="D8" s="2">
        <v>91</v>
      </c>
      <c r="E8" s="2">
        <v>365</v>
      </c>
      <c r="F8" s="2">
        <v>90</v>
      </c>
      <c r="G8" s="2">
        <v>92</v>
      </c>
      <c r="H8" s="17">
        <v>92</v>
      </c>
    </row>
    <row r="9">
      <c r="B9" s="2"/>
      <c r="C9" s="2"/>
      <c r="D9" s="2"/>
      <c r="E9" s="2"/>
      <c r="F9" s="2"/>
      <c r="G9" s="2"/>
      <c r="H9" s="2"/>
      <c r="I9" s="2"/>
      <c r="J9" s="2"/>
    </row>
    <row r="10">
      <c r="B10" s="10" t="s">
        <v>235</v>
      </c>
      <c r="C10" s="10" t="s">
        <v>236</v>
      </c>
      <c r="D10" s="10" t="s">
        <v>3</v>
      </c>
      <c r="E10" s="10" t="s">
        <v>237</v>
      </c>
      <c r="F10" s="10" t="s">
        <v>238</v>
      </c>
      <c r="G10" s="10" t="s">
        <v>239</v>
      </c>
      <c r="H10" s="10" t="s">
        <v>240</v>
      </c>
      <c r="I10" s="10" t="s">
        <v>241</v>
      </c>
      <c r="J10" s="10" t="s">
        <v>242</v>
      </c>
    </row>
    <row r="11">
      <c r="B11" s="2"/>
      <c r="C11" s="2"/>
      <c r="D11" s="2"/>
      <c r="E11" s="2"/>
      <c r="F11" s="2"/>
      <c r="G11" s="2"/>
      <c r="H11" s="2"/>
      <c r="I11" s="2"/>
      <c r="J11" s="2"/>
    </row>
    <row r="12">
      <c r="B12" s="2" t="s">
        <v>243</v>
      </c>
      <c r="C12" s="1">
        <v>46203</v>
      </c>
      <c r="D12" s="2" t="s">
        <v>244</v>
      </c>
      <c r="E12" s="2" t="s">
        <v>18</v>
      </c>
      <c r="F12" s="13">
        <v>990</v>
      </c>
      <c r="G12" s="13">
        <v>1002</v>
      </c>
      <c r="H12" s="5">
        <f>AVERAGE(F12:G12)</f>
        <v>996</v>
      </c>
      <c r="I12" s="5"/>
      <c r="J12" s="2"/>
    </row>
    <row r="13">
      <c r="B13" s="2" t="s">
        <v>245</v>
      </c>
      <c r="C13" s="1">
        <v>46203</v>
      </c>
      <c r="D13" s="2" t="s">
        <v>244</v>
      </c>
      <c r="E13" s="2" t="s">
        <v>246</v>
      </c>
      <c r="F13" s="12">
        <v>1.6</v>
      </c>
      <c r="G13" s="12">
        <v>1.74</v>
      </c>
      <c r="H13" s="15">
        <f>AVERAGE(F13:G13)</f>
        <v>1.67</v>
      </c>
      <c r="I13" s="15"/>
      <c r="J13" s="2"/>
    </row>
    <row r="14">
      <c r="B14" s="2" t="s">
        <v>247</v>
      </c>
      <c r="C14" s="1">
        <v>46203</v>
      </c>
      <c r="D14" s="2" t="s">
        <v>244</v>
      </c>
      <c r="E14" s="2" t="s">
        <v>248</v>
      </c>
      <c r="F14" s="12">
        <v>6.09</v>
      </c>
      <c r="G14" s="12">
        <v>6.21</v>
      </c>
      <c r="H14" s="15">
        <f>AVERAGE(F14:G14)</f>
        <v>6.15</v>
      </c>
      <c r="I14" s="15"/>
      <c r="J14" s="2"/>
    </row>
    <row r="15">
      <c r="B15" s="2" t="s">
        <v>249</v>
      </c>
      <c r="C15" s="1">
        <v>46203</v>
      </c>
      <c r="D15" s="2" t="s">
        <v>244</v>
      </c>
      <c r="E15" s="2" t="s">
        <v>250</v>
      </c>
      <c r="F15" s="18">
        <v>0.39</v>
      </c>
      <c r="G15" s="18">
        <v>0.39</v>
      </c>
      <c r="H15" s="25">
        <f>AVERAGE(F15:G15)</f>
        <v>0.39</v>
      </c>
      <c r="I15" s="25"/>
      <c r="J15" s="2"/>
    </row>
    <row r="16">
      <c r="B16" s="2" t="s">
        <v>251</v>
      </c>
      <c r="C16" s="1">
        <v>46203</v>
      </c>
      <c r="D16" s="2" t="s">
        <v>244</v>
      </c>
      <c r="E16" s="2" t="s">
        <v>252</v>
      </c>
      <c r="F16" s="13">
        <v>273</v>
      </c>
      <c r="G16" s="13">
        <v>285</v>
      </c>
      <c r="H16" s="5">
        <f>AVERAGE(F16:G16)</f>
        <v>279</v>
      </c>
      <c r="I16" s="5"/>
      <c r="J16" s="2"/>
    </row>
    <row r="17">
      <c r="B17" s="2" t="s">
        <v>253</v>
      </c>
      <c r="C17" s="1">
        <v>46203</v>
      </c>
      <c r="D17" s="2" t="s">
        <v>244</v>
      </c>
      <c r="E17" s="2" t="s">
        <v>254</v>
      </c>
      <c r="F17" s="18">
        <v>0.2</v>
      </c>
      <c r="G17" s="18">
        <v>0.2</v>
      </c>
      <c r="H17" s="25">
        <f>AVERAGE(F17:G17)</f>
        <v>0.2</v>
      </c>
      <c r="I17" s="25"/>
      <c r="J17" s="2"/>
    </row>
    <row r="18">
      <c r="B18" s="2" t="s">
        <v>255</v>
      </c>
      <c r="C18" s="1">
        <v>46203</v>
      </c>
      <c r="D18" s="2" t="s">
        <v>256</v>
      </c>
      <c r="E18" s="2" t="s">
        <v>18</v>
      </c>
      <c r="F18" s="13">
        <v>244</v>
      </c>
      <c r="G18" s="13">
        <v>250</v>
      </c>
      <c r="H18" s="5">
        <f>AVERAGE(F18:G18)</f>
        <v>247</v>
      </c>
      <c r="I18" s="5"/>
      <c r="J18" s="2"/>
    </row>
    <row r="19">
      <c r="B19" s="2" t="s">
        <v>257</v>
      </c>
      <c r="C19" s="1">
        <v>46203</v>
      </c>
      <c r="D19" s="2" t="s">
        <v>256</v>
      </c>
      <c r="E19" s="2" t="s">
        <v>246</v>
      </c>
      <c r="F19" s="12">
        <v>0.35</v>
      </c>
      <c r="G19" s="12">
        <v>0.41</v>
      </c>
      <c r="H19" s="15">
        <f>AVERAGE(F19:G19)</f>
        <v>0.38</v>
      </c>
      <c r="I19" s="15"/>
      <c r="J19" s="2"/>
    </row>
    <row r="20">
      <c r="B20" s="2" t="s">
        <v>258</v>
      </c>
      <c r="C20" s="1">
        <v>46203</v>
      </c>
      <c r="D20" s="2" t="s">
        <v>256</v>
      </c>
      <c r="E20" s="2" t="s">
        <v>248</v>
      </c>
      <c r="F20" s="12">
        <v>1.53</v>
      </c>
      <c r="G20" s="12">
        <v>1.59</v>
      </c>
      <c r="H20" s="15">
        <f>AVERAGE(F20:G20)</f>
        <v>1.56</v>
      </c>
      <c r="I20" s="15"/>
      <c r="J20" s="2"/>
    </row>
    <row r="21">
      <c r="B21" s="2" t="s">
        <v>259</v>
      </c>
      <c r="C21" s="1">
        <v>46111</v>
      </c>
      <c r="D21" s="2" t="s">
        <v>260</v>
      </c>
      <c r="E21" s="2" t="s">
        <v>18</v>
      </c>
      <c r="F21" s="13">
        <v>240</v>
      </c>
      <c r="G21" s="13">
        <v>246</v>
      </c>
      <c r="H21" s="5">
        <f>AVERAGE(F21:G21)</f>
        <v>243</v>
      </c>
      <c r="I21" s="22">
        <f>'Income Statement'!G10</f>
        <v>253.46499999999997</v>
      </c>
      <c r="J21" s="2" t="str">
        <f>IF(I21&gt;H21,"BEAT",IF(I21&lt;H21,"MISS","AT MID"))</f>
        <v>BEAT</v>
      </c>
    </row>
    <row r="22">
      <c r="B22" s="2" t="s">
        <v>261</v>
      </c>
      <c r="C22" s="1">
        <v>46111</v>
      </c>
      <c r="D22" s="2" t="s">
        <v>260</v>
      </c>
      <c r="E22" s="2" t="s">
        <v>248</v>
      </c>
      <c r="F22" s="12">
        <v>1.47</v>
      </c>
      <c r="G22" s="12">
        <v>1.53</v>
      </c>
      <c r="H22" s="15">
        <f>AVERAGE(F22:G22)</f>
        <v>1.5</v>
      </c>
      <c r="I22" s="24">
        <f>'Income Statement'!G54</f>
        <v>1.6159064051051752</v>
      </c>
      <c r="J22" s="2" t="str">
        <f>IF(I22&gt;H22,"BEAT",IF(I22&lt;H22,"MISS","AT MID"))</f>
        <v>BEAT</v>
      </c>
    </row>
    <row r="23">
      <c r="B23" s="2" t="s">
        <v>262</v>
      </c>
      <c r="C23" s="1">
        <v>46042</v>
      </c>
      <c r="D23" s="2" t="s">
        <v>263</v>
      </c>
      <c r="E23" s="2" t="s">
        <v>18</v>
      </c>
      <c r="F23" s="13">
        <v>244</v>
      </c>
      <c r="G23" s="13">
        <v>250</v>
      </c>
      <c r="H23" s="5">
        <f>AVERAGE(F23:G23)</f>
        <v>247</v>
      </c>
      <c r="I23" s="22">
        <f>'Income Statement'!F10</f>
        <v>247.79899999999998</v>
      </c>
      <c r="J23" s="2" t="str">
        <f>IF(I23&gt;H23,"BEAT",IF(I23&lt;H23,"MISS","AT MID"))</f>
        <v>BEAT</v>
      </c>
    </row>
    <row r="24">
      <c r="B24" s="2" t="s">
        <v>264</v>
      </c>
      <c r="C24" s="1">
        <v>46042</v>
      </c>
      <c r="D24" s="2" t="s">
        <v>263</v>
      </c>
      <c r="E24" s="2" t="s">
        <v>248</v>
      </c>
      <c r="F24" s="12">
        <v>1.56</v>
      </c>
      <c r="G24" s="12">
        <v>1.62</v>
      </c>
      <c r="H24" s="15">
        <f>AVERAGE(F24:G24)</f>
        <v>1.59</v>
      </c>
      <c r="I24" s="24">
        <f>'Income Statement'!F54</f>
        <v>1.5984460202672655</v>
      </c>
      <c r="J24" s="2" t="str">
        <f>IF(I24&gt;H24,"BEAT",IF(I24&lt;H24,"MISS","AT MID"))</f>
        <v>BEAT</v>
      </c>
    </row>
    <row r="25">
      <c r="B25" s="2" t="s">
        <v>265</v>
      </c>
      <c r="C25" s="1">
        <v>46225</v>
      </c>
      <c r="D25" s="2" t="s">
        <v>256</v>
      </c>
      <c r="E25" s="2" t="s">
        <v>266</v>
      </c>
      <c r="F25" s="13">
        <v>250</v>
      </c>
      <c r="G25" s="5"/>
      <c r="H25" s="5">
        <f>F25</f>
        <v>250</v>
      </c>
      <c r="I25" s="5"/>
      <c r="J25" s="2"/>
    </row>
    <row r="26">
      <c r="B26" s="2" t="s">
        <v>267</v>
      </c>
      <c r="C26" s="1">
        <v>46225</v>
      </c>
      <c r="D26" s="2" t="s">
        <v>256</v>
      </c>
      <c r="E26" s="2" t="s">
        <v>268</v>
      </c>
      <c r="F26" s="12">
        <v>1.59</v>
      </c>
      <c r="G26" s="15"/>
      <c r="H26" s="15">
        <f>F26</f>
        <v>1.59</v>
      </c>
      <c r="I26" s="15"/>
      <c r="J26" s="2"/>
    </row>
    <row r="27">
      <c r="B27" s="2"/>
      <c r="C27" s="2"/>
      <c r="D27" s="2"/>
      <c r="E27" s="2"/>
      <c r="F27" s="2"/>
      <c r="G27" s="2"/>
      <c r="H27" s="2"/>
      <c r="I27" s="2"/>
      <c r="J27" s="2"/>
    </row>
    <row r="28" ht="31.5">
      <c r="B28" s="2"/>
      <c r="C28" s="2"/>
      <c r="D28" s="2"/>
      <c r="E28" s="2"/>
      <c r="F28" s="2"/>
      <c r="G28" s="2"/>
      <c r="H28" s="2"/>
      <c r="I28" s="2"/>
      <c r="J28" s="2"/>
      <c r="L28" s="6" t="s">
        <v>269</v>
      </c>
    </row>
  </sheetData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B2:H34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2" customWidth="1"/>
    <col min="3" max="3" width="20" customWidth="1"/>
    <col min="4" max="4" width="24" customWidth="1"/>
    <col min="5" max="5" width="72" customWidth="1"/>
    <col min="6" max="6" width="46" customWidth="1"/>
    <col min="7" max="8" width="15" customWidth="1"/>
    <col min="9" max="9" width="3" customWidth="1"/>
  </cols>
  <sheetData>
    <row r="2">
      <c r="B2" s="3" t="s">
        <v>0</v>
      </c>
      <c r="C2" s="3"/>
      <c r="D2" s="3"/>
      <c r="E2" s="3"/>
      <c r="F2" s="3"/>
      <c r="G2" s="3"/>
      <c r="H2" s="3"/>
    </row>
    <row r="3">
      <c r="B3" s="2" t="s">
        <v>270</v>
      </c>
      <c r="C3" s="2"/>
      <c r="D3" s="2"/>
      <c r="E3" s="2"/>
      <c r="F3" s="2"/>
      <c r="G3" s="2"/>
      <c r="H3" s="2"/>
    </row>
    <row r="4">
      <c r="B4" s="2" t="s">
        <v>2</v>
      </c>
      <c r="C4" s="2"/>
      <c r="D4" s="2"/>
      <c r="E4" s="2"/>
      <c r="F4" s="2"/>
      <c r="G4" s="2"/>
      <c r="H4" s="2"/>
    </row>
    <row r="5">
      <c r="B5" s="2"/>
      <c r="C5" s="2"/>
      <c r="D5" s="2"/>
      <c r="E5" s="2"/>
      <c r="F5" s="2"/>
      <c r="G5" s="2"/>
      <c r="H5" s="2"/>
    </row>
    <row r="6"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4" t="s">
        <v>9</v>
      </c>
    </row>
    <row r="7">
      <c r="B7" s="2" t="s">
        <v>10</v>
      </c>
      <c r="C7" s="1">
        <v>45900</v>
      </c>
      <c r="D7" s="1">
        <v>45991</v>
      </c>
      <c r="E7" s="1">
        <v>45991</v>
      </c>
      <c r="F7" s="1">
        <v>46081</v>
      </c>
      <c r="G7" s="1">
        <v>46173</v>
      </c>
      <c r="H7" s="26">
        <v>46265</v>
      </c>
    </row>
    <row r="8">
      <c r="B8" s="2" t="s">
        <v>11</v>
      </c>
      <c r="C8" s="2">
        <v>92</v>
      </c>
      <c r="D8" s="2">
        <v>91</v>
      </c>
      <c r="E8" s="2">
        <v>365</v>
      </c>
      <c r="F8" s="2">
        <v>90</v>
      </c>
      <c r="G8" s="2">
        <v>92</v>
      </c>
      <c r="H8" s="17">
        <v>92</v>
      </c>
    </row>
    <row r="9">
      <c r="B9" s="2"/>
      <c r="C9" s="2"/>
      <c r="D9" s="2"/>
      <c r="E9" s="2"/>
      <c r="F9" s="2"/>
    </row>
    <row r="10">
      <c r="B10" s="10" t="s">
        <v>271</v>
      </c>
      <c r="C10" s="10" t="s">
        <v>272</v>
      </c>
      <c r="D10" s="10" t="s">
        <v>273</v>
      </c>
      <c r="E10" s="10" t="s">
        <v>274</v>
      </c>
      <c r="F10" s="10" t="s">
        <v>275</v>
      </c>
    </row>
    <row r="11">
      <c r="B11" s="2" t="s">
        <v>276</v>
      </c>
      <c r="C11" s="1">
        <v>45929</v>
      </c>
      <c r="D11" s="2" t="s">
        <v>277</v>
      </c>
      <c r="E11" s="2" t="s">
        <v>278</v>
      </c>
      <c r="F11" s="2" t="s">
        <v>279</v>
      </c>
    </row>
    <row r="12">
      <c r="B12" s="2" t="s">
        <v>280</v>
      </c>
      <c r="C12" s="1">
        <v>46042</v>
      </c>
      <c r="D12" s="2" t="s">
        <v>277</v>
      </c>
      <c r="E12" s="2" t="s">
        <v>281</v>
      </c>
      <c r="F12" s="2" t="s">
        <v>282</v>
      </c>
    </row>
    <row r="13">
      <c r="B13" s="2" t="s">
        <v>283</v>
      </c>
      <c r="C13" s="1">
        <v>46042</v>
      </c>
      <c r="D13" s="2" t="s">
        <v>284</v>
      </c>
      <c r="E13" s="2" t="s">
        <v>285</v>
      </c>
      <c r="F13" s="2" t="s">
        <v>286</v>
      </c>
    </row>
    <row r="14">
      <c r="B14" s="2" t="s">
        <v>287</v>
      </c>
      <c r="C14" s="1">
        <v>46111</v>
      </c>
      <c r="D14" s="2" t="s">
        <v>277</v>
      </c>
      <c r="E14" s="2" t="s">
        <v>288</v>
      </c>
      <c r="F14" s="2" t="s">
        <v>289</v>
      </c>
    </row>
    <row r="15">
      <c r="B15" s="2" t="s">
        <v>290</v>
      </c>
      <c r="C15" s="1">
        <v>46111</v>
      </c>
      <c r="D15" s="2" t="s">
        <v>291</v>
      </c>
      <c r="E15" s="2" t="s">
        <v>292</v>
      </c>
      <c r="F15" s="2" t="s">
        <v>293</v>
      </c>
    </row>
    <row r="16">
      <c r="B16" s="2" t="s">
        <v>294</v>
      </c>
      <c r="C16" s="1">
        <v>46203</v>
      </c>
      <c r="D16" s="2" t="s">
        <v>277</v>
      </c>
      <c r="E16" s="2" t="s">
        <v>295</v>
      </c>
      <c r="F16" s="2" t="s">
        <v>296</v>
      </c>
    </row>
    <row r="17">
      <c r="B17" s="2" t="s">
        <v>297</v>
      </c>
      <c r="C17" s="1">
        <v>46203</v>
      </c>
      <c r="D17" s="2" t="s">
        <v>291</v>
      </c>
      <c r="E17" s="2" t="s">
        <v>298</v>
      </c>
      <c r="F17" s="2" t="s">
        <v>299</v>
      </c>
    </row>
    <row r="18">
      <c r="B18" s="2" t="s">
        <v>300</v>
      </c>
      <c r="C18" s="1">
        <v>46225</v>
      </c>
      <c r="D18" s="2" t="s">
        <v>291</v>
      </c>
      <c r="E18" s="2" t="s">
        <v>301</v>
      </c>
      <c r="F18" s="2" t="s">
        <v>302</v>
      </c>
    </row>
    <row r="19">
      <c r="B19" s="2" t="s">
        <v>303</v>
      </c>
      <c r="C19" s="1">
        <v>46287</v>
      </c>
      <c r="D19" s="2" t="s">
        <v>304</v>
      </c>
      <c r="E19" s="2" t="s">
        <v>305</v>
      </c>
      <c r="F19" s="2" t="s">
        <v>306</v>
      </c>
    </row>
    <row r="20">
      <c r="B20" s="2" t="s">
        <v>307</v>
      </c>
      <c r="C20" s="1">
        <v>46290</v>
      </c>
      <c r="D20" s="2" t="s">
        <v>308</v>
      </c>
      <c r="E20" s="2" t="s">
        <v>309</v>
      </c>
      <c r="F20" s="2" t="s">
        <v>310</v>
      </c>
    </row>
    <row r="21">
      <c r="B21" s="2" t="s">
        <v>311</v>
      </c>
      <c r="C21" s="1">
        <v>46042</v>
      </c>
      <c r="D21" s="2" t="s">
        <v>312</v>
      </c>
      <c r="E21" s="2" t="s">
        <v>313</v>
      </c>
      <c r="F21" s="2" t="s">
        <v>314</v>
      </c>
    </row>
    <row r="22">
      <c r="B22" s="2" t="s">
        <v>315</v>
      </c>
      <c r="C22" s="1">
        <v>46289</v>
      </c>
      <c r="D22" s="2" t="s">
        <v>316</v>
      </c>
      <c r="E22" s="2" t="s">
        <v>317</v>
      </c>
      <c r="F22" s="2" t="s">
        <v>318</v>
      </c>
    </row>
    <row r="23">
      <c r="B23" s="2" t="s">
        <v>319</v>
      </c>
      <c r="C23" s="1">
        <v>46289</v>
      </c>
      <c r="D23" s="2" t="s">
        <v>316</v>
      </c>
      <c r="E23" s="2" t="s">
        <v>320</v>
      </c>
      <c r="F23" s="2" t="s">
        <v>321</v>
      </c>
    </row>
    <row r="24">
      <c r="B24" s="2" t="s">
        <v>322</v>
      </c>
      <c r="C24" s="1">
        <v>46203</v>
      </c>
      <c r="D24" s="2" t="s">
        <v>323</v>
      </c>
      <c r="E24" s="2" t="s">
        <v>324</v>
      </c>
      <c r="F24" s="2" t="s">
        <v>325</v>
      </c>
    </row>
    <row r="25">
      <c r="B25" s="2"/>
      <c r="C25" s="2"/>
      <c r="D25" s="2"/>
      <c r="E25" s="2"/>
      <c r="F25" s="2"/>
    </row>
    <row r="26">
      <c r="B26" s="2" t="s">
        <v>326</v>
      </c>
      <c r="C26" s="1">
        <v>46203</v>
      </c>
      <c r="D26" s="2" t="s">
        <v>327</v>
      </c>
      <c r="E26" s="2" t="s">
        <v>294</v>
      </c>
      <c r="F26" s="2" t="s">
        <v>328</v>
      </c>
    </row>
    <row r="27">
      <c r="B27" s="2" t="s">
        <v>329</v>
      </c>
      <c r="C27" s="1">
        <v>46042</v>
      </c>
      <c r="D27" s="2" t="s">
        <v>330</v>
      </c>
      <c r="E27" s="2" t="s">
        <v>331</v>
      </c>
      <c r="F27" s="2" t="s">
        <v>332</v>
      </c>
    </row>
    <row r="28">
      <c r="B28" s="2" t="s">
        <v>333</v>
      </c>
      <c r="C28" s="1">
        <v>46289</v>
      </c>
      <c r="D28" s="2" t="s">
        <v>334</v>
      </c>
      <c r="E28" s="2" t="s">
        <v>335</v>
      </c>
      <c r="F28" s="2" t="s">
        <v>336</v>
      </c>
    </row>
    <row r="29">
      <c r="B29" s="2" t="s">
        <v>337</v>
      </c>
      <c r="C29" s="1">
        <v>46291</v>
      </c>
      <c r="D29" s="2" t="s">
        <v>338</v>
      </c>
      <c r="E29" s="2" t="s">
        <v>339</v>
      </c>
      <c r="F29" s="2" t="s">
        <v>340</v>
      </c>
    </row>
    <row r="30">
      <c r="B30" s="2"/>
      <c r="C30" s="2"/>
      <c r="D30" s="2"/>
      <c r="E30" s="2"/>
      <c r="F30" s="2"/>
    </row>
    <row r="31">
      <c r="B31" s="10" t="s">
        <v>341</v>
      </c>
      <c r="C31" s="10" t="s">
        <v>342</v>
      </c>
      <c r="D31" s="10" t="s">
        <v>273</v>
      </c>
      <c r="E31" s="10" t="s">
        <v>343</v>
      </c>
      <c r="F31" s="10" t="s">
        <v>344</v>
      </c>
    </row>
    <row r="32">
      <c r="B32" s="2" t="s">
        <v>345</v>
      </c>
      <c r="C32" s="47" t="str">
        <f>Inputs!L70</f>
        <v>2026-09-24 (date only)</v>
      </c>
      <c r="D32" s="2" t="s">
        <v>334</v>
      </c>
      <c r="E32" s="47" t="str">
        <f>Inputs!L72</f>
        <v>c2bba6c20e9011bebeb214a1a7bfcc6ed7fe7b2397cac29941cb9639db46efb5</v>
      </c>
      <c r="F32" s="2" t="s">
        <v>346</v>
      </c>
    </row>
    <row r="33">
      <c r="B33" s="2" t="s">
        <v>347</v>
      </c>
      <c r="C33" s="47" t="str">
        <f>Inputs!L70</f>
        <v>2026-09-24 (date only)</v>
      </c>
      <c r="D33" s="2" t="s">
        <v>334</v>
      </c>
      <c r="E33" s="47" t="str">
        <f>Inputs!L71</f>
        <v>8f2a83ebb5c33552dda97a307c8df14ff1563f73eef13eb1bfbf5e93fa662fff</v>
      </c>
      <c r="F33" s="2" t="s">
        <v>348</v>
      </c>
    </row>
    <row r="34">
      <c r="B34" s="2" t="s">
        <v>349</v>
      </c>
      <c r="C34" s="47" t="str">
        <f>Inputs!L70</f>
        <v>2026-09-24 (date only)</v>
      </c>
      <c r="D34" s="2" t="s">
        <v>334</v>
      </c>
      <c r="E34" s="47" t="str">
        <f>Inputs!L72</f>
        <v>c2bba6c20e9011bebeb214a1a7bfcc6ed7fe7b2397cac29941cb9639db46efb5</v>
      </c>
      <c r="F34" s="2" t="s">
        <v>350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B2:P74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2" customWidth="1"/>
    <col min="9" max="9" width="3" customWidth="1"/>
    <col min="11" max="11" width="37" customWidth="1"/>
    <col min="12" max="12" width="70" customWidth="1"/>
    <col min="14" max="14" width="39" customWidth="1"/>
    <col min="15" max="15" width="22" customWidth="1"/>
    <col min="16" max="16" width="54" customWidth="1"/>
  </cols>
  <sheetData>
    <row r="2">
      <c r="B2" s="3" t="s">
        <v>0</v>
      </c>
      <c r="C2" s="3"/>
      <c r="D2" s="3"/>
      <c r="E2" s="3"/>
      <c r="F2" s="3"/>
      <c r="G2" s="3"/>
      <c r="H2" s="3"/>
    </row>
    <row r="3">
      <c r="B3" s="2" t="s">
        <v>351</v>
      </c>
      <c r="C3" s="2"/>
      <c r="D3" s="2"/>
      <c r="E3" s="2"/>
      <c r="F3" s="2"/>
      <c r="G3" s="2"/>
      <c r="H3" s="2"/>
    </row>
    <row r="4">
      <c r="B4" s="2" t="s">
        <v>2</v>
      </c>
      <c r="C4" s="2"/>
      <c r="D4" s="2"/>
      <c r="E4" s="2"/>
      <c r="F4" s="2"/>
      <c r="G4" s="2"/>
      <c r="H4" s="2"/>
    </row>
    <row r="5">
      <c r="B5" s="2"/>
      <c r="C5" s="2"/>
      <c r="D5" s="2"/>
      <c r="E5" s="2"/>
      <c r="F5" s="2"/>
      <c r="G5" s="2"/>
      <c r="H5" s="2"/>
    </row>
    <row r="6"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4" t="s">
        <v>9</v>
      </c>
    </row>
    <row r="7">
      <c r="B7" s="2" t="s">
        <v>10</v>
      </c>
      <c r="C7" s="1">
        <v>45900</v>
      </c>
      <c r="D7" s="1">
        <v>45991</v>
      </c>
      <c r="E7" s="1">
        <v>45991</v>
      </c>
      <c r="F7" s="1">
        <v>46081</v>
      </c>
      <c r="G7" s="1">
        <v>46173</v>
      </c>
      <c r="H7" s="26">
        <v>46265</v>
      </c>
    </row>
    <row r="8">
      <c r="B8" s="2" t="s">
        <v>11</v>
      </c>
      <c r="C8" s="2">
        <v>92</v>
      </c>
      <c r="D8" s="2">
        <v>91</v>
      </c>
      <c r="E8" s="2">
        <v>365</v>
      </c>
      <c r="F8" s="2">
        <v>90</v>
      </c>
      <c r="G8" s="2">
        <v>92</v>
      </c>
      <c r="H8" s="17">
        <v>92</v>
      </c>
    </row>
    <row r="9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ht="43.5">
      <c r="B10" s="50" t="s">
        <v>352</v>
      </c>
      <c r="C10" s="50" t="s">
        <v>353</v>
      </c>
      <c r="D10" s="50" t="s">
        <v>354</v>
      </c>
      <c r="E10" s="50" t="s">
        <v>355</v>
      </c>
      <c r="F10" s="50" t="s">
        <v>356</v>
      </c>
      <c r="G10" s="50" t="s">
        <v>357</v>
      </c>
      <c r="H10" s="50" t="s">
        <v>358</v>
      </c>
      <c r="I10" s="50" t="s">
        <v>359</v>
      </c>
      <c r="J10" s="2"/>
      <c r="K10" s="2" t="s">
        <v>360</v>
      </c>
      <c r="L10" s="2" t="s">
        <v>361</v>
      </c>
      <c r="M10" s="2"/>
      <c r="N10" s="53" t="s">
        <v>362</v>
      </c>
      <c r="O10" s="52">
        <v>-0.05768422273445539</v>
      </c>
    </row>
    <row r="11">
      <c r="B11" s="1">
        <v>45716</v>
      </c>
      <c r="C11" s="49">
        <v>1.06</v>
      </c>
      <c r="D11" s="49">
        <v>1.31</v>
      </c>
      <c r="E11" s="49">
        <v>0.04</v>
      </c>
      <c r="F11" s="49">
        <v>0.24</v>
      </c>
      <c r="G11" s="49">
        <v>235.64</v>
      </c>
      <c r="H11" s="49">
        <v>238.02</v>
      </c>
      <c r="I11" s="1">
        <v>45747</v>
      </c>
      <c r="J11" s="2"/>
      <c r="K11" s="2" t="s">
        <v>363</v>
      </c>
      <c r="L11" s="2" t="s">
        <v>0</v>
      </c>
      <c r="M11" s="2"/>
      <c r="N11" s="2" t="s">
        <v>364</v>
      </c>
      <c r="O11" s="18">
        <v>0.009661931200727114</v>
      </c>
    </row>
    <row r="12">
      <c r="B12" s="1">
        <v>45808</v>
      </c>
      <c r="C12" s="49">
        <v>1.3</v>
      </c>
      <c r="D12" s="49">
        <v>1.4</v>
      </c>
      <c r="E12" s="49">
        <v>0.28</v>
      </c>
      <c r="F12" s="49">
        <v>0.39</v>
      </c>
      <c r="G12" s="49">
        <v>237.23</v>
      </c>
      <c r="H12" s="49">
        <v>237.36</v>
      </c>
      <c r="I12" s="1">
        <v>45838</v>
      </c>
      <c r="J12" s="2"/>
      <c r="K12" s="2" t="s">
        <v>365</v>
      </c>
      <c r="L12" s="2" t="s">
        <v>30</v>
      </c>
      <c r="M12" s="2"/>
      <c r="N12" s="2" t="s">
        <v>366</v>
      </c>
      <c r="O12" s="18">
        <v>0.020478049448668045</v>
      </c>
    </row>
    <row r="13">
      <c r="B13" s="1">
        <v>45900</v>
      </c>
      <c r="C13" s="49">
        <v>1.3</v>
      </c>
      <c r="D13" s="49">
        <v>1.5</v>
      </c>
      <c r="E13" s="49">
        <v>0.33</v>
      </c>
      <c r="F13" s="49">
        <v>0.44</v>
      </c>
      <c r="G13" s="49">
        <v>240.11</v>
      </c>
      <c r="H13" s="49">
        <v>249.8</v>
      </c>
      <c r="I13" s="1">
        <v>45929</v>
      </c>
      <c r="J13" s="2"/>
      <c r="K13" s="2" t="s">
        <v>367</v>
      </c>
      <c r="L13" s="49">
        <v>33351</v>
      </c>
      <c r="M13" s="2"/>
      <c r="N13" s="2" t="s">
        <v>368</v>
      </c>
      <c r="O13" s="18">
        <v>0.003996490886051252</v>
      </c>
    </row>
    <row r="14">
      <c r="B14" s="1">
        <v>45991</v>
      </c>
      <c r="C14" s="49">
        <v>1.31</v>
      </c>
      <c r="D14" s="49">
        <v>1.51</v>
      </c>
      <c r="E14" s="49">
        <v>0.32</v>
      </c>
      <c r="F14" s="49">
        <v>0.59</v>
      </c>
      <c r="G14" s="49">
        <v>252.86</v>
      </c>
      <c r="H14" s="49">
        <v>252.67</v>
      </c>
      <c r="I14" s="1">
        <v>46042</v>
      </c>
      <c r="J14" s="2"/>
      <c r="K14" s="2" t="s">
        <v>369</v>
      </c>
      <c r="L14" s="49">
        <v>6</v>
      </c>
      <c r="M14" s="2"/>
      <c r="N14" s="2" t="s">
        <v>370</v>
      </c>
      <c r="O14" s="18">
        <v>0.005760368663594528</v>
      </c>
    </row>
    <row r="15">
      <c r="B15" s="1">
        <v>46081</v>
      </c>
      <c r="C15" s="49">
        <v>1.57</v>
      </c>
      <c r="D15" s="49">
        <v>1.6</v>
      </c>
      <c r="E15" s="49">
        <v>0.51</v>
      </c>
      <c r="F15" s="49">
        <v>0.53</v>
      </c>
      <c r="G15" s="49">
        <v>246.4</v>
      </c>
      <c r="H15" s="49">
        <v>247.8</v>
      </c>
      <c r="I15" s="1">
        <v>46111</v>
      </c>
      <c r="J15" s="2"/>
      <c r="K15" s="2" t="s">
        <v>371</v>
      </c>
      <c r="L15" s="2" t="s">
        <v>372</v>
      </c>
      <c r="M15" s="2"/>
      <c r="N15" s="2" t="s">
        <v>373</v>
      </c>
      <c r="O15" s="18">
        <v>0</v>
      </c>
    </row>
    <row r="16">
      <c r="B16" s="1">
        <v>46173</v>
      </c>
      <c r="C16" s="49">
        <v>1.49</v>
      </c>
      <c r="D16" s="49">
        <v>1.62</v>
      </c>
      <c r="E16" s="49">
        <v>0.39</v>
      </c>
      <c r="F16" s="49">
        <v>0.5</v>
      </c>
      <c r="G16" s="49">
        <v>242.74</v>
      </c>
      <c r="H16" s="49">
        <v>253.47</v>
      </c>
      <c r="I16" s="1">
        <v>46203</v>
      </c>
      <c r="J16" s="2"/>
      <c r="K16" s="2" t="s">
        <v>374</v>
      </c>
      <c r="L16" s="2" t="s">
        <v>375</v>
      </c>
      <c r="M16" s="2"/>
      <c r="N16" s="2" t="s">
        <v>376</v>
      </c>
      <c r="O16" s="49">
        <v>0.2</v>
      </c>
    </row>
    <row r="17">
      <c r="B17" s="2"/>
      <c r="C17" s="2"/>
      <c r="D17" s="2"/>
      <c r="E17" s="2"/>
      <c r="F17" s="2"/>
      <c r="G17" s="2"/>
      <c r="H17" s="2"/>
      <c r="I17" s="2"/>
      <c r="J17" s="2"/>
      <c r="K17" s="2" t="s">
        <v>352</v>
      </c>
      <c r="L17" s="54">
        <v>46265</v>
      </c>
      <c r="M17" s="2"/>
      <c r="N17" s="2" t="s">
        <v>377</v>
      </c>
      <c r="O17" s="18">
        <v>0.77</v>
      </c>
    </row>
    <row r="18">
      <c r="B18" s="2"/>
      <c r="C18" s="2"/>
      <c r="D18" s="2"/>
      <c r="E18" s="2"/>
      <c r="F18" s="2"/>
      <c r="G18" s="2"/>
      <c r="H18" s="2"/>
      <c r="I18" s="2"/>
      <c r="J18" s="2"/>
      <c r="K18" s="2" t="s">
        <v>378</v>
      </c>
      <c r="L18" s="54">
        <v>46295</v>
      </c>
      <c r="M18" s="2"/>
      <c r="N18" s="2" t="s">
        <v>379</v>
      </c>
      <c r="O18" s="18">
        <v>1</v>
      </c>
    </row>
    <row r="19">
      <c r="B19" s="2"/>
      <c r="C19" s="2"/>
      <c r="D19" s="2"/>
      <c r="E19" s="2"/>
      <c r="F19" s="2"/>
      <c r="G19" s="2"/>
      <c r="H19" s="2"/>
      <c r="I19" s="2"/>
      <c r="J19" s="2"/>
      <c r="K19" s="2" t="s">
        <v>380</v>
      </c>
      <c r="L19" s="12">
        <v>1.52</v>
      </c>
      <c r="M19" s="2"/>
      <c r="N19" s="2" t="s">
        <v>381</v>
      </c>
      <c r="O19" s="49">
        <v>0</v>
      </c>
    </row>
    <row r="20">
      <c r="B20" s="2"/>
      <c r="C20" s="2"/>
      <c r="D20" s="2"/>
      <c r="E20" s="2"/>
      <c r="F20" s="2"/>
      <c r="G20" s="2"/>
      <c r="H20" s="2"/>
      <c r="I20" s="2"/>
      <c r="J20" s="2"/>
      <c r="K20" s="2" t="s">
        <v>382</v>
      </c>
      <c r="L20" s="49">
        <v>1.54</v>
      </c>
      <c r="M20" s="2"/>
      <c r="N20" s="2" t="s">
        <v>383</v>
      </c>
      <c r="O20" s="49">
        <v>3.35</v>
      </c>
    </row>
    <row r="21">
      <c r="B21" s="2"/>
      <c r="C21" s="2"/>
      <c r="D21" s="2"/>
      <c r="E21" s="2"/>
      <c r="F21" s="2"/>
      <c r="G21" s="2"/>
      <c r="H21" s="2"/>
      <c r="I21" s="2"/>
      <c r="J21" s="2"/>
      <c r="K21" s="2" t="s">
        <v>384</v>
      </c>
      <c r="L21" s="49">
        <v>1.54</v>
      </c>
      <c r="M21" s="2"/>
      <c r="N21" s="2" t="s">
        <v>385</v>
      </c>
      <c r="O21" s="49">
        <v>32.5</v>
      </c>
    </row>
    <row r="22">
      <c r="B22" s="2"/>
      <c r="C22" s="2"/>
      <c r="D22" s="2"/>
      <c r="E22" s="2"/>
      <c r="F22" s="2"/>
      <c r="G22" s="2"/>
      <c r="H22" s="2"/>
      <c r="I22" s="2"/>
      <c r="J22" s="2"/>
      <c r="K22" s="2" t="s">
        <v>386</v>
      </c>
      <c r="L22" s="49">
        <v>1.45</v>
      </c>
      <c r="M22" s="2"/>
      <c r="N22" s="2" t="s">
        <v>387</v>
      </c>
      <c r="O22" s="49">
        <v>8.7</v>
      </c>
    </row>
    <row r="23">
      <c r="B23" s="2"/>
      <c r="C23" s="2"/>
      <c r="D23" s="2"/>
      <c r="E23" s="2"/>
      <c r="F23" s="2"/>
      <c r="G23" s="2"/>
      <c r="H23" s="2"/>
      <c r="I23" s="2"/>
      <c r="J23" s="2"/>
      <c r="K23" s="2" t="s">
        <v>388</v>
      </c>
      <c r="L23" s="49">
        <v>0.04</v>
      </c>
      <c r="M23" s="2"/>
      <c r="N23" s="2" t="s">
        <v>82</v>
      </c>
      <c r="O23" s="49">
        <v>55.1</v>
      </c>
    </row>
    <row r="24">
      <c r="B24" s="2"/>
      <c r="C24" s="2"/>
      <c r="D24" s="2"/>
      <c r="E24" s="2"/>
      <c r="F24" s="2"/>
      <c r="G24" s="2"/>
      <c r="H24" s="2"/>
      <c r="I24" s="2"/>
      <c r="J24" s="2"/>
      <c r="K24" s="2" t="s">
        <v>389</v>
      </c>
      <c r="L24" s="49">
        <v>4</v>
      </c>
      <c r="M24" s="2"/>
      <c r="N24" s="2" t="s">
        <v>83</v>
      </c>
      <c r="O24" s="49">
        <v>48.4</v>
      </c>
    </row>
    <row r="25">
      <c r="B25" s="2"/>
      <c r="C25" s="2"/>
      <c r="D25" s="2"/>
      <c r="E25" s="2"/>
      <c r="F25" s="2"/>
      <c r="G25" s="2"/>
      <c r="H25" s="2"/>
      <c r="I25" s="2"/>
      <c r="J25" s="2"/>
      <c r="K25" s="2" t="s">
        <v>390</v>
      </c>
      <c r="L25" s="2" t="s">
        <v>20</v>
      </c>
      <c r="M25" s="2"/>
      <c r="N25" s="2" t="s">
        <v>84</v>
      </c>
      <c r="O25" s="49">
        <v>29.7</v>
      </c>
    </row>
    <row r="26">
      <c r="B26" s="2"/>
      <c r="C26" s="2"/>
      <c r="D26" s="2"/>
      <c r="E26" s="2"/>
      <c r="F26" s="2"/>
      <c r="G26" s="2"/>
      <c r="H26" s="2"/>
      <c r="I26" s="2"/>
      <c r="J26" s="2"/>
      <c r="K26" s="2" t="s">
        <v>391</v>
      </c>
      <c r="L26" s="49">
        <v>1.53</v>
      </c>
      <c r="M26" s="2"/>
      <c r="N26" s="2" t="s">
        <v>392</v>
      </c>
      <c r="O26" s="49">
        <v>25.8</v>
      </c>
    </row>
    <row r="27">
      <c r="B27" s="2"/>
      <c r="C27" s="2"/>
      <c r="D27" s="2"/>
      <c r="E27" s="2"/>
      <c r="F27" s="2"/>
      <c r="G27" s="2"/>
      <c r="H27" s="2"/>
      <c r="I27" s="2"/>
      <c r="J27" s="2"/>
      <c r="K27" s="2" t="s">
        <v>393</v>
      </c>
      <c r="L27" s="49">
        <v>1.59</v>
      </c>
      <c r="M27" s="2"/>
      <c r="N27" s="2" t="s">
        <v>394</v>
      </c>
      <c r="O27" s="49">
        <v>1.5</v>
      </c>
    </row>
    <row r="28">
      <c r="B28" s="2"/>
      <c r="C28" s="2"/>
      <c r="D28" s="2"/>
      <c r="E28" s="2"/>
      <c r="F28" s="2"/>
      <c r="G28" s="2"/>
      <c r="H28" s="2"/>
      <c r="I28" s="2"/>
      <c r="J28" s="2"/>
      <c r="K28" s="2" t="s">
        <v>395</v>
      </c>
      <c r="L28" s="12">
        <v>0.39</v>
      </c>
      <c r="M28" s="2"/>
      <c r="N28" s="2" t="s">
        <v>396</v>
      </c>
      <c r="O28" s="49">
        <v>1.3</v>
      </c>
    </row>
    <row r="29">
      <c r="B29" s="2"/>
      <c r="C29" s="2"/>
      <c r="D29" s="2"/>
      <c r="E29" s="2"/>
      <c r="F29" s="2"/>
      <c r="G29" s="2"/>
      <c r="H29" s="2"/>
      <c r="I29" s="2"/>
      <c r="J29" s="2"/>
      <c r="K29" s="2" t="s">
        <v>397</v>
      </c>
      <c r="L29" s="49">
        <v>0.38</v>
      </c>
      <c r="M29" s="2"/>
      <c r="N29" s="2" t="s">
        <v>398</v>
      </c>
      <c r="O29" s="51">
        <v>3.3</v>
      </c>
      <c r="P29" s="6" t="s">
        <v>399</v>
      </c>
    </row>
    <row r="30">
      <c r="B30" s="2"/>
      <c r="C30" s="2"/>
      <c r="D30" s="2"/>
      <c r="E30" s="2"/>
      <c r="F30" s="2"/>
      <c r="G30" s="2"/>
      <c r="H30" s="2"/>
      <c r="I30" s="2"/>
      <c r="J30" s="2"/>
      <c r="K30" s="2" t="s">
        <v>400</v>
      </c>
      <c r="L30" s="49">
        <v>0.42</v>
      </c>
      <c r="M30" s="2"/>
      <c r="N30" s="2" t="s">
        <v>92</v>
      </c>
      <c r="O30" s="49">
        <v>-16.7</v>
      </c>
      <c r="P30" s="6"/>
    </row>
    <row r="31">
      <c r="B31" s="2"/>
      <c r="C31" s="2"/>
      <c r="D31" s="2"/>
      <c r="E31" s="2"/>
      <c r="F31" s="2"/>
      <c r="G31" s="2"/>
      <c r="H31" s="2"/>
      <c r="I31" s="2"/>
      <c r="J31" s="2"/>
      <c r="K31" s="2" t="s">
        <v>401</v>
      </c>
      <c r="L31" s="49">
        <v>0.38</v>
      </c>
      <c r="M31" s="2"/>
      <c r="N31" s="2" t="s">
        <v>402</v>
      </c>
      <c r="O31" s="49">
        <v>0.35</v>
      </c>
      <c r="P31" s="6"/>
    </row>
    <row r="32">
      <c r="B32" s="2"/>
      <c r="C32" s="2"/>
      <c r="D32" s="2"/>
      <c r="E32" s="2"/>
      <c r="F32" s="2"/>
      <c r="G32" s="2"/>
      <c r="H32" s="2"/>
      <c r="I32" s="2"/>
      <c r="J32" s="2"/>
      <c r="K32" s="2" t="s">
        <v>403</v>
      </c>
      <c r="L32" s="49">
        <v>0.02</v>
      </c>
      <c r="M32" s="2"/>
      <c r="N32" s="2" t="s">
        <v>404</v>
      </c>
      <c r="O32" s="49">
        <v>-0.35</v>
      </c>
      <c r="P32" s="6"/>
    </row>
    <row r="33">
      <c r="B33" s="2"/>
      <c r="C33" s="2"/>
      <c r="D33" s="2"/>
      <c r="E33" s="2"/>
      <c r="F33" s="2"/>
      <c r="G33" s="2"/>
      <c r="H33" s="2"/>
      <c r="I33" s="2"/>
      <c r="J33" s="2"/>
      <c r="K33" s="2" t="s">
        <v>405</v>
      </c>
      <c r="L33" s="49">
        <v>3</v>
      </c>
      <c r="M33" s="2"/>
      <c r="N33" s="2" t="s">
        <v>406</v>
      </c>
      <c r="O33" s="18">
        <v>0.25</v>
      </c>
      <c r="P33" s="6"/>
    </row>
    <row r="34">
      <c r="B34" s="2"/>
      <c r="C34" s="2"/>
      <c r="D34" s="2"/>
      <c r="E34" s="2"/>
      <c r="F34" s="2"/>
      <c r="G34" s="2"/>
      <c r="H34" s="2"/>
      <c r="I34" s="2"/>
      <c r="J34" s="2"/>
      <c r="K34" s="2" t="s">
        <v>407</v>
      </c>
      <c r="L34" s="49">
        <v>0.35</v>
      </c>
      <c r="M34" s="2"/>
      <c r="N34" s="2" t="s">
        <v>153</v>
      </c>
      <c r="O34" s="49">
        <v>19.8</v>
      </c>
      <c r="P34" s="6"/>
    </row>
    <row r="35">
      <c r="B35" s="2"/>
      <c r="C35" s="2"/>
      <c r="D35" s="2"/>
      <c r="E35" s="2"/>
      <c r="F35" s="2"/>
      <c r="G35" s="2"/>
      <c r="H35" s="2"/>
      <c r="I35" s="2"/>
      <c r="J35" s="2"/>
      <c r="K35" s="2" t="s">
        <v>408</v>
      </c>
      <c r="L35" s="49">
        <v>0.41</v>
      </c>
      <c r="M35" s="2"/>
      <c r="N35" s="2" t="s">
        <v>409</v>
      </c>
      <c r="O35" s="18">
        <v>0.2</v>
      </c>
      <c r="P35" s="6"/>
    </row>
    <row r="36">
      <c r="B36" s="2"/>
      <c r="C36" s="2"/>
      <c r="D36" s="2"/>
      <c r="E36" s="2"/>
      <c r="F36" s="2"/>
      <c r="G36" s="2"/>
      <c r="H36" s="2"/>
      <c r="I36" s="2"/>
      <c r="J36" s="2"/>
      <c r="K36" s="2" t="s">
        <v>410</v>
      </c>
      <c r="L36" s="13">
        <v>247.59</v>
      </c>
      <c r="M36" s="2"/>
      <c r="N36" s="2" t="s">
        <v>411</v>
      </c>
      <c r="O36" s="49">
        <v>41.25</v>
      </c>
      <c r="P36" s="6"/>
    </row>
    <row r="37">
      <c r="B37" s="2"/>
      <c r="C37" s="2"/>
      <c r="D37" s="2"/>
      <c r="E37" s="2"/>
      <c r="F37" s="2"/>
      <c r="G37" s="2"/>
      <c r="H37" s="2"/>
      <c r="I37" s="2"/>
      <c r="J37" s="2"/>
      <c r="K37" s="2" t="s">
        <v>412</v>
      </c>
      <c r="L37" s="49">
        <v>247.2</v>
      </c>
      <c r="M37" s="2"/>
      <c r="N37" s="2" t="s">
        <v>413</v>
      </c>
      <c r="O37" s="49">
        <v>0.45</v>
      </c>
      <c r="P37" s="6"/>
    </row>
    <row r="38">
      <c r="B38" s="2"/>
      <c r="C38" s="2"/>
      <c r="D38" s="2"/>
      <c r="E38" s="2"/>
      <c r="F38" s="2"/>
      <c r="G38" s="2"/>
      <c r="H38" s="2"/>
      <c r="I38" s="2"/>
      <c r="J38" s="2"/>
      <c r="K38" s="2" t="s">
        <v>414</v>
      </c>
      <c r="L38" s="49">
        <v>249.8</v>
      </c>
      <c r="M38" s="2"/>
      <c r="N38" s="2" t="s">
        <v>415</v>
      </c>
      <c r="O38" s="49">
        <v>38</v>
      </c>
      <c r="P38" s="6"/>
    </row>
    <row r="39">
      <c r="B39" s="2"/>
      <c r="C39" s="2"/>
      <c r="D39" s="2"/>
      <c r="E39" s="2"/>
      <c r="F39" s="2"/>
      <c r="G39" s="2"/>
      <c r="H39" s="2"/>
      <c r="I39" s="2"/>
      <c r="J39" s="2"/>
      <c r="K39" s="2" t="s">
        <v>416</v>
      </c>
      <c r="L39" s="49">
        <v>245.42</v>
      </c>
      <c r="M39" s="2"/>
      <c r="N39" s="2" t="s">
        <v>417</v>
      </c>
      <c r="O39" s="49">
        <v>4</v>
      </c>
      <c r="P39" s="6"/>
    </row>
    <row r="40">
      <c r="B40" s="2"/>
      <c r="C40" s="2"/>
      <c r="D40" s="2"/>
      <c r="E40" s="2"/>
      <c r="F40" s="2"/>
      <c r="G40" s="2"/>
      <c r="H40" s="2"/>
      <c r="I40" s="2"/>
      <c r="J40" s="2"/>
      <c r="K40" s="2" t="s">
        <v>418</v>
      </c>
      <c r="L40" s="49">
        <v>1.41</v>
      </c>
      <c r="M40" s="2"/>
      <c r="N40" s="2"/>
      <c r="O40" s="49"/>
      <c r="P40" s="6"/>
    </row>
    <row r="41">
      <c r="B41" s="2"/>
      <c r="C41" s="2"/>
      <c r="D41" s="2"/>
      <c r="E41" s="2"/>
      <c r="F41" s="2"/>
      <c r="G41" s="2"/>
      <c r="H41" s="2"/>
      <c r="I41" s="2"/>
      <c r="J41" s="2"/>
      <c r="K41" s="2" t="s">
        <v>419</v>
      </c>
      <c r="L41" s="49">
        <v>6</v>
      </c>
      <c r="M41" s="2"/>
      <c r="N41" s="2" t="s">
        <v>420</v>
      </c>
      <c r="O41" s="49">
        <v>20</v>
      </c>
      <c r="P41" s="6"/>
    </row>
    <row r="42">
      <c r="B42" s="2"/>
      <c r="C42" s="2"/>
      <c r="D42" s="2"/>
      <c r="E42" s="2"/>
      <c r="F42" s="2"/>
      <c r="G42" s="2"/>
      <c r="H42" s="2"/>
      <c r="I42" s="2"/>
      <c r="J42" s="2"/>
      <c r="K42" s="2" t="s">
        <v>421</v>
      </c>
      <c r="L42" s="49">
        <v>244</v>
      </c>
      <c r="M42" s="2"/>
      <c r="N42" s="2" t="s">
        <v>422</v>
      </c>
      <c r="O42" s="49">
        <v>-20</v>
      </c>
      <c r="P42" s="6"/>
    </row>
    <row r="43">
      <c r="B43" s="2"/>
      <c r="C43" s="2"/>
      <c r="D43" s="2"/>
      <c r="E43" s="2"/>
      <c r="F43" s="2"/>
      <c r="G43" s="2"/>
      <c r="H43" s="2"/>
      <c r="I43" s="2"/>
      <c r="J43" s="2"/>
      <c r="K43" s="2" t="s">
        <v>423</v>
      </c>
      <c r="L43" s="49">
        <v>250</v>
      </c>
      <c r="M43" s="2"/>
      <c r="N43" s="2" t="s">
        <v>424</v>
      </c>
      <c r="O43" s="49">
        <v>-2</v>
      </c>
      <c r="P43" s="6"/>
    </row>
    <row r="44">
      <c r="B44" s="2"/>
      <c r="C44" s="2"/>
      <c r="D44" s="2"/>
      <c r="E44" s="2"/>
      <c r="F44" s="2"/>
      <c r="G44" s="2"/>
      <c r="H44" s="2"/>
      <c r="I44" s="2"/>
      <c r="J44" s="2"/>
      <c r="K44" s="2" t="s">
        <v>425</v>
      </c>
      <c r="L44" s="49">
        <v>96.7</v>
      </c>
      <c r="M44" s="2"/>
      <c r="N44" s="2" t="s">
        <v>426</v>
      </c>
      <c r="O44" s="49">
        <v>0.2</v>
      </c>
      <c r="P44" s="6"/>
    </row>
    <row r="45">
      <c r="B45" s="2"/>
      <c r="C45" s="2"/>
      <c r="D45" s="2"/>
      <c r="E45" s="2"/>
      <c r="F45" s="2"/>
      <c r="G45" s="2"/>
      <c r="H45" s="2"/>
      <c r="I45" s="2"/>
      <c r="J45" s="2"/>
      <c r="K45" s="2" t="s">
        <v>427</v>
      </c>
      <c r="L45" s="49">
        <v>95.31</v>
      </c>
      <c r="M45" s="2"/>
      <c r="N45" s="2" t="s">
        <v>428</v>
      </c>
      <c r="O45" s="49">
        <v>0</v>
      </c>
      <c r="P45" s="6"/>
    </row>
    <row r="46">
      <c r="B46" s="2"/>
      <c r="C46" s="2"/>
      <c r="D46" s="2"/>
      <c r="E46" s="2"/>
      <c r="F46" s="2"/>
      <c r="G46" s="2"/>
      <c r="H46" s="2"/>
      <c r="I46" s="2"/>
      <c r="J46" s="2"/>
      <c r="K46" s="2" t="s">
        <v>429</v>
      </c>
      <c r="L46" s="13">
        <v>63.25</v>
      </c>
      <c r="M46" s="2"/>
      <c r="N46" s="2" t="s">
        <v>430</v>
      </c>
      <c r="O46" s="2" t="s">
        <v>431</v>
      </c>
      <c r="P46" s="6"/>
    </row>
    <row r="47">
      <c r="B47" s="2"/>
      <c r="C47" s="2"/>
      <c r="D47" s="2"/>
      <c r="E47" s="2"/>
      <c r="F47" s="2"/>
      <c r="G47" s="2"/>
      <c r="H47" s="2"/>
      <c r="I47" s="2"/>
      <c r="J47" s="2"/>
      <c r="K47" s="2" t="s">
        <v>432</v>
      </c>
      <c r="L47" s="13">
        <v>15.88</v>
      </c>
      <c r="M47" s="2"/>
      <c r="N47" s="2" t="s">
        <v>433</v>
      </c>
      <c r="O47" s="49">
        <v>65.108</v>
      </c>
      <c r="P47" s="6"/>
    </row>
    <row r="48">
      <c r="B48" s="2"/>
      <c r="C48" s="2"/>
      <c r="D48" s="2"/>
      <c r="E48" s="2"/>
      <c r="F48" s="2"/>
      <c r="G48" s="2"/>
      <c r="H48" s="2"/>
      <c r="I48" s="2"/>
      <c r="J48" s="2"/>
      <c r="K48" s="2" t="s">
        <v>434</v>
      </c>
      <c r="L48" s="49">
        <v>85.57</v>
      </c>
      <c r="M48" s="2"/>
      <c r="N48" s="2" t="s">
        <v>435</v>
      </c>
      <c r="O48" s="49">
        <v>0.35</v>
      </c>
      <c r="P48" s="6"/>
    </row>
    <row r="49">
      <c r="B49" s="2"/>
      <c r="C49" s="2"/>
      <c r="D49" s="2"/>
      <c r="E49" s="2"/>
      <c r="F49" s="2"/>
      <c r="G49" s="2"/>
      <c r="H49" s="2"/>
      <c r="I49" s="2"/>
      <c r="J49" s="2"/>
      <c r="K49" s="2" t="s">
        <v>436</v>
      </c>
      <c r="L49" s="49">
        <v>20</v>
      </c>
      <c r="M49" s="2"/>
      <c r="N49" s="2" t="s">
        <v>437</v>
      </c>
      <c r="O49" s="49">
        <v>0.1</v>
      </c>
      <c r="P49" s="6"/>
    </row>
    <row r="50">
      <c r="B50" s="2"/>
      <c r="C50" s="2"/>
      <c r="D50" s="2"/>
      <c r="E50" s="2"/>
      <c r="F50" s="2"/>
      <c r="G50" s="2"/>
      <c r="H50" s="2"/>
      <c r="I50" s="2"/>
      <c r="J50" s="2"/>
      <c r="K50" s="2" t="s">
        <v>438</v>
      </c>
      <c r="L50" s="49">
        <v>-1.4</v>
      </c>
      <c r="M50" s="2"/>
      <c r="N50" s="2" t="s">
        <v>439</v>
      </c>
      <c r="O50" s="49">
        <v>-57.681</v>
      </c>
      <c r="P50" s="6"/>
    </row>
    <row r="51">
      <c r="B51" s="2"/>
      <c r="C51" s="2"/>
      <c r="D51" s="2"/>
      <c r="E51" s="2"/>
      <c r="F51" s="2"/>
      <c r="G51" s="2"/>
      <c r="H51" s="2"/>
      <c r="I51" s="2"/>
      <c r="J51" s="2"/>
      <c r="K51" s="2" t="s">
        <v>440</v>
      </c>
      <c r="L51" s="49">
        <v>55.9</v>
      </c>
      <c r="M51" s="2"/>
      <c r="N51" s="2" t="s">
        <v>441</v>
      </c>
      <c r="O51" s="49">
        <v>-62.585</v>
      </c>
      <c r="P51" s="6"/>
    </row>
    <row r="52">
      <c r="B52" s="2"/>
      <c r="C52" s="2"/>
      <c r="D52" s="2"/>
      <c r="E52" s="2"/>
      <c r="F52" s="2"/>
      <c r="G52" s="2"/>
      <c r="H52" s="2"/>
      <c r="I52" s="2"/>
      <c r="J52" s="2"/>
      <c r="K52" s="2" t="s">
        <v>442</v>
      </c>
      <c r="L52" s="49">
        <v>57.3</v>
      </c>
      <c r="M52" s="2"/>
      <c r="N52" s="2" t="s">
        <v>443</v>
      </c>
      <c r="O52" s="49">
        <v>-238.369</v>
      </c>
      <c r="P52" s="6"/>
    </row>
    <row r="53">
      <c r="B53" s="2"/>
      <c r="C53" s="2"/>
      <c r="D53" s="2"/>
      <c r="E53" s="2"/>
      <c r="F53" s="2"/>
      <c r="G53" s="2"/>
      <c r="H53" s="2"/>
      <c r="I53" s="2"/>
      <c r="J53" s="2"/>
      <c r="K53" s="2" t="s">
        <v>444</v>
      </c>
      <c r="L53" s="49">
        <v>39.3</v>
      </c>
      <c r="M53" s="2"/>
      <c r="N53" s="2" t="s">
        <v>445</v>
      </c>
      <c r="O53" s="49">
        <v>-78.877</v>
      </c>
      <c r="P53" s="6"/>
    </row>
    <row r="54">
      <c r="B54" s="2"/>
      <c r="C54" s="2"/>
      <c r="D54" s="2"/>
      <c r="E54" s="2"/>
      <c r="F54" s="2"/>
      <c r="G54" s="2"/>
      <c r="H54" s="2"/>
      <c r="I54" s="2"/>
      <c r="J54" s="2"/>
      <c r="K54" s="2" t="s">
        <v>446</v>
      </c>
      <c r="L54" s="49">
        <v>54.33</v>
      </c>
      <c r="M54" s="2"/>
      <c r="N54" s="2" t="s">
        <v>447</v>
      </c>
      <c r="O54" s="49">
        <v>-85.141</v>
      </c>
      <c r="P54" s="6"/>
    </row>
    <row r="55">
      <c r="B55" s="2"/>
      <c r="C55" s="2"/>
      <c r="D55" s="2"/>
      <c r="E55" s="2"/>
      <c r="F55" s="2"/>
      <c r="G55" s="2"/>
      <c r="H55" s="2"/>
      <c r="I55" s="2"/>
      <c r="J55" s="2"/>
      <c r="K55" s="2" t="s">
        <v>448</v>
      </c>
      <c r="L55" s="49">
        <v>51.5</v>
      </c>
      <c r="M55" s="2"/>
      <c r="N55" s="2" t="s">
        <v>449</v>
      </c>
      <c r="O55" s="49">
        <v>44.156</v>
      </c>
      <c r="P55" s="6"/>
    </row>
    <row r="56">
      <c r="B56" s="2"/>
      <c r="C56" s="2"/>
      <c r="D56" s="2"/>
      <c r="E56" s="2"/>
      <c r="F56" s="2"/>
      <c r="G56" s="2"/>
      <c r="H56" s="2"/>
      <c r="I56" s="2"/>
      <c r="J56" s="2"/>
      <c r="K56" s="2" t="s">
        <v>450</v>
      </c>
      <c r="L56" s="49">
        <v>83</v>
      </c>
      <c r="M56" s="2"/>
      <c r="N56" s="2" t="s">
        <v>451</v>
      </c>
      <c r="O56" s="49">
        <v>44.887</v>
      </c>
      <c r="P56" s="6"/>
    </row>
    <row r="57">
      <c r="B57" s="2"/>
      <c r="C57" s="2"/>
      <c r="D57" s="2"/>
      <c r="E57" s="2"/>
      <c r="F57" s="2"/>
      <c r="G57" s="2"/>
      <c r="H57" s="2"/>
      <c r="I57" s="2"/>
      <c r="J57" s="2"/>
      <c r="K57" s="2" t="s">
        <v>452</v>
      </c>
      <c r="L57" s="49">
        <v>40</v>
      </c>
      <c r="M57" s="2"/>
      <c r="N57" s="2" t="s">
        <v>453</v>
      </c>
      <c r="O57" s="49">
        <v>45.208</v>
      </c>
      <c r="P57" s="6"/>
    </row>
    <row r="58">
      <c r="B58" s="2"/>
      <c r="C58" s="2"/>
      <c r="D58" s="2"/>
      <c r="E58" s="2"/>
      <c r="F58" s="2"/>
      <c r="G58" s="2"/>
      <c r="H58" s="2"/>
      <c r="I58" s="2"/>
      <c r="J58" s="2"/>
      <c r="K58" s="2" t="s">
        <v>454</v>
      </c>
      <c r="L58" s="49">
        <v>13.76</v>
      </c>
      <c r="M58" s="2"/>
      <c r="N58" s="2" t="s">
        <v>455</v>
      </c>
      <c r="O58" s="49">
        <v>44.427</v>
      </c>
      <c r="P58" s="6"/>
    </row>
    <row r="59">
      <c r="B59" s="2"/>
      <c r="C59" s="2"/>
      <c r="D59" s="2"/>
      <c r="E59" s="2"/>
      <c r="F59" s="2"/>
      <c r="G59" s="2"/>
      <c r="H59" s="2"/>
      <c r="I59" s="2"/>
      <c r="J59" s="2"/>
      <c r="K59" s="2" t="s">
        <v>456</v>
      </c>
      <c r="L59" s="49">
        <v>6</v>
      </c>
      <c r="M59" s="2"/>
      <c r="N59" s="2" t="s">
        <v>457</v>
      </c>
      <c r="O59" s="49">
        <v>43.711</v>
      </c>
      <c r="P59" s="6"/>
    </row>
    <row r="60">
      <c r="B60" s="2"/>
      <c r="C60" s="2"/>
      <c r="D60" s="2"/>
      <c r="E60" s="2"/>
      <c r="F60" s="2"/>
      <c r="G60" s="2"/>
      <c r="H60" s="2"/>
      <c r="I60" s="2"/>
      <c r="J60" s="2"/>
      <c r="K60" s="2" t="s">
        <v>458</v>
      </c>
      <c r="L60" s="2" t="s">
        <v>459</v>
      </c>
      <c r="M60" s="2"/>
      <c r="N60" s="2"/>
      <c r="O60" s="2"/>
      <c r="P60" s="6"/>
    </row>
    <row r="61">
      <c r="B61" s="2"/>
      <c r="C61" s="2"/>
      <c r="D61" s="2"/>
      <c r="E61" s="2"/>
      <c r="F61" s="2"/>
      <c r="G61" s="2"/>
      <c r="H61" s="2"/>
      <c r="I61" s="2"/>
      <c r="J61" s="2"/>
      <c r="K61" s="2" t="s">
        <v>460</v>
      </c>
      <c r="L61" s="49">
        <v>1.33</v>
      </c>
      <c r="M61" s="2"/>
      <c r="N61" s="2" t="s">
        <v>461</v>
      </c>
      <c r="O61" s="51">
        <v>8</v>
      </c>
      <c r="P61" s="6" t="s">
        <v>462</v>
      </c>
    </row>
    <row r="62">
      <c r="B62" s="2"/>
      <c r="C62" s="2"/>
      <c r="D62" s="2"/>
      <c r="E62" s="2"/>
      <c r="F62" s="2"/>
      <c r="G62" s="2"/>
      <c r="H62" s="2"/>
      <c r="I62" s="2"/>
      <c r="J62" s="2"/>
      <c r="K62" s="2" t="s">
        <v>463</v>
      </c>
      <c r="L62" s="49">
        <v>40.23</v>
      </c>
      <c r="M62" s="2"/>
      <c r="N62" s="2" t="s">
        <v>464</v>
      </c>
      <c r="O62" s="51">
        <v>3</v>
      </c>
      <c r="P62" s="6"/>
    </row>
    <row r="63">
      <c r="B63" s="2"/>
      <c r="C63" s="2"/>
      <c r="D63" s="2"/>
      <c r="E63" s="2"/>
      <c r="F63" s="2"/>
      <c r="G63" s="2"/>
      <c r="H63" s="2"/>
      <c r="I63" s="2"/>
      <c r="J63" s="2"/>
      <c r="K63" s="2" t="s">
        <v>465</v>
      </c>
      <c r="L63" s="2" t="s">
        <v>466</v>
      </c>
      <c r="M63" s="2"/>
      <c r="N63" s="2" t="s">
        <v>467</v>
      </c>
      <c r="O63" s="51">
        <v>8</v>
      </c>
      <c r="P63" s="6"/>
    </row>
    <row r="6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 t="s">
        <v>468</v>
      </c>
      <c r="O64" s="51">
        <v>2</v>
      </c>
      <c r="P64" s="6"/>
    </row>
    <row r="6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ht="36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 t="s">
        <v>469</v>
      </c>
      <c r="O66" s="51">
        <v>0</v>
      </c>
      <c r="P66" s="6" t="s">
        <v>470</v>
      </c>
    </row>
    <row r="67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>
      <c r="B70" s="2"/>
      <c r="C70" s="2"/>
      <c r="D70" s="2"/>
      <c r="E70" s="2"/>
      <c r="F70" s="2"/>
      <c r="G70" s="2"/>
      <c r="H70" s="2"/>
      <c r="I70" s="2"/>
      <c r="J70" s="2"/>
      <c r="K70" s="2" t="s">
        <v>471</v>
      </c>
      <c r="L70" s="2" t="s">
        <v>42</v>
      </c>
      <c r="M70" s="2"/>
      <c r="N70" s="2"/>
      <c r="O70" s="2"/>
    </row>
    <row r="71">
      <c r="B71" s="2"/>
      <c r="C71" s="2"/>
      <c r="D71" s="2"/>
      <c r="E71" s="2"/>
      <c r="F71" s="2"/>
      <c r="G71" s="2"/>
      <c r="H71" s="2"/>
      <c r="I71" s="2"/>
      <c r="J71" s="2"/>
      <c r="K71" s="2" t="s">
        <v>347</v>
      </c>
      <c r="L71" s="2" t="s">
        <v>472</v>
      </c>
      <c r="M71" s="2"/>
      <c r="N71" s="2"/>
      <c r="O71" s="2"/>
    </row>
    <row r="72">
      <c r="B72" s="2"/>
      <c r="C72" s="2"/>
      <c r="D72" s="2"/>
      <c r="E72" s="2"/>
      <c r="F72" s="2"/>
      <c r="G72" s="2"/>
      <c r="H72" s="2"/>
      <c r="I72" s="2"/>
      <c r="J72" s="2"/>
      <c r="K72" s="2" t="s">
        <v>349</v>
      </c>
      <c r="L72" s="2" t="s">
        <v>473</v>
      </c>
      <c r="M72" s="2"/>
      <c r="N72" s="2"/>
      <c r="O72" s="2"/>
    </row>
    <row r="73">
      <c r="B73" s="2"/>
      <c r="C73" s="2"/>
      <c r="D73" s="2"/>
      <c r="E73" s="2"/>
      <c r="F73" s="2"/>
      <c r="G73" s="2"/>
      <c r="H73" s="2"/>
      <c r="I73" s="2"/>
      <c r="J73" s="2"/>
      <c r="K73" s="2" t="s">
        <v>474</v>
      </c>
      <c r="L73" s="2" t="s">
        <v>475</v>
      </c>
      <c r="M73" s="2"/>
      <c r="N73" s="2"/>
      <c r="O73" s="2"/>
    </row>
    <row r="7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</sheetData>
  <legacyDrawing r:id="rId2"/>
</worksheet>
</file>